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codeName="ThisWorkbook"/>
  <mc:AlternateContent xmlns:mc="http://schemas.openxmlformats.org/markup-compatibility/2006">
    <mc:Choice Requires="x15">
      <x15ac:absPath xmlns:x15ac="http://schemas.microsoft.com/office/spreadsheetml/2010/11/ac" url="K:\EPA_Cookstove_LCA.sc.LEX\Report\Phase II\EPA QA Review\Supporting Information\SC Reviewed\"/>
    </mc:Choice>
  </mc:AlternateContent>
  <bookViews>
    <workbookView xWindow="0" yWindow="0" windowWidth="28800" windowHeight="12210"/>
  </bookViews>
  <sheets>
    <sheet name="TOC" sheetId="20" r:id="rId1"/>
    <sheet name="Land App. LCI" sheetId="14" r:id="rId2"/>
    <sheet name="Land App. LCI Doc." sheetId="13" r:id="rId3"/>
    <sheet name="Bioslurry Comp." sheetId="4" r:id="rId4"/>
    <sheet name="Biogas Yield" sheetId="9" r:id="rId5"/>
    <sheet name="Nitrogen Emissions" sheetId="16" r:id="rId6"/>
    <sheet name="Field Emissions" sheetId="12" r:id="rId7"/>
    <sheet name="Yield Effect" sheetId="3" r:id="rId8"/>
    <sheet name="Avoided Fert." sheetId="17" r:id="rId9"/>
    <sheet name="References" sheetId="2" r:id="rId10"/>
  </sheets>
  <externalReferences>
    <externalReference r:id="rId11"/>
  </externalReferences>
  <definedNames>
    <definedName name="Flowtype">[1]InputsOutputs!#REF!</definedName>
    <definedName name="Flowtypes">[1]InputsOutputs!#REF!</definedName>
  </definedNames>
  <calcPr calcId="171027"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 i="12" l="1"/>
  <c r="C21" i="17" l="1"/>
  <c r="C45" i="14" l="1"/>
  <c r="C66" i="14"/>
  <c r="C90" i="14"/>
  <c r="C18" i="9" l="1"/>
  <c r="C59" i="9" s="1"/>
  <c r="C74" i="9" s="1"/>
  <c r="D24" i="13" s="1"/>
  <c r="H24" i="13" l="1"/>
  <c r="E82" i="12"/>
  <c r="E81" i="12"/>
  <c r="E80" i="12"/>
  <c r="E79" i="12"/>
  <c r="E78" i="12"/>
  <c r="E77" i="12"/>
  <c r="E76" i="12"/>
  <c r="E75" i="12"/>
  <c r="E74" i="12"/>
  <c r="E73" i="12"/>
  <c r="E72" i="12"/>
  <c r="E71" i="12"/>
  <c r="E70" i="12"/>
  <c r="E69" i="12"/>
  <c r="E68" i="12"/>
  <c r="F6" i="17"/>
  <c r="F7" i="17"/>
  <c r="F8" i="17"/>
  <c r="F9" i="17"/>
  <c r="F10" i="17"/>
  <c r="F11" i="17"/>
  <c r="D12" i="17"/>
  <c r="F12" i="17" s="1"/>
  <c r="F13" i="17"/>
  <c r="F14" i="17"/>
  <c r="F15" i="17"/>
  <c r="F16" i="17"/>
  <c r="F17" i="17"/>
  <c r="B17" i="16"/>
  <c r="B18" i="16"/>
  <c r="B19" i="16" s="1"/>
  <c r="F9" i="14"/>
  <c r="I23" i="14"/>
  <c r="I24" i="14"/>
  <c r="H25" i="13"/>
  <c r="H26" i="13"/>
  <c r="H27" i="13"/>
  <c r="H28" i="13"/>
  <c r="H29" i="13"/>
  <c r="H30" i="13"/>
  <c r="H31" i="13"/>
  <c r="H32" i="13"/>
  <c r="H33" i="13"/>
  <c r="H37" i="13"/>
  <c r="H38" i="13"/>
  <c r="H39" i="13"/>
  <c r="H40" i="13"/>
  <c r="H41" i="13"/>
  <c r="H42" i="13"/>
  <c r="H43" i="13"/>
  <c r="H45" i="13"/>
  <c r="H46" i="13"/>
  <c r="H47" i="13"/>
  <c r="H48" i="13"/>
  <c r="H49" i="13"/>
  <c r="H50" i="13"/>
  <c r="H51" i="13"/>
  <c r="H52" i="13"/>
  <c r="H53" i="13"/>
  <c r="H55" i="13"/>
  <c r="H56" i="13"/>
  <c r="H57" i="13"/>
  <c r="H58" i="13"/>
  <c r="H63" i="13"/>
  <c r="H64" i="13"/>
  <c r="H98" i="13"/>
  <c r="H99" i="13"/>
  <c r="H100" i="13"/>
  <c r="H102" i="13"/>
  <c r="H103" i="13"/>
  <c r="H104" i="13"/>
  <c r="H106" i="13"/>
  <c r="H107" i="13"/>
  <c r="H108" i="13"/>
  <c r="H110" i="13"/>
  <c r="H111" i="13"/>
  <c r="H112" i="13"/>
  <c r="H114" i="13"/>
  <c r="H115" i="13"/>
  <c r="H116" i="13"/>
  <c r="H118" i="13"/>
  <c r="H119" i="13"/>
  <c r="H120" i="13"/>
  <c r="H122" i="13"/>
  <c r="H123" i="13"/>
  <c r="H124" i="13"/>
  <c r="H126" i="13"/>
  <c r="H127" i="13"/>
  <c r="H128" i="13"/>
  <c r="H129" i="13"/>
  <c r="H130" i="13"/>
  <c r="H132" i="13"/>
  <c r="H133" i="13"/>
  <c r="H134" i="13"/>
  <c r="H135" i="13"/>
  <c r="H136" i="13"/>
  <c r="H138" i="13"/>
  <c r="H139" i="13"/>
  <c r="H140" i="13"/>
  <c r="H141" i="13"/>
  <c r="H142" i="13"/>
  <c r="H144" i="13"/>
  <c r="H145" i="13"/>
  <c r="H146" i="13"/>
  <c r="H147" i="13"/>
  <c r="H148" i="13"/>
  <c r="H150" i="13"/>
  <c r="H151" i="13"/>
  <c r="H152" i="13"/>
  <c r="H153" i="13"/>
  <c r="H154" i="13"/>
  <c r="C161" i="13"/>
  <c r="C163" i="13"/>
  <c r="E83" i="12" l="1"/>
  <c r="D71" i="13" s="1"/>
  <c r="H71" i="13" s="1"/>
  <c r="H137" i="13"/>
  <c r="E34" i="14" s="1"/>
  <c r="G40" i="14"/>
  <c r="G37" i="14"/>
  <c r="H35" i="14"/>
  <c r="H33" i="14"/>
  <c r="H38" i="14"/>
  <c r="H131" i="13"/>
  <c r="E35" i="14" s="1"/>
  <c r="D81" i="13"/>
  <c r="H81" i="13" s="1"/>
  <c r="C164" i="13"/>
  <c r="G35" i="14"/>
  <c r="G39" i="14"/>
  <c r="H39" i="14"/>
  <c r="G38" i="14"/>
  <c r="G29" i="14"/>
  <c r="E85" i="12"/>
  <c r="D73" i="13" s="1"/>
  <c r="H73" i="13" s="1"/>
  <c r="E84" i="12"/>
  <c r="D72" i="13" s="1"/>
  <c r="H72" i="13" s="1"/>
  <c r="H155" i="13"/>
  <c r="E33" i="14" s="1"/>
  <c r="H31" i="14"/>
  <c r="D77" i="13"/>
  <c r="H77" i="13" s="1"/>
  <c r="G33" i="14"/>
  <c r="H40" i="14"/>
  <c r="C172" i="13"/>
  <c r="G19" i="14"/>
  <c r="H37" i="14"/>
  <c r="H113" i="13"/>
  <c r="E38" i="14" s="1"/>
  <c r="H143" i="13"/>
  <c r="E36" i="14" s="1"/>
  <c r="H121" i="13"/>
  <c r="E40" i="14" s="1"/>
  <c r="H109" i="13"/>
  <c r="E37" i="14" s="1"/>
  <c r="H34" i="14"/>
  <c r="G30" i="14"/>
  <c r="H117" i="13"/>
  <c r="E39" i="14" s="1"/>
  <c r="G34" i="14"/>
  <c r="H36" i="14"/>
  <c r="H59" i="13"/>
  <c r="E21" i="14" s="1"/>
  <c r="G36" i="14"/>
  <c r="G32" i="14"/>
  <c r="H32" i="14"/>
  <c r="G20" i="14"/>
  <c r="H20" i="14"/>
  <c r="H25" i="17" s="1"/>
  <c r="H30" i="14"/>
  <c r="H125" i="13"/>
  <c r="E31" i="14" s="1"/>
  <c r="H61" i="13"/>
  <c r="H19" i="14"/>
  <c r="H24" i="17" s="1"/>
  <c r="H105" i="13"/>
  <c r="E30" i="14" s="1"/>
  <c r="H36" i="13"/>
  <c r="H21" i="14"/>
  <c r="H29" i="14"/>
  <c r="G21" i="14"/>
  <c r="H34" i="13"/>
  <c r="E19" i="14" s="1"/>
  <c r="E24" i="17" s="1"/>
  <c r="G31" i="14"/>
  <c r="B20" i="16"/>
  <c r="H65" i="13"/>
  <c r="H54" i="13"/>
  <c r="H149" i="13"/>
  <c r="E32" i="14" s="1"/>
  <c r="H101" i="13"/>
  <c r="E29" i="14" s="1"/>
  <c r="H35" i="13"/>
  <c r="D80" i="13"/>
  <c r="H80" i="13" s="1"/>
  <c r="D76" i="13"/>
  <c r="H76" i="13" s="1"/>
  <c r="H60" i="13"/>
  <c r="D83" i="13"/>
  <c r="H83" i="13" s="1"/>
  <c r="D79" i="13"/>
  <c r="H79" i="13" s="1"/>
  <c r="D75" i="13"/>
  <c r="H75" i="13" s="1"/>
  <c r="D82" i="13"/>
  <c r="H82" i="13" s="1"/>
  <c r="D78" i="13"/>
  <c r="H78" i="13" s="1"/>
  <c r="I41" i="12"/>
  <c r="E15" i="14" l="1"/>
  <c r="H15" i="14"/>
  <c r="H16" i="14"/>
  <c r="I35" i="14"/>
  <c r="H44" i="13"/>
  <c r="E18" i="14" s="1"/>
  <c r="D66" i="13"/>
  <c r="H66" i="13" s="1"/>
  <c r="I39" i="14"/>
  <c r="G24" i="17"/>
  <c r="I38" i="14"/>
  <c r="G25" i="17"/>
  <c r="H74" i="13"/>
  <c r="H26" i="14"/>
  <c r="G26" i="14"/>
  <c r="I37" i="14"/>
  <c r="I33" i="14"/>
  <c r="I31" i="14"/>
  <c r="I36" i="14"/>
  <c r="I19" i="14"/>
  <c r="I34" i="14"/>
  <c r="I40" i="14"/>
  <c r="I20" i="14"/>
  <c r="G18" i="14"/>
  <c r="H18" i="14"/>
  <c r="I30" i="14"/>
  <c r="I29" i="14"/>
  <c r="I21" i="14"/>
  <c r="I32" i="14"/>
  <c r="H62" i="13"/>
  <c r="E20" i="14"/>
  <c r="E25" i="17" s="1"/>
  <c r="B21" i="16"/>
  <c r="G215" i="4"/>
  <c r="E16" i="14" l="1"/>
  <c r="G16" i="14"/>
  <c r="G15" i="14"/>
  <c r="H23" i="17"/>
  <c r="E23" i="17"/>
  <c r="I18" i="14"/>
  <c r="G23" i="17"/>
  <c r="B22" i="16"/>
  <c r="C40" i="9"/>
  <c r="C58" i="9" s="1"/>
  <c r="C39" i="9"/>
  <c r="C38" i="9"/>
  <c r="E14" i="14" l="1"/>
  <c r="G26" i="17"/>
  <c r="G14" i="14"/>
  <c r="H26" i="17"/>
  <c r="H14" i="14"/>
  <c r="E26" i="17"/>
  <c r="B23" i="16"/>
  <c r="C36" i="9"/>
  <c r="C50" i="9" s="1"/>
  <c r="B24" i="16" l="1"/>
  <c r="K18" i="12"/>
  <c r="K19" i="12"/>
  <c r="K20" i="12"/>
  <c r="K21" i="12"/>
  <c r="K34" i="12" s="1"/>
  <c r="D69" i="13" s="1"/>
  <c r="H69" i="13" s="1"/>
  <c r="K22" i="12"/>
  <c r="K23" i="12"/>
  <c r="K24" i="12"/>
  <c r="K25" i="12"/>
  <c r="K26" i="12"/>
  <c r="K27" i="12"/>
  <c r="K28" i="12"/>
  <c r="K29" i="12"/>
  <c r="K30" i="12"/>
  <c r="K31" i="12"/>
  <c r="E60" i="12"/>
  <c r="E59" i="12"/>
  <c r="E58" i="12"/>
  <c r="E57" i="12"/>
  <c r="E56" i="12"/>
  <c r="E55" i="12"/>
  <c r="E47" i="12"/>
  <c r="E46" i="12"/>
  <c r="E45" i="12"/>
  <c r="E44" i="12"/>
  <c r="E43" i="12"/>
  <c r="E42" i="12"/>
  <c r="E41" i="12"/>
  <c r="E40" i="12"/>
  <c r="E39" i="12"/>
  <c r="B25" i="16" l="1"/>
  <c r="E49" i="12"/>
  <c r="K32" i="12"/>
  <c r="K33" i="12"/>
  <c r="E48" i="12"/>
  <c r="E50" i="12"/>
  <c r="E63" i="12"/>
  <c r="E61" i="12"/>
  <c r="E62" i="12"/>
  <c r="E32" i="12"/>
  <c r="E30" i="12"/>
  <c r="E31" i="12"/>
  <c r="E18" i="12"/>
  <c r="E19" i="12"/>
  <c r="E20" i="12"/>
  <c r="E21" i="12"/>
  <c r="E22" i="12"/>
  <c r="E23" i="12"/>
  <c r="E24" i="12"/>
  <c r="E25" i="12"/>
  <c r="E26" i="12"/>
  <c r="E27" i="12"/>
  <c r="E28" i="12"/>
  <c r="E29" i="12"/>
  <c r="E17" i="12"/>
  <c r="D68" i="13" l="1"/>
  <c r="H68" i="13" s="1"/>
  <c r="D67" i="13"/>
  <c r="H67" i="13" s="1"/>
  <c r="B26" i="16"/>
  <c r="E35" i="12"/>
  <c r="D86" i="13" s="1"/>
  <c r="H86" i="13" s="1"/>
  <c r="E34" i="12"/>
  <c r="D84" i="13" s="1"/>
  <c r="H84" i="13" s="1"/>
  <c r="E33" i="12"/>
  <c r="D85" i="13" s="1"/>
  <c r="H85" i="13" s="1"/>
  <c r="I229" i="4"/>
  <c r="H229" i="4"/>
  <c r="G229" i="4"/>
  <c r="I228" i="4"/>
  <c r="H228" i="4"/>
  <c r="G228" i="4"/>
  <c r="I227" i="4"/>
  <c r="H227" i="4"/>
  <c r="G227" i="4"/>
  <c r="I226" i="4"/>
  <c r="H226" i="4"/>
  <c r="G226" i="4"/>
  <c r="I225" i="4"/>
  <c r="H225" i="4"/>
  <c r="G225" i="4"/>
  <c r="I224" i="4"/>
  <c r="H224" i="4"/>
  <c r="G224" i="4"/>
  <c r="I223" i="4"/>
  <c r="H223" i="4"/>
  <c r="G223" i="4"/>
  <c r="I222" i="4"/>
  <c r="H222" i="4"/>
  <c r="G222" i="4"/>
  <c r="I221" i="4"/>
  <c r="H221" i="4"/>
  <c r="G221" i="4"/>
  <c r="I220" i="4"/>
  <c r="H220" i="4"/>
  <c r="G220" i="4"/>
  <c r="I219" i="4"/>
  <c r="H219" i="4"/>
  <c r="G219" i="4"/>
  <c r="I218" i="4"/>
  <c r="H218" i="4"/>
  <c r="G218" i="4"/>
  <c r="I217" i="4"/>
  <c r="H217" i="4"/>
  <c r="G217" i="4"/>
  <c r="I216" i="4"/>
  <c r="H216" i="4"/>
  <c r="G216" i="4"/>
  <c r="I215" i="4"/>
  <c r="H215" i="4"/>
  <c r="H199" i="4"/>
  <c r="H200" i="4"/>
  <c r="H201" i="4"/>
  <c r="H202" i="4"/>
  <c r="H203" i="4"/>
  <c r="H204" i="4"/>
  <c r="H205" i="4"/>
  <c r="H206" i="4"/>
  <c r="H207" i="4"/>
  <c r="H198" i="4"/>
  <c r="G199" i="4"/>
  <c r="G200" i="4"/>
  <c r="G201" i="4"/>
  <c r="G202" i="4"/>
  <c r="G203" i="4"/>
  <c r="G204" i="4"/>
  <c r="G205" i="4"/>
  <c r="G206" i="4"/>
  <c r="G207" i="4"/>
  <c r="G198" i="4"/>
  <c r="H194" i="4"/>
  <c r="H195" i="4"/>
  <c r="H196" i="4"/>
  <c r="H197" i="4"/>
  <c r="H193" i="4"/>
  <c r="G194" i="4"/>
  <c r="G195" i="4"/>
  <c r="G196" i="4"/>
  <c r="G197" i="4"/>
  <c r="G193" i="4"/>
  <c r="J193" i="4" s="1"/>
  <c r="I199" i="4"/>
  <c r="I200" i="4"/>
  <c r="I201" i="4"/>
  <c r="I202" i="4"/>
  <c r="I203" i="4"/>
  <c r="I204" i="4"/>
  <c r="I205" i="4"/>
  <c r="I206" i="4"/>
  <c r="L206" i="4" s="1"/>
  <c r="I207" i="4"/>
  <c r="I198" i="4"/>
  <c r="I194" i="4"/>
  <c r="I195" i="4"/>
  <c r="I196" i="4"/>
  <c r="I197" i="4"/>
  <c r="I193" i="4"/>
  <c r="C73" i="9"/>
  <c r="D10" i="13" s="1"/>
  <c r="H10" i="13" s="1"/>
  <c r="G22" i="14" l="1"/>
  <c r="H87" i="13"/>
  <c r="E22" i="14" s="1"/>
  <c r="H22" i="14"/>
  <c r="H25" i="14"/>
  <c r="H70" i="13"/>
  <c r="E25" i="14" s="1"/>
  <c r="G25" i="14"/>
  <c r="L207" i="4"/>
  <c r="L199" i="4"/>
  <c r="K196" i="4"/>
  <c r="J203" i="4"/>
  <c r="L198" i="4"/>
  <c r="L200" i="4"/>
  <c r="K197" i="4"/>
  <c r="J204" i="4"/>
  <c r="K206" i="4"/>
  <c r="L228" i="4"/>
  <c r="J197" i="4"/>
  <c r="L204" i="4"/>
  <c r="J196" i="4"/>
  <c r="J198" i="4"/>
  <c r="J200" i="4"/>
  <c r="L196" i="4"/>
  <c r="L203" i="4"/>
  <c r="J195" i="4"/>
  <c r="L197" i="4"/>
  <c r="J205" i="4"/>
  <c r="L217" i="4"/>
  <c r="L225" i="4"/>
  <c r="K205" i="4"/>
  <c r="J207" i="4"/>
  <c r="K202" i="4"/>
  <c r="J199" i="4"/>
  <c r="J223" i="4"/>
  <c r="L205" i="4"/>
  <c r="K216" i="4"/>
  <c r="L221" i="4"/>
  <c r="K224" i="4"/>
  <c r="L229" i="4"/>
  <c r="K201" i="4"/>
  <c r="K219" i="4"/>
  <c r="J222" i="4"/>
  <c r="L194" i="4"/>
  <c r="L202" i="4"/>
  <c r="J194" i="4"/>
  <c r="J206" i="4"/>
  <c r="K198" i="4"/>
  <c r="K200" i="4"/>
  <c r="J219" i="4"/>
  <c r="J227" i="4"/>
  <c r="K227" i="4"/>
  <c r="L195" i="4"/>
  <c r="J217" i="4"/>
  <c r="L219" i="4"/>
  <c r="K222" i="4"/>
  <c r="J225" i="4"/>
  <c r="L227" i="4"/>
  <c r="L201" i="4"/>
  <c r="K207" i="4"/>
  <c r="K199" i="4"/>
  <c r="K217" i="4"/>
  <c r="J220" i="4"/>
  <c r="L222" i="4"/>
  <c r="K225" i="4"/>
  <c r="J228" i="4"/>
  <c r="K220" i="4"/>
  <c r="J226" i="4"/>
  <c r="K195" i="4"/>
  <c r="J202" i="4"/>
  <c r="K204" i="4"/>
  <c r="K218" i="4"/>
  <c r="L223" i="4"/>
  <c r="K226" i="4"/>
  <c r="K228" i="4"/>
  <c r="J218" i="4"/>
  <c r="K223" i="4"/>
  <c r="K194" i="4"/>
  <c r="J201" i="4"/>
  <c r="K203" i="4"/>
  <c r="J216" i="4"/>
  <c r="L218" i="4"/>
  <c r="K221" i="4"/>
  <c r="J224" i="4"/>
  <c r="L226" i="4"/>
  <c r="K229" i="4"/>
  <c r="J215" i="4"/>
  <c r="L216" i="4"/>
  <c r="L220" i="4"/>
  <c r="L224" i="4"/>
  <c r="J229" i="4"/>
  <c r="J221" i="4"/>
  <c r="E79" i="9"/>
  <c r="C16" i="9"/>
  <c r="C67" i="9"/>
  <c r="D8" i="13" s="1"/>
  <c r="H8" i="13" s="1"/>
  <c r="C66" i="9"/>
  <c r="I25" i="14" l="1"/>
  <c r="I22" i="14"/>
  <c r="C57" i="9"/>
  <c r="C72" i="9" s="1"/>
  <c r="C56" i="9"/>
  <c r="C71" i="9" s="1"/>
  <c r="D12" i="13" s="1"/>
  <c r="H12" i="13" s="1"/>
  <c r="C45" i="9"/>
  <c r="C53" i="9"/>
  <c r="C63" i="9"/>
  <c r="C65" i="9"/>
  <c r="D7" i="13" s="1"/>
  <c r="H7" i="13" s="1"/>
  <c r="C68" i="9" l="1"/>
  <c r="D9" i="13" s="1"/>
  <c r="H9" i="13" s="1"/>
  <c r="C60" i="9"/>
  <c r="C186" i="4"/>
  <c r="C185" i="4"/>
  <c r="C184" i="4"/>
  <c r="C183" i="4"/>
  <c r="C182" i="4"/>
  <c r="C181" i="4"/>
  <c r="E181" i="4" s="1"/>
  <c r="C180" i="4"/>
  <c r="E182" i="4" l="1"/>
  <c r="E186" i="4"/>
  <c r="E180" i="4"/>
  <c r="E183" i="4"/>
  <c r="E184" i="4"/>
  <c r="E185" i="4"/>
  <c r="F110" i="4"/>
  <c r="J91" i="4"/>
  <c r="J88" i="4"/>
  <c r="D22" i="13" l="1"/>
  <c r="H22" i="13" s="1"/>
  <c r="D17" i="13"/>
  <c r="H17" i="13" s="1"/>
  <c r="E164" i="4"/>
  <c r="E162" i="4"/>
  <c r="E163" i="4"/>
  <c r="E165" i="4"/>
  <c r="E166" i="4"/>
  <c r="E167" i="4"/>
  <c r="E168" i="4"/>
  <c r="E169" i="4"/>
  <c r="E170" i="4"/>
  <c r="E171" i="4"/>
  <c r="E172" i="4"/>
  <c r="E173" i="4"/>
  <c r="E161" i="4"/>
  <c r="E160" i="4"/>
  <c r="F160" i="4" s="1"/>
  <c r="E159" i="4"/>
  <c r="F169" i="4" l="1"/>
  <c r="F173" i="4"/>
  <c r="F159" i="4"/>
  <c r="F165" i="4"/>
  <c r="F166" i="4"/>
  <c r="F170" i="4"/>
  <c r="F168" i="4"/>
  <c r="F172" i="4"/>
  <c r="F167" i="4"/>
  <c r="F161" i="4"/>
  <c r="F164" i="4"/>
  <c r="F171" i="4"/>
  <c r="F163" i="4"/>
  <c r="F162" i="4"/>
  <c r="F143" i="4"/>
  <c r="G143" i="4" s="1"/>
  <c r="F152" i="4" l="1"/>
  <c r="G152" i="4" s="1"/>
  <c r="D96" i="13" s="1"/>
  <c r="H96" i="13" s="1"/>
  <c r="I57" i="4"/>
  <c r="K57" i="4"/>
  <c r="H150" i="4"/>
  <c r="I150" i="4" s="1"/>
  <c r="H151" i="4"/>
  <c r="I151" i="4" s="1"/>
  <c r="H152" i="4"/>
  <c r="I152" i="4" s="1"/>
  <c r="D95" i="13" s="1"/>
  <c r="H95" i="13" s="1"/>
  <c r="H149" i="4"/>
  <c r="I149" i="4" s="1"/>
  <c r="H144" i="4"/>
  <c r="I144" i="4" s="1"/>
  <c r="H145" i="4"/>
  <c r="I145" i="4" s="1"/>
  <c r="H146" i="4"/>
  <c r="I146" i="4" s="1"/>
  <c r="H147" i="4"/>
  <c r="I147" i="4" s="1"/>
  <c r="H148" i="4"/>
  <c r="I148" i="4" s="1"/>
  <c r="H143" i="4"/>
  <c r="I143" i="4" s="1"/>
  <c r="F150" i="4"/>
  <c r="G150" i="4" s="1"/>
  <c r="F151" i="4"/>
  <c r="G151" i="4" s="1"/>
  <c r="F149" i="4"/>
  <c r="G149" i="4" s="1"/>
  <c r="F144" i="4"/>
  <c r="G144" i="4" s="1"/>
  <c r="F145" i="4"/>
  <c r="G145" i="4" s="1"/>
  <c r="F146" i="4"/>
  <c r="G146" i="4" s="1"/>
  <c r="F147" i="4"/>
  <c r="G147" i="4" s="1"/>
  <c r="F148" i="4"/>
  <c r="G148" i="4" s="1"/>
  <c r="I131" i="4"/>
  <c r="I135" i="4" s="1"/>
  <c r="I130" i="4"/>
  <c r="C54" i="9"/>
  <c r="C69" i="9" s="1"/>
  <c r="C55" i="9"/>
  <c r="C70" i="9" s="1"/>
  <c r="D11" i="13" s="1"/>
  <c r="H11" i="13" s="1"/>
  <c r="G12" i="14" l="1"/>
  <c r="H12" i="14"/>
  <c r="H13" i="13"/>
  <c r="E12" i="14" s="1"/>
  <c r="E11" i="14" s="1"/>
  <c r="F107" i="4"/>
  <c r="F106" i="4"/>
  <c r="F105" i="4"/>
  <c r="F104" i="4"/>
  <c r="F103" i="4"/>
  <c r="G87" i="4"/>
  <c r="G88" i="4"/>
  <c r="G86" i="4"/>
  <c r="C102" i="4"/>
  <c r="F102" i="4" s="1"/>
  <c r="J86" i="4"/>
  <c r="J87" i="4"/>
  <c r="C83" i="4"/>
  <c r="J85" i="4"/>
  <c r="J84" i="4"/>
  <c r="J83" i="4"/>
  <c r="E68" i="4"/>
  <c r="C69" i="4"/>
  <c r="E69" i="4" s="1"/>
  <c r="E34" i="4"/>
  <c r="E35" i="4"/>
  <c r="G35" i="4" s="1"/>
  <c r="E37" i="4"/>
  <c r="E38" i="4"/>
  <c r="E39" i="4"/>
  <c r="F39" i="4" s="1"/>
  <c r="C72" i="14" l="1"/>
  <c r="C51" i="14"/>
  <c r="C47" i="14"/>
  <c r="C68" i="14" s="1"/>
  <c r="C88" i="14" s="1"/>
  <c r="C48" i="14"/>
  <c r="C46" i="14"/>
  <c r="G68" i="4"/>
  <c r="G67" i="4"/>
  <c r="D14" i="13" s="1"/>
  <c r="H14" i="13" s="1"/>
  <c r="C18" i="4"/>
  <c r="H110" i="4"/>
  <c r="C20" i="4"/>
  <c r="J90" i="4"/>
  <c r="L90" i="4" s="1"/>
  <c r="C19" i="4"/>
  <c r="H104" i="4"/>
  <c r="L86" i="4"/>
  <c r="L88" i="4"/>
  <c r="H102" i="4"/>
  <c r="D21" i="13" s="1"/>
  <c r="H21" i="13" s="1"/>
  <c r="G34" i="4"/>
  <c r="L84" i="4"/>
  <c r="G38" i="4"/>
  <c r="F38" i="4"/>
  <c r="L91" i="4"/>
  <c r="G89" i="4"/>
  <c r="G39" i="4"/>
  <c r="L85" i="4"/>
  <c r="E36" i="4"/>
  <c r="G36" i="4" s="1"/>
  <c r="G69" i="4"/>
  <c r="D19" i="13" s="1"/>
  <c r="H19" i="13" s="1"/>
  <c r="L83" i="4"/>
  <c r="D20" i="13" s="1"/>
  <c r="H20" i="13" s="1"/>
  <c r="L87" i="4"/>
  <c r="H106" i="4"/>
  <c r="F37" i="4"/>
  <c r="E75" i="4"/>
  <c r="H100" i="4"/>
  <c r="D16" i="13" s="1"/>
  <c r="H16" i="13" s="1"/>
  <c r="H107" i="4"/>
  <c r="H103" i="4"/>
  <c r="E72" i="4"/>
  <c r="E71" i="4"/>
  <c r="G71" i="4" s="1"/>
  <c r="L82" i="4"/>
  <c r="D15" i="13" s="1"/>
  <c r="H15" i="13" s="1"/>
  <c r="G37" i="4"/>
  <c r="F108" i="4"/>
  <c r="H108" i="4" s="1"/>
  <c r="H105" i="4"/>
  <c r="E70" i="4"/>
  <c r="E74" i="4"/>
  <c r="J89" i="4"/>
  <c r="L89" i="4" s="1"/>
  <c r="F109" i="4"/>
  <c r="H109" i="4" s="1"/>
  <c r="G13" i="14" l="1"/>
  <c r="I13" i="14" s="1"/>
  <c r="H18" i="13"/>
  <c r="H13" i="14"/>
  <c r="H23" i="13"/>
  <c r="E17" i="14" s="1"/>
  <c r="G17" i="14"/>
  <c r="I17" i="14" s="1"/>
  <c r="H17" i="14"/>
  <c r="D48" i="14"/>
  <c r="D69" i="14" s="1"/>
  <c r="C69" i="14"/>
  <c r="D46" i="14"/>
  <c r="D67" i="14" s="1"/>
  <c r="C67" i="14"/>
  <c r="D47" i="14"/>
  <c r="G75" i="4"/>
  <c r="F75" i="4"/>
  <c r="G74" i="4"/>
  <c r="F74" i="4"/>
  <c r="F70" i="4"/>
  <c r="G70" i="4"/>
  <c r="E73" i="4"/>
  <c r="G72" i="4"/>
  <c r="F72" i="4"/>
  <c r="E13" i="14" l="1"/>
  <c r="C12" i="16"/>
  <c r="C11" i="16"/>
  <c r="C13" i="16"/>
  <c r="D68" i="14"/>
  <c r="D88" i="14" s="1"/>
  <c r="F73" i="4"/>
  <c r="G73" i="4"/>
  <c r="J56" i="4"/>
  <c r="K56" i="4"/>
  <c r="J57" i="4"/>
  <c r="J58" i="4"/>
  <c r="K58" i="4"/>
  <c r="J59" i="4"/>
  <c r="K59" i="4"/>
  <c r="J60" i="4"/>
  <c r="K60" i="4"/>
  <c r="I58" i="4"/>
  <c r="I59" i="4"/>
  <c r="I60" i="4"/>
  <c r="I56" i="4"/>
  <c r="I49" i="4"/>
  <c r="J49" i="4"/>
  <c r="K49" i="4"/>
  <c r="I50" i="4"/>
  <c r="J50" i="4"/>
  <c r="K50" i="4"/>
  <c r="I51" i="4"/>
  <c r="J51" i="4"/>
  <c r="K51" i="4"/>
  <c r="I52" i="4"/>
  <c r="J52" i="4"/>
  <c r="K52" i="4"/>
  <c r="J48" i="4"/>
  <c r="K48" i="4"/>
  <c r="I48" i="4"/>
  <c r="E20" i="16" l="1"/>
  <c r="E19" i="16"/>
  <c r="E18" i="16"/>
  <c r="E17" i="16"/>
  <c r="E21" i="16"/>
  <c r="E22" i="16"/>
  <c r="E23" i="16"/>
  <c r="E24" i="16"/>
  <c r="E25" i="16"/>
  <c r="E26" i="16"/>
  <c r="C20" i="16"/>
  <c r="C17" i="16"/>
  <c r="C19" i="16"/>
  <c r="C21" i="16"/>
  <c r="C18" i="16"/>
  <c r="C22" i="16"/>
  <c r="C23" i="16"/>
  <c r="C24" i="16"/>
  <c r="C25" i="16"/>
  <c r="C26" i="16"/>
  <c r="D19" i="16"/>
  <c r="D20" i="16"/>
  <c r="D21" i="16"/>
  <c r="D17" i="16"/>
  <c r="D18" i="16"/>
  <c r="D22" i="16"/>
  <c r="D23" i="16"/>
  <c r="D24" i="16"/>
  <c r="D25" i="16"/>
  <c r="D26" i="16"/>
  <c r="D93" i="13"/>
  <c r="H93" i="13" s="1"/>
  <c r="D92" i="13"/>
  <c r="H92" i="13" s="1"/>
  <c r="D94" i="13"/>
  <c r="H94" i="13" s="1"/>
  <c r="D89" i="13"/>
  <c r="H89" i="13" s="1"/>
  <c r="D88" i="13"/>
  <c r="H88" i="13" s="1"/>
  <c r="D90" i="13"/>
  <c r="H90" i="13" s="1"/>
  <c r="G27" i="14" l="1"/>
  <c r="H27" i="14"/>
  <c r="H91" i="13"/>
  <c r="E27" i="14" s="1"/>
  <c r="C34" i="16"/>
  <c r="C32" i="16"/>
  <c r="C30" i="16"/>
  <c r="C33" i="16"/>
  <c r="C31" i="16"/>
  <c r="H28" i="14"/>
  <c r="H97" i="13"/>
  <c r="E28" i="14" s="1"/>
  <c r="G28" i="14"/>
  <c r="I16" i="14"/>
  <c r="I27" i="14" l="1"/>
  <c r="D39" i="16"/>
  <c r="B49" i="16"/>
  <c r="E39" i="16"/>
  <c r="C39" i="16"/>
  <c r="I28" i="14"/>
  <c r="D41" i="16"/>
  <c r="C41" i="16"/>
  <c r="E41" i="16"/>
  <c r="B51" i="16"/>
  <c r="D42" i="16"/>
  <c r="B52" i="16"/>
  <c r="E42" i="16"/>
  <c r="C42" i="16"/>
  <c r="B48" i="16"/>
  <c r="D38" i="16"/>
  <c r="E38" i="16"/>
  <c r="C38" i="16"/>
  <c r="B50" i="16"/>
  <c r="E40" i="16"/>
  <c r="C40" i="16"/>
  <c r="D40" i="16"/>
  <c r="I14" i="14"/>
  <c r="C52" i="16" l="1"/>
  <c r="D52" i="16"/>
  <c r="B62" i="16"/>
  <c r="E52" i="16"/>
  <c r="E62" i="16" s="1"/>
  <c r="B60" i="16"/>
  <c r="D50" i="16"/>
  <c r="D60" i="16" s="1"/>
  <c r="C50" i="16"/>
  <c r="C60" i="16" s="1"/>
  <c r="E50" i="16"/>
  <c r="E60" i="16" s="1"/>
  <c r="B58" i="16"/>
  <c r="E48" i="16"/>
  <c r="E58" i="16" s="1"/>
  <c r="D48" i="16"/>
  <c r="D58" i="16" s="1"/>
  <c r="C48" i="16"/>
  <c r="C58" i="16" s="1"/>
  <c r="C49" i="16"/>
  <c r="D49" i="16"/>
  <c r="B59" i="16"/>
  <c r="E49" i="16"/>
  <c r="E59" i="16" s="1"/>
  <c r="D51" i="16"/>
  <c r="C51" i="16"/>
  <c r="E51" i="16"/>
  <c r="B61" i="16"/>
  <c r="E26" i="14"/>
  <c r="C70" i="14"/>
  <c r="C71" i="14"/>
  <c r="E61" i="16" l="1"/>
  <c r="C61" i="16"/>
  <c r="D62" i="16"/>
  <c r="D59" i="16"/>
  <c r="D61" i="16"/>
  <c r="C59" i="16"/>
  <c r="C62" i="16"/>
  <c r="C49" i="14"/>
  <c r="D49" i="14" s="1"/>
  <c r="C50" i="14"/>
  <c r="D50" i="14" s="1"/>
  <c r="D71" i="14"/>
  <c r="D51" i="14"/>
  <c r="D72" i="14"/>
  <c r="I26" i="14"/>
  <c r="I15" i="14"/>
  <c r="C52" i="14" l="1"/>
  <c r="D52" i="14" s="1"/>
  <c r="C73" i="14"/>
  <c r="D70" i="14"/>
  <c r="D73" i="14" l="1"/>
  <c r="D89" i="14" s="1"/>
  <c r="C89" i="14"/>
</calcChain>
</file>

<file path=xl/comments1.xml><?xml version="1.0" encoding="utf-8"?>
<comments xmlns="http://schemas.openxmlformats.org/spreadsheetml/2006/main">
  <authors>
    <author>Kahn, Ezra</author>
  </authors>
  <commentList>
    <comment ref="B10" authorId="0" shapeId="0">
      <text>
        <r>
          <rPr>
            <sz val="8"/>
            <color indexed="81"/>
            <rFont val="Tahoma"/>
            <family val="2"/>
          </rPr>
          <t>4 = From Nature
5 = From Technosphere</t>
        </r>
      </text>
    </comment>
    <comment ref="C10" authorId="0" shapeId="0">
      <text>
        <r>
          <rPr>
            <sz val="8"/>
            <color indexed="81"/>
            <rFont val="Tahoma"/>
            <family val="2"/>
          </rPr>
          <t>0 = Reference Product
2 = Co - Product
3 = Waste to Treatment
4 = To Nature</t>
        </r>
      </text>
    </comment>
  </commentList>
</comments>
</file>

<file path=xl/sharedStrings.xml><?xml version="1.0" encoding="utf-8"?>
<sst xmlns="http://schemas.openxmlformats.org/spreadsheetml/2006/main" count="2177" uniqueCount="764">
  <si>
    <t>Ammonium nitrate</t>
  </si>
  <si>
    <t>Potassium nitrate</t>
  </si>
  <si>
    <t>Urea</t>
  </si>
  <si>
    <t>P</t>
  </si>
  <si>
    <t>Quantity</t>
  </si>
  <si>
    <t>Units</t>
  </si>
  <si>
    <t>Citation</t>
  </si>
  <si>
    <t>Full Reference</t>
  </si>
  <si>
    <t>Arthurson 2009</t>
  </si>
  <si>
    <t>Mikled et al. 2002</t>
  </si>
  <si>
    <t>Mikled, C., Jiraporncharoen, S., and Potikanond, N. 2002. Utilization of fermented slurry as bio-fertilizer. From Proceedings of the Biodigester Workshop. March 2002. http://www.mekarn.org/procbiod/choke.htm  Accessed 4 March, 2016.</t>
  </si>
  <si>
    <t>Notes</t>
  </si>
  <si>
    <t>#</t>
  </si>
  <si>
    <t>Constituent</t>
  </si>
  <si>
    <t>Unit</t>
  </si>
  <si>
    <t>Source</t>
  </si>
  <si>
    <t>Note</t>
  </si>
  <si>
    <t>pH</t>
  </si>
  <si>
    <t>Water</t>
  </si>
  <si>
    <t>Dry matter</t>
  </si>
  <si>
    <t>Nitrogen (N)</t>
  </si>
  <si>
    <t>Phosphorus (P)</t>
  </si>
  <si>
    <t>Potassium (K)</t>
  </si>
  <si>
    <t>%, fresh basis</t>
  </si>
  <si>
    <t>Experimental Evidence</t>
  </si>
  <si>
    <t>Control</t>
  </si>
  <si>
    <t>3312b</t>
  </si>
  <si>
    <t>909c</t>
  </si>
  <si>
    <t>250c</t>
  </si>
  <si>
    <t>3076c</t>
  </si>
  <si>
    <t>2590b</t>
  </si>
  <si>
    <t>CF 120</t>
  </si>
  <si>
    <t>5805a</t>
  </si>
  <si>
    <t>3326a</t>
  </si>
  <si>
    <t>2507b</t>
  </si>
  <si>
    <t>5888a</t>
  </si>
  <si>
    <t>6076a</t>
  </si>
  <si>
    <t>FS 60</t>
  </si>
  <si>
    <t>3076b</t>
  </si>
  <si>
    <t>1652b</t>
  </si>
  <si>
    <t>902c</t>
  </si>
  <si>
    <t>4083bc</t>
  </si>
  <si>
    <t>4416a</t>
  </si>
  <si>
    <t>FS 120</t>
  </si>
  <si>
    <t>2486b</t>
  </si>
  <si>
    <t>1622b</t>
  </si>
  <si>
    <t>2902b</t>
  </si>
  <si>
    <t>5590ab</t>
  </si>
  <si>
    <t>5062a</t>
  </si>
  <si>
    <t>FS 180</t>
  </si>
  <si>
    <t>3257b</t>
  </si>
  <si>
    <t>2243b</t>
  </si>
  <si>
    <t>5083a</t>
  </si>
  <si>
    <t>6361a</t>
  </si>
  <si>
    <t>6062a</t>
  </si>
  <si>
    <t>Mean</t>
  </si>
  <si>
    <t>3587 NS</t>
  </si>
  <si>
    <t>1948*</t>
  </si>
  <si>
    <t>2329**</t>
  </si>
  <si>
    <t>5000*</t>
  </si>
  <si>
    <t>4841**</t>
  </si>
  <si>
    <t>Trial 1</t>
  </si>
  <si>
    <t>Trial 2</t>
  </si>
  <si>
    <t>Trial 3</t>
  </si>
  <si>
    <t>Trial 4</t>
  </si>
  <si>
    <t>Trial 5</t>
  </si>
  <si>
    <t>Average</t>
  </si>
  <si>
    <t>(Year 2)</t>
  </si>
  <si>
    <t>1562e</t>
  </si>
  <si>
    <t>1451d</t>
  </si>
  <si>
    <t>1444c</t>
  </si>
  <si>
    <t>1451c</t>
  </si>
  <si>
    <t>1666d</t>
  </si>
  <si>
    <t>6715b</t>
  </si>
  <si>
    <t>4250bc</t>
  </si>
  <si>
    <t>4757b</t>
  </si>
  <si>
    <t>3361bc</t>
  </si>
  <si>
    <t>5104c</t>
  </si>
  <si>
    <t>4395d</t>
  </si>
  <si>
    <t>3583c</t>
  </si>
  <si>
    <t>4840b</t>
  </si>
  <si>
    <t>5486ab</t>
  </si>
  <si>
    <t>6479b</t>
  </si>
  <si>
    <t>6034c</t>
  </si>
  <si>
    <t>5541b</t>
  </si>
  <si>
    <t>6729a</t>
  </si>
  <si>
    <t>6958a</t>
  </si>
  <si>
    <t>7903a</t>
  </si>
  <si>
    <t>8812a</t>
  </si>
  <si>
    <t>7368a</t>
  </si>
  <si>
    <t>7875a</t>
  </si>
  <si>
    <t>7111a</t>
  </si>
  <si>
    <t>8847a</t>
  </si>
  <si>
    <t>5504**</t>
  </si>
  <si>
    <t>4438**</t>
  </si>
  <si>
    <t>5129**</t>
  </si>
  <si>
    <t>4873**</t>
  </si>
  <si>
    <t>6000**</t>
  </si>
  <si>
    <t>values are in kg/ha. Values for each trial with the same letter are considered to be statistically identical. 3 of 10 years show &gt; yields for FS 120 vs CF120 (fermented slurry and conventional fertilizer respectively). 3 of 10 years show lower yields for FS. 4 of 10 years show = yields</t>
  </si>
  <si>
    <t>Supports 1 to 1 substitution of CF for FS based on equivalent N content.</t>
  </si>
  <si>
    <t>2 years application of fermented slurry (FS) and conventional fertilizer (CF) at 120 kg/ha yielded an increase in soil organic matter (OM) content for both treatments. OM increase for CF relative to the control (no N addition) was 1.35%. Increase in OM from FS treatment relative to control was 32.4%. Percent difference between the two OM contents for CF and FS is 28%. Potassium content dropped for both corn and napier grass experiments.</t>
  </si>
  <si>
    <t>Warnars and Oppenoorth 2014</t>
  </si>
  <si>
    <t xml:space="preserve">Warnars, L., and Oppenoorth, H. 2014. Bioslurry: A supreme fertiliser, a study on bioslurry results and uses. </t>
  </si>
  <si>
    <t>pH units</t>
  </si>
  <si>
    <t>Description</t>
  </si>
  <si>
    <t>C/N ratio drops in AD sludge from 17 in raw swine manure to 10.5 in biogas residue. (Arthurson 2009)</t>
  </si>
  <si>
    <t>During a two-year field experiment, no significant differences were observed in the cumulative plant dry weight of alfalfa subjected to different fertilizer treatments (anaerobic digestates and mineral fertilizers) (Arthurson 2009)</t>
  </si>
  <si>
    <t>Lowers soil bulk density, increases hydraulic conductivity, and increases moisture retention (Arthurson 2009)</t>
  </si>
  <si>
    <t>As</t>
  </si>
  <si>
    <t>Cd</t>
  </si>
  <si>
    <t>Cr</t>
  </si>
  <si>
    <t>Hg</t>
  </si>
  <si>
    <t>Pb</t>
  </si>
  <si>
    <t>Quantity, Avg</t>
  </si>
  <si>
    <t>Max (mg/L)</t>
  </si>
  <si>
    <t>Min (mg/L)</t>
  </si>
  <si>
    <t># of samples</t>
  </si>
  <si>
    <t>Liu et al. 2014</t>
  </si>
  <si>
    <t>Assumed bioslurry density</t>
  </si>
  <si>
    <t>kg/L</t>
  </si>
  <si>
    <t>emission factor, Avg</t>
  </si>
  <si>
    <t>emission factor, min</t>
  </si>
  <si>
    <t>emission factor, max</t>
  </si>
  <si>
    <t>Makadi et al. 2012</t>
  </si>
  <si>
    <t>mg/L</t>
  </si>
  <si>
    <t>The application depth has a significant effect on ammonia volatilization. Surface application of a liquid biofertiliser caused the loss of 20-35% of the applied total ammoniacal N while disc coulter injection into 5-7 cm depth reduced the ammoniacal loss to 2-3% (Makadi et al. 2012)</t>
  </si>
  <si>
    <t>Total-N</t>
  </si>
  <si>
    <t>NH4-N</t>
  </si>
  <si>
    <t>Total-P</t>
  </si>
  <si>
    <t>Total-K</t>
  </si>
  <si>
    <t>%DM</t>
  </si>
  <si>
    <t>% total-N</t>
  </si>
  <si>
    <t>FAO 1996</t>
  </si>
  <si>
    <t>FAO (Food and Agriculture Organizatoin of the UN). 1996. Biogas Technology: A Training Manual for Extension. Kathmandu, Nepal. http://www.fao.org/3/a-ae897e/ Accessed 4 March, 2016.</t>
  </si>
  <si>
    <t>ISAT 1999</t>
  </si>
  <si>
    <t>ISAT (Information and Advisory Service on Appropriate Technology). 1999. Biogas Digest Vol 1. Biogas Basics. http://biogas.ifas.ufl.edu/ad_development/documents/biogasdigestvol1.pdf  Accessed 4 March, 2016.</t>
  </si>
  <si>
    <t>Profile 4</t>
  </si>
  <si>
    <t>Ash</t>
  </si>
  <si>
    <t>P2O5</t>
  </si>
  <si>
    <t>Total Nitrogen (N)</t>
  </si>
  <si>
    <t>Water Soluble P</t>
  </si>
  <si>
    <t>NO3-N</t>
  </si>
  <si>
    <t>K2O</t>
  </si>
  <si>
    <t>Smith et al. 2007</t>
  </si>
  <si>
    <t>Smith, K., Grylls, J., Metcalfe, P., Jeffrey, B., and Sinclair, A. 2007. Nutrient Value of Difestate from Farm-based Biogas Plants in Scotland. Prepared for Scottish Executive Environment and Rural Affairs Department. http://www.gov.scot/resource/doc/1057/0053041.pdf  Accessed 4 March, 2016.</t>
  </si>
  <si>
    <t>Kumar et al. 2015</t>
  </si>
  <si>
    <t>K</t>
  </si>
  <si>
    <t>kg/kg</t>
  </si>
  <si>
    <t>From Kumar 2015</t>
  </si>
  <si>
    <t>Input/Output</t>
  </si>
  <si>
    <t>Original Value</t>
  </si>
  <si>
    <t>Original Unit</t>
  </si>
  <si>
    <t>Ammonia Emissions, during field application of digested dairy cattle slurry</t>
  </si>
  <si>
    <t>g/m3</t>
  </si>
  <si>
    <t>Amon and Amon 2006</t>
  </si>
  <si>
    <t>low</t>
  </si>
  <si>
    <t>calculated</t>
  </si>
  <si>
    <t>kg-NO3</t>
  </si>
  <si>
    <t>biogas production, from cattle waste</t>
  </si>
  <si>
    <t>m3/kg</t>
  </si>
  <si>
    <t>mg/kg</t>
  </si>
  <si>
    <t>Dry matter, other</t>
  </si>
  <si>
    <t>%</t>
  </si>
  <si>
    <t xml:space="preserve">Dry matter </t>
  </si>
  <si>
    <t>Moller et al. 2008</t>
  </si>
  <si>
    <t>kg/kg DM</t>
  </si>
  <si>
    <t>OM</t>
  </si>
  <si>
    <t>Mg</t>
  </si>
  <si>
    <t>from Smith et al. 2007</t>
  </si>
  <si>
    <t>% DM</t>
  </si>
  <si>
    <t>kg-NH4</t>
  </si>
  <si>
    <t>kg-P</t>
  </si>
  <si>
    <t>kg-K</t>
  </si>
  <si>
    <t>% of Total N</t>
  </si>
  <si>
    <t>CH4 emissions, during field application of digested dairy cattle slurry</t>
  </si>
  <si>
    <t>kg/m3</t>
  </si>
  <si>
    <t>m3/kg DM</t>
  </si>
  <si>
    <t>N2O emissionss, during field application of digested dairy cattle sludge</t>
  </si>
  <si>
    <t>Ammonia Emissions, during field application of digested pig slurry</t>
  </si>
  <si>
    <t>CH4 emissions, during field application of digested pig slurry</t>
  </si>
  <si>
    <t>N2O emissionss, during field application of digested pig sludge</t>
  </si>
  <si>
    <t>Nagamani et al. 1999</t>
  </si>
  <si>
    <t>Adelekan 2014</t>
  </si>
  <si>
    <t>digester gas yield</t>
  </si>
  <si>
    <t>from pig farm sludge, 0.5-0.6</t>
  </si>
  <si>
    <t>beef cattle waste, 0.2-0.3 m3/kg</t>
  </si>
  <si>
    <t>gas yield</t>
  </si>
  <si>
    <t>m3 CH4/kg VS</t>
  </si>
  <si>
    <t>wheat straw-manure mixture</t>
  </si>
  <si>
    <t>biogas production</t>
  </si>
  <si>
    <t>cattle waste</t>
  </si>
  <si>
    <t>buffalo waste</t>
  </si>
  <si>
    <t>piggery waste</t>
  </si>
  <si>
    <t>chicken waste</t>
  </si>
  <si>
    <t>human waste</t>
  </si>
  <si>
    <t>Note 2</t>
  </si>
  <si>
    <t>SGC 2012</t>
  </si>
  <si>
    <t>SGC (Swedish Gas Center). 2012. Basic Data on Biogas. Malmo, Sweden. www.sgc.se accessed 8 March, 2016.</t>
  </si>
  <si>
    <t>m3 biogas/kg TS</t>
  </si>
  <si>
    <t>liquid cattle manure</t>
  </si>
  <si>
    <t>m3 biogas/kg wet weight</t>
  </si>
  <si>
    <t>liquid pig slurry</t>
  </si>
  <si>
    <t>from SGC 2012</t>
  </si>
  <si>
    <t>Heat Content</t>
  </si>
  <si>
    <t>21-24</t>
  </si>
  <si>
    <t>MJ/m3</t>
  </si>
  <si>
    <t>biogas (50-70% Ch4)</t>
  </si>
  <si>
    <t>Bond 2011</t>
  </si>
  <si>
    <t>there are now 4 and 27 million biogas plants in IN and CH respectively (Bond 2011)</t>
  </si>
  <si>
    <t>biogas, low</t>
  </si>
  <si>
    <t>pig manure</t>
  </si>
  <si>
    <t>Biogas, high</t>
  </si>
  <si>
    <t xml:space="preserve">pig manure </t>
  </si>
  <si>
    <t>cow manure</t>
  </si>
  <si>
    <t>Only approximately 10 percent of the total nitrogen content in fresh dung is readily available for plant growth A major portion of it has first to be biologically transformed in the soil and is only then gradually released for plant use. When fresh cow dung dries, approximately 30 to 50 percent of the nitrogen escapes within 10 days (FAO 1996)</t>
  </si>
  <si>
    <t>g/L</t>
  </si>
  <si>
    <t>when NH4 constitutes &gt;25% of total N, special application techniques should be used to minimize NH3 volatilization (Gutser et al. 2005)</t>
  </si>
  <si>
    <t>Gutser et al. 2005</t>
  </si>
  <si>
    <t xml:space="preserve">N-content </t>
  </si>
  <si>
    <t>3 to 15</t>
  </si>
  <si>
    <t xml:space="preserve">DM </t>
  </si>
  <si>
    <t>NH4</t>
  </si>
  <si>
    <t>45-70</t>
  </si>
  <si>
    <t>% total N</t>
  </si>
  <si>
    <t>C:N</t>
  </si>
  <si>
    <t>2 to 5</t>
  </si>
  <si>
    <t>biodegradability of OM</t>
  </si>
  <si>
    <t>Short-term mineral fertilizer equivalent</t>
  </si>
  <si>
    <t>50 to 70</t>
  </si>
  <si>
    <t>% (kg for kg of Nitrogen)</t>
  </si>
  <si>
    <t>slurry</t>
  </si>
  <si>
    <t>BOD</t>
  </si>
  <si>
    <t>COD</t>
  </si>
  <si>
    <t>BOD removal</t>
  </si>
  <si>
    <t>COD removal</t>
  </si>
  <si>
    <t>methane</t>
  </si>
  <si>
    <t>m3/kg COD removed</t>
  </si>
  <si>
    <t>Rao et al. 2010</t>
  </si>
  <si>
    <t>mg/kg DM</t>
  </si>
  <si>
    <t>assumes 60-65% CH4, 35-40% CO2, 0.5-1% H2S</t>
  </si>
  <si>
    <t>biogas Density</t>
  </si>
  <si>
    <t>Enconsult</t>
  </si>
  <si>
    <t>ENconsult. Biogas in Leicestershire. Prepared for Leicester shire County Council. http://www.leics.gov.uk/ad_feasibility_study_appendices.pdf  Accessed 8 March, 2016.</t>
  </si>
  <si>
    <t>Cadmium</t>
  </si>
  <si>
    <t>TKN</t>
  </si>
  <si>
    <t>Quantity-Low</t>
  </si>
  <si>
    <t>Quantity-High</t>
  </si>
  <si>
    <t>TOC</t>
  </si>
  <si>
    <t>Total Available Phosphorous</t>
  </si>
  <si>
    <t>Total Potassium</t>
  </si>
  <si>
    <t>Total Sodium</t>
  </si>
  <si>
    <t>Total Calcium</t>
  </si>
  <si>
    <t>Iron</t>
  </si>
  <si>
    <t>Copper</t>
  </si>
  <si>
    <t>Zinc</t>
  </si>
  <si>
    <t>g/kg</t>
  </si>
  <si>
    <t>Yadav et al. 2013</t>
  </si>
  <si>
    <t>Kalia and Singh 1998</t>
  </si>
  <si>
    <t>biogas yield</t>
  </si>
  <si>
    <t>cow dung</t>
  </si>
  <si>
    <t>paper reports 29.5 liters of biogas production from 1 kg of dung with a DM content of 20.5%</t>
  </si>
  <si>
    <t>from Bond 2011</t>
  </si>
  <si>
    <t>from Kalia and Singh 1998</t>
  </si>
  <si>
    <t>Chastain and Camberato 2004</t>
  </si>
  <si>
    <t>Moisture</t>
  </si>
  <si>
    <t>Total Solids</t>
  </si>
  <si>
    <t>Organic-N</t>
  </si>
  <si>
    <t>Ca</t>
  </si>
  <si>
    <t>Zn</t>
  </si>
  <si>
    <t>Cu</t>
  </si>
  <si>
    <t>Mn</t>
  </si>
  <si>
    <t>S</t>
  </si>
  <si>
    <t>Na</t>
  </si>
  <si>
    <t>lb/ton</t>
  </si>
  <si>
    <t>Typically total N, P, and K don't change in bioslurry. % of NH4-N increases by 25% (Smith et al. 2007)</t>
  </si>
  <si>
    <t>there were no clear effects of slurry digestion on the annual emissions of N2O (Smith et al. 2007)</t>
  </si>
  <si>
    <t>undigested slurry tends to lose more ammonia due to volatilization during land application (table 5, smith et al. 2007)</t>
  </si>
  <si>
    <t>Digested slurry loses more Nitrogen during storage (table 4, smith et al. 2007)</t>
  </si>
  <si>
    <t>short-term nitrogen utlization appears to be higher for digested slurries, but long term utilization of undigested slurries washes out those effects (Smith et al. 2007)</t>
  </si>
  <si>
    <t>There is no significant volume reduction in digested slurry for land application (Smith et al. 2007)</t>
  </si>
  <si>
    <t>Gurung 1997</t>
  </si>
  <si>
    <t>water</t>
  </si>
  <si>
    <t>Dry Matter</t>
  </si>
  <si>
    <t>Organic Matter</t>
  </si>
  <si>
    <t>Inorganic</t>
  </si>
  <si>
    <t>Total Nitrogen</t>
  </si>
  <si>
    <t>Potassium</t>
  </si>
  <si>
    <t>Phosphorus</t>
  </si>
  <si>
    <t>Gurung, J.B. 1997. Review of Literature on Effects of Slurry Use on Crop Production. Prepared for The Biogas Support Program. Kathmandu, Nepal. http://citeseerx.ist.psu.edu/viewdoc/download?doi=10.1.1.458.6298&amp;rep=rep1&amp;type=pdf  Accessed 23 March, 2016.</t>
  </si>
  <si>
    <t xml:space="preserve">More plant available inorganic N is available in digestate than in raw manure (Arthurson 2009). “Digested residue contains 25% more accessible ammonium (NH4 +-N) than untreated liquid manure [55] (Arthurson 2009).”  </t>
  </si>
  <si>
    <t xml:space="preserve">Numerous studies have shown that Biogas digestate does not have a considerable effect on soil pH following long-term application (Makadi et al 2012). This is the case despite the fact that digestate pH tends to be above that of typical soil environments. </t>
  </si>
  <si>
    <t>m3/kg fresh dung</t>
  </si>
  <si>
    <t>Singh et al. 2014</t>
  </si>
  <si>
    <t>fresh dung, input to AD</t>
  </si>
  <si>
    <t xml:space="preserve">biogas production </t>
  </si>
  <si>
    <t>m3/kg fresh DM</t>
  </si>
  <si>
    <t>DM loss during digestion</t>
  </si>
  <si>
    <t>Unknown Basis</t>
  </si>
  <si>
    <t>Dry Matter Loss During Digestion</t>
  </si>
  <si>
    <t>average result of many studies</t>
  </si>
  <si>
    <t>Biogas production/kg effluent DM</t>
  </si>
  <si>
    <t>m3/kg-DM</t>
  </si>
  <si>
    <t>Biogas production from Fresh Dung</t>
  </si>
  <si>
    <t>"from fresh animal waste"</t>
  </si>
  <si>
    <t>Moisture Content of Fresh Animal Waste</t>
  </si>
  <si>
    <t>says "gas yields related to organic matter fed to digester"</t>
  </si>
  <si>
    <t>says "gas yields related to organic matter fed to digester"; organic matter is typically ~</t>
  </si>
  <si>
    <t>no moisture contents reported; checked original source and could not find these values</t>
  </si>
  <si>
    <t>calculated based on stated DM content of 20.5%</t>
  </si>
  <si>
    <t>biogas</t>
  </si>
  <si>
    <t>m3 biogas/kg manure DM</t>
  </si>
  <si>
    <t>cow</t>
  </si>
  <si>
    <t>pig</t>
  </si>
  <si>
    <t>Plochl and Heiermann 2006</t>
  </si>
  <si>
    <t>Plochl, M., and Heiermann M. 2006. Biogas Farming in Central and Northern Europe: A Strategy for Developing Countries? Leibniz Institute of Agricultural Engineering. Potsdam-Bornim, Germany. https://ecommons.cornell.edu/bitstream/handle/1813/10559/Invited%20Overview%20Plochl%20final%2027Feb2006.pdf?sequence=1 Accessed 23 March, 2016.</t>
  </si>
  <si>
    <t>probably correct, but associated with values above, threw out to be safe</t>
  </si>
  <si>
    <t>IPCC 2006</t>
  </si>
  <si>
    <t>Mass loss during digestion</t>
  </si>
  <si>
    <t>Chen et al. 2012</t>
  </si>
  <si>
    <t>m3 biogas/kg cow manure</t>
  </si>
  <si>
    <t>Poeschl et al. 2012</t>
  </si>
  <si>
    <t>Transportation assumptions</t>
  </si>
  <si>
    <t>km</t>
  </si>
  <si>
    <t>from field to AD</t>
  </si>
  <si>
    <t>Poeschl et al 2012</t>
  </si>
  <si>
    <t>modern European biogas</t>
  </si>
  <si>
    <t>Distance, feedstock</t>
  </si>
  <si>
    <t>Distance, to bioslurry application</t>
  </si>
  <si>
    <t>AD to field</t>
  </si>
  <si>
    <t>Poeschl standardized to influent DM conten of 12% regardless of feedstock. (2012)</t>
  </si>
  <si>
    <t>Nkoa 2014</t>
  </si>
  <si>
    <t>a number of studies indicate that N2O emissions appear to be lower per kg of applied nitrogen for bioslurry than for undigested manure. 37.5% reduction, 54-69% reduction on loam and 17-71% reduction on sandy loam (Nkoa 2014, 10)</t>
  </si>
  <si>
    <t>Alburquerque et al. 2012</t>
  </si>
  <si>
    <t>TN</t>
  </si>
  <si>
    <t>Median Value</t>
  </si>
  <si>
    <t>Low Value</t>
  </si>
  <si>
    <t>Max Value</t>
  </si>
  <si>
    <t>Cl</t>
  </si>
  <si>
    <t>Fe</t>
  </si>
  <si>
    <t>B</t>
  </si>
  <si>
    <t>DM</t>
  </si>
  <si>
    <t>Max (kg/kg)</t>
  </si>
  <si>
    <t>Median (kg/kg)</t>
  </si>
  <si>
    <t>Min (kg/kg)</t>
  </si>
  <si>
    <t>Median (kg/kg-DM)</t>
  </si>
  <si>
    <t>Min (kg/kg-DM)</t>
  </si>
  <si>
    <t>Max (kg/kg-DM)</t>
  </si>
  <si>
    <t>Bachmann et al. 2014</t>
  </si>
  <si>
    <t>No significant effect on P-uptake by plants has been demonstrated by the digestion process (Bachmann et al. 2014)</t>
  </si>
  <si>
    <t>Crop</t>
  </si>
  <si>
    <t>Application Rate</t>
  </si>
  <si>
    <t>Emissions (kg/ha/yr)</t>
  </si>
  <si>
    <t>Rice</t>
  </si>
  <si>
    <t>Comment</t>
  </si>
  <si>
    <t>Low emissions estimate</t>
  </si>
  <si>
    <t>Medium emissions estimate</t>
  </si>
  <si>
    <t>High emissions estimate</t>
  </si>
  <si>
    <t>Wheat</t>
  </si>
  <si>
    <t>N2O (kg/kg-N applied)</t>
  </si>
  <si>
    <t>Sugarcane</t>
  </si>
  <si>
    <t>Tsiropoulous et al. 2014</t>
  </si>
  <si>
    <t>Min</t>
  </si>
  <si>
    <t>Max</t>
  </si>
  <si>
    <t>P (kg/kg-P2O5 applied)</t>
  </si>
  <si>
    <t>expected, max and min values for fertilizer application and P emissions to surface water were pulled for each biomass crop in India, columns C &amp; D, respectively. These values are used to estimate average P emissions.</t>
  </si>
  <si>
    <t>Emissions (kg-NH3/ha/yr)</t>
  </si>
  <si>
    <t>IPCC (Intergovernmental Panel on Climate Change). 2006. 2006 IPCC Guidelines for National Greenhouse Gas Inventories. Prepared for United Nations Environment Program. http://www.ipcc-nggip.iges.or.jp/public/2006gl/  Accessed 2 March, 2016.</t>
  </si>
  <si>
    <t>Wang et al. 2014</t>
  </si>
  <si>
    <t>Wang, G.L., Ye, Y.L., Chen, X.P., and Cui, Z.L. 2014. Determining the optimal nitrogen rate for summer maize in China by integrating agronomic, economic and environmental aspects. Biogeosciences. 30. 3031-3041.</t>
  </si>
  <si>
    <r>
      <t xml:space="preserve">Arthurson, V. 2009. Closing the Global Energy and Nutrient Cycles through Application of Biogas Residue to Agricultural Land – Potential Benefits and Drawbacks. </t>
    </r>
    <r>
      <rPr>
        <i/>
        <sz val="12"/>
        <color theme="1"/>
        <rFont val="Times New Roman"/>
        <family val="1"/>
      </rPr>
      <t xml:space="preserve">Energies. </t>
    </r>
    <r>
      <rPr>
        <sz val="12"/>
        <color theme="1"/>
        <rFont val="Times New Roman"/>
        <family val="1"/>
      </rPr>
      <t>2. 226-242.</t>
    </r>
  </si>
  <si>
    <r>
      <t xml:space="preserve">Li, S., Wang, L., Li, X., Chen, Y., and Fu, M. 2014. Potential risk assessment of heavy metal in biogas slurry irrigation. </t>
    </r>
    <r>
      <rPr>
        <i/>
        <sz val="12"/>
        <color theme="1"/>
        <rFont val="Times New Roman"/>
        <family val="1"/>
      </rPr>
      <t xml:space="preserve">Journal of Plant Nutrition and Fertilizer. </t>
    </r>
    <r>
      <rPr>
        <sz val="12"/>
        <color theme="1"/>
        <rFont val="Times New Roman"/>
        <family val="1"/>
      </rPr>
      <t>20(6). 1517-1524.</t>
    </r>
  </si>
  <si>
    <r>
      <t xml:space="preserve">Makadi, M., Tomocsik, A., and Orosz, V. 2012. Digestate: A New Nutrient Source-Review. In </t>
    </r>
    <r>
      <rPr>
        <i/>
        <sz val="12"/>
        <color theme="1"/>
        <rFont val="Times New Roman"/>
        <family val="1"/>
      </rPr>
      <t xml:space="preserve">Biogas, </t>
    </r>
    <r>
      <rPr>
        <sz val="12"/>
        <color theme="1"/>
        <rFont val="Times New Roman"/>
        <family val="1"/>
      </rPr>
      <t>edited by S. Kumar, ISBN: 978-953-51-0204-5, InTech, DOI: 10.5772/31254. http://www.intechopen.com/books/biogas Accessed 4 March, 2016.</t>
    </r>
  </si>
  <si>
    <r>
      <t xml:space="preserve">Kumar, S., Malav, L.C., Malav, M.K., and Khan, S.A. 2015. Biogas Slurry: Sources of Nutrients fro Eco-friendly Agriculture. </t>
    </r>
    <r>
      <rPr>
        <i/>
        <sz val="12"/>
        <color theme="1"/>
        <rFont val="Times New Roman"/>
        <family val="1"/>
      </rPr>
      <t xml:space="preserve">Internation Journal of Extension Research. </t>
    </r>
    <r>
      <rPr>
        <sz val="12"/>
        <color theme="1"/>
        <rFont val="Times New Roman"/>
        <family val="1"/>
      </rPr>
      <t xml:space="preserve">2. 42-46. </t>
    </r>
  </si>
  <si>
    <r>
      <t xml:space="preserve">Amon, B., Kryvoruchko, V., Moitzi, G. Amon, T., Zechmeister-Botenstern, S. 2006. Methane, nitrous oxide and ammonia emissions during stroage and after application of dairy cattle slurry and influence of slurry treatment. </t>
    </r>
    <r>
      <rPr>
        <i/>
        <sz val="12"/>
        <color theme="1"/>
        <rFont val="Times New Roman"/>
        <family val="1"/>
      </rPr>
      <t xml:space="preserve">Agriculture Ecosystems and Environment. </t>
    </r>
  </si>
  <si>
    <r>
      <t xml:space="preserve">Adelekan, B.A. 2014. Potentials of Selected Tropical Crops and Manure as Sources of Biofuels. </t>
    </r>
    <r>
      <rPr>
        <i/>
        <sz val="12"/>
        <color theme="1"/>
        <rFont val="Times New Roman"/>
        <family val="1"/>
      </rPr>
      <t xml:space="preserve">Institute of Agricultural Research and Training. </t>
    </r>
    <r>
      <rPr>
        <sz val="12"/>
        <color theme="1"/>
        <rFont val="Times New Roman"/>
        <family val="1"/>
      </rPr>
      <t>http://cdn.intechopen.com/pdfs-wm/31318.pdf  Accessed 8 March, 2014.</t>
    </r>
  </si>
  <si>
    <r>
      <t xml:space="preserve">Bond, T., and Templeton, M.R. 2011. History and future of domestic biogas plants in the developing world. </t>
    </r>
    <r>
      <rPr>
        <i/>
        <sz val="12"/>
        <color theme="1"/>
        <rFont val="Times New Roman"/>
        <family val="1"/>
      </rPr>
      <t xml:space="preserve">Energy for Sustainable Development. </t>
    </r>
    <r>
      <rPr>
        <sz val="12"/>
        <color theme="1"/>
        <rFont val="Times New Roman"/>
        <family val="1"/>
      </rPr>
      <t>15. 347-354.</t>
    </r>
  </si>
  <si>
    <r>
      <t xml:space="preserve">Gutser, R., Ebertseder, Th., Weber, A., Schraml, A.W., and Schmidhalter, U. 2005. Short-term and residual availability of nitrogen after long-term application of organic fertilizers on arable land. </t>
    </r>
    <r>
      <rPr>
        <i/>
        <sz val="12"/>
        <color theme="1"/>
        <rFont val="Times New Roman"/>
        <family val="1"/>
      </rPr>
      <t xml:space="preserve">Journal of Plant Nutrition and Soil Science. </t>
    </r>
    <r>
      <rPr>
        <sz val="12"/>
        <color theme="1"/>
        <rFont val="Times New Roman"/>
        <family val="1"/>
      </rPr>
      <t>168. 439-446.</t>
    </r>
  </si>
  <si>
    <r>
      <t xml:space="preserve">Yadav, A., Gupta, R., and Garg, V.K. 2013. Organic manure production from cow dung and biogas plant slurry by vermicomposting under field conditions. </t>
    </r>
    <r>
      <rPr>
        <i/>
        <sz val="12"/>
        <color theme="1"/>
        <rFont val="Times New Roman"/>
        <family val="1"/>
      </rPr>
      <t>International Journal of Recycling of Organic Waste in Agriculture. Http://www.ijrowa.com/content/2/1/21  Accessed 8 March, 2016.</t>
    </r>
  </si>
  <si>
    <r>
      <t xml:space="preserve">Kalia, A.K., and Singh, S.P. 1998. Horse dung as a partial substitute for cattle dung for operating family-size biogas plants in a hilly region. </t>
    </r>
    <r>
      <rPr>
        <i/>
        <sz val="12"/>
        <color theme="1"/>
        <rFont val="Times New Roman"/>
        <family val="1"/>
      </rPr>
      <t xml:space="preserve">Bioresource Technology. </t>
    </r>
    <r>
      <rPr>
        <sz val="12"/>
        <color theme="1"/>
        <rFont val="Times New Roman"/>
        <family val="1"/>
      </rPr>
      <t xml:space="preserve">64. 63-66. </t>
    </r>
  </si>
  <si>
    <r>
      <t>Chastain, John P., and James J. Camberato. 2004. Dairy manure production and nutrient content. </t>
    </r>
    <r>
      <rPr>
        <i/>
        <sz val="12"/>
        <color rgb="FF222222"/>
        <rFont val="Times New Roman"/>
        <family val="1"/>
      </rPr>
      <t>Confined Animal Manure Manager Certification Program Manual Dairy Version.</t>
    </r>
    <r>
      <rPr>
        <sz val="12"/>
        <color rgb="FF222222"/>
        <rFont val="Times New Roman"/>
        <family val="1"/>
      </rPr>
      <t xml:space="preserve"> 1-16.  https://www.clemson.edu/extension/livestock/camm/camm_files/dairy/dch3a_04.pdf  Accessed 11 March, 2016.</t>
    </r>
  </si>
  <si>
    <r>
      <t xml:space="preserve">Chen, S., Chen, B., Song, D. 2012. Life-cycle energy production and emissions mitigation by comprehensive biogas-digestate utilization. </t>
    </r>
    <r>
      <rPr>
        <i/>
        <sz val="12"/>
        <color theme="1"/>
        <rFont val="Times New Roman"/>
        <family val="1"/>
      </rPr>
      <t xml:space="preserve">Bioresource Technology. </t>
    </r>
    <r>
      <rPr>
        <sz val="12"/>
        <color theme="1"/>
        <rFont val="Times New Roman"/>
        <family val="1"/>
      </rPr>
      <t>114. 357-364.</t>
    </r>
  </si>
  <si>
    <r>
      <t xml:space="preserve">Poeschl, M., Ward, S., and Owende, P. 2012. Environmental impacts of biogas deployment - Part I: life cycle inventory for evaluation of production process emissions to air. </t>
    </r>
    <r>
      <rPr>
        <i/>
        <sz val="12"/>
        <color theme="1"/>
        <rFont val="Times New Roman"/>
        <family val="1"/>
      </rPr>
      <t xml:space="preserve">Journal of Cleaner Production. </t>
    </r>
    <r>
      <rPr>
        <sz val="12"/>
        <color theme="1"/>
        <rFont val="Times New Roman"/>
        <family val="1"/>
      </rPr>
      <t xml:space="preserve">24. 168-183. </t>
    </r>
  </si>
  <si>
    <r>
      <t xml:space="preserve">Nkoa, R. 2014. Agricultural benefits and environmental risks of soil fertilization with anaerobic digestates: a review. </t>
    </r>
    <r>
      <rPr>
        <i/>
        <sz val="12"/>
        <color theme="1"/>
        <rFont val="Times New Roman"/>
        <family val="1"/>
      </rPr>
      <t xml:space="preserve">Agronomic Sustainable Development. </t>
    </r>
    <r>
      <rPr>
        <sz val="12"/>
        <color theme="1"/>
        <rFont val="Times New Roman"/>
        <family val="1"/>
      </rPr>
      <t xml:space="preserve">34. 473-492. </t>
    </r>
  </si>
  <si>
    <r>
      <t xml:space="preserve">Alburquerque, J.A., de la Fuente, C., Ferrer-Costa, A., Carrasco, L., Cegarra, J., Abad, M., and Bernal, M.P. 2012. Assessment of the fertiliser potential of digestates from farm and agroindustrial residues. </t>
    </r>
    <r>
      <rPr>
        <i/>
        <sz val="12"/>
        <color theme="1"/>
        <rFont val="Times New Roman"/>
        <family val="1"/>
      </rPr>
      <t>Biomass and Bioenergy.</t>
    </r>
    <r>
      <rPr>
        <sz val="12"/>
        <color theme="1"/>
        <rFont val="Times New Roman"/>
        <family val="1"/>
      </rPr>
      <t>40. 181-189.</t>
    </r>
  </si>
  <si>
    <r>
      <t xml:space="preserve">Bachmann, S., Gropp, M., Eichler-Lobermann, B. 2014. Phosphorus availability and soil microbial activity in a 3 year field experiment amended with digested dairy slurry. </t>
    </r>
    <r>
      <rPr>
        <i/>
        <sz val="12"/>
        <color theme="1"/>
        <rFont val="Times New Roman"/>
        <family val="1"/>
      </rPr>
      <t xml:space="preserve">Biomass and Bioenergy. </t>
    </r>
    <r>
      <rPr>
        <sz val="12"/>
        <color theme="1"/>
        <rFont val="Times New Roman"/>
        <family val="1"/>
      </rPr>
      <t xml:space="preserve">70. 429-439. </t>
    </r>
  </si>
  <si>
    <r>
      <t xml:space="preserve">Moller, K., Stinner, W., Deuker, A., and Leithold, G. 2008. Effects of different manuring systems with and without biogas digestion on nitrogen cycle and crop yield in mixed organic dairy farming systems. </t>
    </r>
    <r>
      <rPr>
        <i/>
        <sz val="12"/>
        <color theme="1"/>
        <rFont val="Times New Roman"/>
        <family val="1"/>
      </rPr>
      <t xml:space="preserve">Nutrient Cycling in Agroecosystems. </t>
    </r>
    <r>
      <rPr>
        <sz val="12"/>
        <color theme="1"/>
        <rFont val="Times New Roman"/>
        <family val="1"/>
      </rPr>
      <t>82. 209-232.</t>
    </r>
  </si>
  <si>
    <r>
      <t>(</t>
    </r>
    <r>
      <rPr>
        <b/>
        <sz val="12"/>
        <color rgb="FFFF0000"/>
        <rFont val="Times New Roman"/>
        <family val="1"/>
      </rPr>
      <t>calculated</t>
    </r>
    <r>
      <rPr>
        <b/>
        <sz val="12"/>
        <rFont val="Times New Roman"/>
        <family val="1"/>
      </rPr>
      <t>)-units: kg/kg</t>
    </r>
  </si>
  <si>
    <r>
      <t>(</t>
    </r>
    <r>
      <rPr>
        <b/>
        <sz val="12"/>
        <color rgb="FFFF0000"/>
        <rFont val="Times New Roman"/>
        <family val="1"/>
      </rPr>
      <t>calculated</t>
    </r>
    <r>
      <rPr>
        <b/>
        <sz val="12"/>
        <rFont val="Times New Roman"/>
        <family val="1"/>
      </rPr>
      <t>)-units: kg/kg DM</t>
    </r>
  </si>
  <si>
    <r>
      <t>calculated</t>
    </r>
    <r>
      <rPr>
        <b/>
        <i/>
        <sz val="12"/>
        <rFont val="Times New Roman"/>
        <family val="1"/>
      </rPr>
      <t>-</t>
    </r>
    <r>
      <rPr>
        <b/>
        <sz val="12"/>
        <rFont val="Times New Roman"/>
        <family val="1"/>
      </rPr>
      <t>max</t>
    </r>
  </si>
  <si>
    <r>
      <t>calculated</t>
    </r>
    <r>
      <rPr>
        <b/>
        <i/>
        <sz val="12"/>
        <rFont val="Times New Roman"/>
        <family val="1"/>
      </rPr>
      <t>-min</t>
    </r>
  </si>
  <si>
    <t>Value</t>
  </si>
  <si>
    <t>Biogas Slurry Composition Documentation</t>
  </si>
  <si>
    <r>
      <t xml:space="preserve">Source: </t>
    </r>
    <r>
      <rPr>
        <i/>
        <sz val="12"/>
        <color theme="1"/>
        <rFont val="Times New Roman"/>
        <family val="1"/>
      </rPr>
      <t>Moller et al. 2008</t>
    </r>
  </si>
  <si>
    <r>
      <t>Profile 3:</t>
    </r>
    <r>
      <rPr>
        <sz val="12"/>
        <color theme="1"/>
        <rFont val="Times New Roman"/>
        <family val="1"/>
      </rPr>
      <t xml:space="preserve"> Liquid cattle slurry, mesophilic digester</t>
    </r>
  </si>
  <si>
    <r>
      <t xml:space="preserve">Profile 2: </t>
    </r>
    <r>
      <rPr>
        <sz val="12"/>
        <color theme="1"/>
        <rFont val="Times New Roman"/>
        <family val="1"/>
      </rPr>
      <t>Household biogas slurry, Pig specific</t>
    </r>
  </si>
  <si>
    <r>
      <t xml:space="preserve">Profile 2: </t>
    </r>
    <r>
      <rPr>
        <sz val="12"/>
        <color theme="1"/>
        <rFont val="Times New Roman"/>
        <family val="1"/>
      </rPr>
      <t>Household biogas slurry</t>
    </r>
  </si>
  <si>
    <r>
      <t xml:space="preserve">Profile 1: </t>
    </r>
    <r>
      <rPr>
        <sz val="12"/>
        <color theme="1"/>
        <rFont val="Times New Roman"/>
        <family val="1"/>
      </rPr>
      <t>Pig slurry composition</t>
    </r>
  </si>
  <si>
    <r>
      <t xml:space="preserve">Source: </t>
    </r>
    <r>
      <rPr>
        <i/>
        <sz val="12"/>
        <color theme="1"/>
        <rFont val="Times New Roman"/>
        <family val="1"/>
      </rPr>
      <t>Mikled et al. 2002</t>
    </r>
  </si>
  <si>
    <t>Parameter</t>
  </si>
  <si>
    <t>Reference Values</t>
  </si>
  <si>
    <t>Biogas production per kg influent DM</t>
  </si>
  <si>
    <r>
      <t xml:space="preserve">Source: </t>
    </r>
    <r>
      <rPr>
        <i/>
        <sz val="12"/>
        <color theme="1"/>
        <rFont val="Times New Roman"/>
        <family val="1"/>
      </rPr>
      <t>Liu et al. 2014</t>
    </r>
  </si>
  <si>
    <r>
      <t xml:space="preserve">Source: </t>
    </r>
    <r>
      <rPr>
        <i/>
        <sz val="12"/>
        <color theme="1"/>
        <rFont val="Times New Roman"/>
        <family val="1"/>
      </rPr>
      <t>Alburquerque et al. 2012</t>
    </r>
  </si>
  <si>
    <r>
      <rPr>
        <b/>
        <i/>
        <sz val="12"/>
        <color theme="1"/>
        <rFont val="Times New Roman"/>
        <family val="1"/>
      </rPr>
      <t>Source:</t>
    </r>
    <r>
      <rPr>
        <i/>
        <sz val="12"/>
        <color theme="1"/>
        <rFont val="Times New Roman"/>
        <family val="1"/>
      </rPr>
      <t xml:space="preserve"> Alburquerque et al. 2012</t>
    </r>
  </si>
  <si>
    <r>
      <t xml:space="preserve">Source: </t>
    </r>
    <r>
      <rPr>
        <i/>
        <sz val="11"/>
        <color theme="1"/>
        <rFont val="Calibri"/>
        <family val="2"/>
        <scheme val="minor"/>
      </rPr>
      <t>Gurung 1997</t>
    </r>
  </si>
  <si>
    <r>
      <t xml:space="preserve">Sources: </t>
    </r>
    <r>
      <rPr>
        <i/>
        <sz val="12"/>
        <color theme="1"/>
        <rFont val="Times New Roman"/>
        <family val="1"/>
      </rPr>
      <t>Chastain and Camberato 2004</t>
    </r>
  </si>
  <si>
    <r>
      <t xml:space="preserve">Source: </t>
    </r>
    <r>
      <rPr>
        <i/>
        <sz val="12"/>
        <color theme="1"/>
        <rFont val="Times New Roman"/>
        <family val="1"/>
      </rPr>
      <t>Rao et al. 2010</t>
    </r>
  </si>
  <si>
    <r>
      <t xml:space="preserve">Source: </t>
    </r>
    <r>
      <rPr>
        <i/>
        <sz val="12"/>
        <color theme="1"/>
        <rFont val="Times New Roman"/>
        <family val="1"/>
      </rPr>
      <t>Smith et al. 2007</t>
    </r>
  </si>
  <si>
    <r>
      <t xml:space="preserve">Profile 5: </t>
    </r>
    <r>
      <rPr>
        <sz val="12"/>
        <color theme="1"/>
        <rFont val="Times New Roman"/>
        <family val="1"/>
      </rPr>
      <t>Cow Slurry, large scale farm digester-Corsock Farm*</t>
    </r>
  </si>
  <si>
    <r>
      <t>*</t>
    </r>
    <r>
      <rPr>
        <i/>
        <sz val="12"/>
        <color theme="1"/>
        <rFont val="Times New Roman"/>
        <family val="1"/>
      </rPr>
      <t>Composition Leaving Digester</t>
    </r>
  </si>
  <si>
    <t>Total Mass</t>
  </si>
  <si>
    <t>kg</t>
  </si>
  <si>
    <t>Estimation of Field Emissions from Biogas Slurry Land Application</t>
  </si>
  <si>
    <t>Evidence on the Fertilizer Use Value of Digested Bioslurry</t>
  </si>
  <si>
    <t>Yield Effects on Corn</t>
  </si>
  <si>
    <t>(Year 1)</t>
  </si>
  <si>
    <t>Replicate Name*</t>
  </si>
  <si>
    <t>*FS = Fermented Slurry, CF = Conventional Fertilizer</t>
  </si>
  <si>
    <t>Demonstrates an increase in soil OM content and an accumulation of other soil nutrients, P, K, and S in excess of increases realized by conventional fertilizer</t>
  </si>
  <si>
    <t>from Mikled et al. 2002</t>
  </si>
  <si>
    <t>from Gutser 2005</t>
  </si>
  <si>
    <r>
      <t xml:space="preserve">Indicates a Mineral Fertilizer Equivalent of between 50 and 70 percent in year 1. 
</t>
    </r>
    <r>
      <rPr>
        <u/>
        <sz val="12"/>
        <color theme="1"/>
        <rFont val="Times New Roman"/>
        <family val="1"/>
      </rPr>
      <t>Note:</t>
    </r>
    <r>
      <rPr>
        <sz val="12"/>
        <color theme="1"/>
        <rFont val="Times New Roman"/>
        <family val="1"/>
      </rPr>
      <t xml:space="preserve"> Other studies have mentioned that year one is not completely representative of long-term equivalency as these nutrients accumulate in the soil where they can mineralize and become subsequently available.</t>
    </r>
  </si>
  <si>
    <t>Indicates that biogas slurry is not as effective at increasing yields as is a similar quantity of synthetic fertilizer.</t>
  </si>
  <si>
    <t>Co-digestion of plant material with manure does not seem to affect their value as a fertilizer (Bachmann 2011)</t>
  </si>
  <si>
    <t>NO3 + NH4 (as N)</t>
  </si>
  <si>
    <t>Quantity, Avg (mg/L)</t>
  </si>
  <si>
    <t>Emission of Metals to Soil</t>
  </si>
  <si>
    <t>Bioslurry Nutrient Content</t>
  </si>
  <si>
    <t>Assuming these are incorrect, underlying references contradict and values are an order of magnitude too high. Suspect misplacement of decimal.</t>
  </si>
  <si>
    <t>assumes 25% loss of DM during anaerobic digestion</t>
  </si>
  <si>
    <r>
      <t xml:space="preserve">Biogas Production Values from the Literature: </t>
    </r>
    <r>
      <rPr>
        <sz val="12"/>
        <color theme="1"/>
        <rFont val="Times New Roman"/>
        <family val="1"/>
      </rPr>
      <t>Documentation and Associated Calculation</t>
    </r>
  </si>
  <si>
    <t>This sheet catalogues biogase production values from the literature and performs the calculations necessary to standardize these values on the basis of m3 biogas production per kg of dry matter (DM) exiting the anaerobic digester. In the literature some values are reported on the basis of fresh manure, while some are reported on the basis of dry matter. It is assumed that 25% of dry matter mass is lost during digestion and it is necessary to account for this for the field application unit process, which calculates nutrient and pollutant emissions to soil on the basis of dry matter land applied.</t>
  </si>
  <si>
    <t>kg DM/kg slurry</t>
  </si>
  <si>
    <t xml:space="preserve"> Average Dry Matter Content*</t>
  </si>
  <si>
    <r>
      <t>*</t>
    </r>
    <r>
      <rPr>
        <i/>
        <sz val="12"/>
        <color theme="1"/>
        <rFont val="Times New Roman"/>
        <family val="1"/>
      </rPr>
      <t>This average value is used to convert the following nutrient and metals inventory information into LCI values on the basis of dry matter content when the originial study does not provide the necessary value.</t>
    </r>
  </si>
  <si>
    <t>kg/kg slurry</t>
  </si>
  <si>
    <t>mg/kg slurry</t>
  </si>
  <si>
    <r>
      <t>(</t>
    </r>
    <r>
      <rPr>
        <b/>
        <sz val="12"/>
        <color rgb="FFFF0000"/>
        <rFont val="Times New Roman"/>
        <family val="1"/>
      </rPr>
      <t>calculated</t>
    </r>
    <r>
      <rPr>
        <b/>
        <sz val="12"/>
        <rFont val="Times New Roman"/>
        <family val="1"/>
      </rPr>
      <t>)-units: kg/kg slurry</t>
    </r>
  </si>
  <si>
    <t>Bioslurry Nutrient Content (includes micronutrients)</t>
  </si>
  <si>
    <t>Cow Slurry, large scale farm digester-Rye Farm*</t>
  </si>
  <si>
    <r>
      <t>*</t>
    </r>
    <r>
      <rPr>
        <i/>
        <sz val="12"/>
        <color theme="1"/>
        <rFont val="Times New Roman"/>
        <family val="1"/>
      </rPr>
      <t>composition of waste leaving the digester</t>
    </r>
  </si>
  <si>
    <t>kg as NO3</t>
  </si>
  <si>
    <t>kg as NH4</t>
  </si>
  <si>
    <t>kg as P</t>
  </si>
  <si>
    <t>kg as K</t>
  </si>
  <si>
    <t>Total Mass for 1 kg DM w/ H2O</t>
  </si>
  <si>
    <r>
      <t xml:space="preserve">Profile 6: </t>
    </r>
    <r>
      <rPr>
        <sz val="12"/>
        <color theme="1"/>
        <rFont val="Times New Roman"/>
        <family val="1"/>
      </rPr>
      <t>Biogas Slurry with cofermentation</t>
    </r>
  </si>
  <si>
    <r>
      <t xml:space="preserve">Source: </t>
    </r>
    <r>
      <rPr>
        <i/>
        <sz val="12"/>
        <color theme="1"/>
        <rFont val="Times New Roman"/>
        <family val="1"/>
      </rPr>
      <t>Gutser 2005</t>
    </r>
  </si>
  <si>
    <r>
      <t xml:space="preserve">Profile 7: </t>
    </r>
    <r>
      <rPr>
        <sz val="12"/>
        <color theme="1"/>
        <rFont val="Times New Roman"/>
        <family val="1"/>
      </rPr>
      <t xml:space="preserve">dairy effluent </t>
    </r>
  </si>
  <si>
    <r>
      <t>calculated</t>
    </r>
    <r>
      <rPr>
        <b/>
        <i/>
        <sz val="12"/>
        <rFont val="Times New Roman"/>
        <family val="1"/>
      </rPr>
      <t/>
    </r>
  </si>
  <si>
    <r>
      <t xml:space="preserve">Profile 8: </t>
    </r>
    <r>
      <rPr>
        <sz val="12"/>
        <color theme="1"/>
        <rFont val="Times New Roman"/>
        <family val="1"/>
      </rPr>
      <t>Biogas Plant Slurry, from Cattle Dung (India)</t>
    </r>
  </si>
  <si>
    <r>
      <t xml:space="preserve">Profile 10: </t>
    </r>
    <r>
      <rPr>
        <sz val="12"/>
        <color theme="1"/>
        <rFont val="Times New Roman"/>
        <family val="1"/>
      </rPr>
      <t>Digested Slurry</t>
    </r>
  </si>
  <si>
    <r>
      <t xml:space="preserve">Profile 12: </t>
    </r>
    <r>
      <rPr>
        <sz val="12"/>
        <color theme="1"/>
        <rFont val="Times New Roman"/>
        <family val="1"/>
      </rPr>
      <t>Cow Slurry*</t>
    </r>
  </si>
  <si>
    <r>
      <t xml:space="preserve">Profile 11: </t>
    </r>
    <r>
      <rPr>
        <sz val="12"/>
        <color theme="1"/>
        <rFont val="Times New Roman"/>
        <family val="1"/>
      </rPr>
      <t>Pig slurry*</t>
    </r>
  </si>
  <si>
    <r>
      <t>calculated</t>
    </r>
    <r>
      <rPr>
        <b/>
        <i/>
        <sz val="12"/>
        <rFont val="Times New Roman"/>
        <family val="1"/>
      </rPr>
      <t>-median</t>
    </r>
  </si>
  <si>
    <r>
      <rPr>
        <b/>
        <sz val="12"/>
        <rFont val="Times New Roman"/>
        <family val="1"/>
      </rPr>
      <t>Profile 9:</t>
    </r>
    <r>
      <rPr>
        <b/>
        <sz val="12"/>
        <color rgb="FFFF0000"/>
        <rFont val="Times New Roman"/>
        <family val="1"/>
      </rPr>
      <t xml:space="preserve"> </t>
    </r>
    <r>
      <rPr>
        <sz val="12"/>
        <color rgb="FFFF0000"/>
        <rFont val="Times New Roman"/>
        <family val="1"/>
      </rPr>
      <t>Fresh manure</t>
    </r>
  </si>
  <si>
    <r>
      <t xml:space="preserve">Source: </t>
    </r>
    <r>
      <rPr>
        <i/>
        <sz val="12"/>
        <color theme="1"/>
        <rFont val="Times New Roman"/>
        <family val="1"/>
      </rPr>
      <t>Amon and Amon 2006</t>
    </r>
  </si>
  <si>
    <t>Emissions from Bioslurry Field Application</t>
  </si>
  <si>
    <t>*Used when study did not supply this value.</t>
  </si>
  <si>
    <t>Density Estimate</t>
  </si>
  <si>
    <t>cow bioslurry, high</t>
  </si>
  <si>
    <t>cow bioslurry, low</t>
  </si>
  <si>
    <t>cow slurry, median</t>
  </si>
  <si>
    <t>Household biogas slurry, China</t>
  </si>
  <si>
    <t>Calcium</t>
  </si>
  <si>
    <t>Sodium</t>
  </si>
  <si>
    <t>Lead</t>
  </si>
  <si>
    <t>Sulfur</t>
  </si>
  <si>
    <t>Boron</t>
  </si>
  <si>
    <t>Chlorine</t>
  </si>
  <si>
    <t>Manganese</t>
  </si>
  <si>
    <t>Mercury</t>
  </si>
  <si>
    <t>Chromium</t>
  </si>
  <si>
    <t>cow dung biogas slurry, India</t>
  </si>
  <si>
    <t>average</t>
  </si>
  <si>
    <t>Arsenic</t>
  </si>
  <si>
    <t>based on application rates and N2O emissions from crop system expansion</t>
  </si>
  <si>
    <t>kg N2O/kg DM</t>
  </si>
  <si>
    <t>N2O, high</t>
  </si>
  <si>
    <t>N2O, average</t>
  </si>
  <si>
    <t>N2O, low</t>
  </si>
  <si>
    <t>Table 11.1, represents uncertainty range on N2O Emission Factor</t>
  </si>
  <si>
    <t>result of field application</t>
  </si>
  <si>
    <t>N2O</t>
  </si>
  <si>
    <t>Nitrous Oxide</t>
  </si>
  <si>
    <t>bioslurry application (average profile from this sheet)</t>
  </si>
  <si>
    <t>kg NO3/kg DM</t>
  </si>
  <si>
    <t>NO3</t>
  </si>
  <si>
    <t>Nitrate</t>
  </si>
  <si>
    <t>kg NH3/kg DM</t>
  </si>
  <si>
    <t>NH3</t>
  </si>
  <si>
    <t>dairy cattle slurry</t>
  </si>
  <si>
    <t>Ammonia</t>
  </si>
  <si>
    <t>digested slurry</t>
  </si>
  <si>
    <t>liquid cattle slurry</t>
  </si>
  <si>
    <t>Organic Dry Matter</t>
  </si>
  <si>
    <t>Inorganic Dry Matter</t>
  </si>
  <si>
    <t>kg-Mg/kg DM</t>
  </si>
  <si>
    <t>Magnesium</t>
  </si>
  <si>
    <t>Digested Slurry</t>
  </si>
  <si>
    <t>kg-K/kg DM</t>
  </si>
  <si>
    <t>Cow Slurry, large scale farm digester-Corsock Farm</t>
  </si>
  <si>
    <t>kg K2O</t>
  </si>
  <si>
    <t>Cow Slurry, large scale farm digester-Ryes Farm</t>
  </si>
  <si>
    <t>minimum value</t>
  </si>
  <si>
    <t>Biogas Plant Slurry, from Cattle Dung (India)</t>
  </si>
  <si>
    <t>maximum value</t>
  </si>
  <si>
    <t>DM is 6% N on average.</t>
  </si>
  <si>
    <t>kg-N/kg DM</t>
  </si>
  <si>
    <t>Nitrogen</t>
  </si>
  <si>
    <t>maximum value, TKN (as N), still used because the numbers are higher than other estimates of TN even without NO3/NO2 being included</t>
  </si>
  <si>
    <t>minimum value, TKN (as N), still used because the numbers are higher than other estimates of TN even without NO3/NO2 being included</t>
  </si>
  <si>
    <t>kg-P/kg DM</t>
  </si>
  <si>
    <t>Phosphorous</t>
  </si>
  <si>
    <t>kg/kg  DM</t>
  </si>
  <si>
    <t>other flow values standardized to 1 kg dry matter</t>
  </si>
  <si>
    <t>Biogas Slurry</t>
  </si>
  <si>
    <t>m3</t>
  </si>
  <si>
    <t>Biogas, at AD</t>
  </si>
  <si>
    <t>m4</t>
  </si>
  <si>
    <t>calculated from values in the paper</t>
  </si>
  <si>
    <t>Singh et al 2014</t>
  </si>
  <si>
    <t>Fresh Dung</t>
  </si>
  <si>
    <t>Biogas</t>
  </si>
  <si>
    <t>Standard Units (/kg DM)</t>
  </si>
  <si>
    <t>Feedstock</t>
  </si>
  <si>
    <t>Original Units</t>
  </si>
  <si>
    <t>Inputs/Outputs</t>
  </si>
  <si>
    <t>Table of LCI Input values</t>
  </si>
  <si>
    <t>This sheet catologues the relevant LCI values discovered and compiled to create the digested slurry land application unit process.</t>
  </si>
  <si>
    <t>LCI Flow Documentation and Aggregation - Agricultural Land Application of Digested Biogas Slurry</t>
  </si>
  <si>
    <t>kg-S</t>
  </si>
  <si>
    <t>IN</t>
  </si>
  <si>
    <t>S, to soil</t>
  </si>
  <si>
    <t>kg-B</t>
  </si>
  <si>
    <t>B, to soil</t>
  </si>
  <si>
    <t>kg-Cl</t>
  </si>
  <si>
    <t>Cl, to soil</t>
  </si>
  <si>
    <t>kg-Mn</t>
  </si>
  <si>
    <t>Mn, to soil</t>
  </si>
  <si>
    <t>kg-Fe</t>
  </si>
  <si>
    <t>Fe, to soil</t>
  </si>
  <si>
    <t>kg-Na</t>
  </si>
  <si>
    <t>Na, to soil</t>
  </si>
  <si>
    <t>kg-Ca</t>
  </si>
  <si>
    <t>Ca, to soil</t>
  </si>
  <si>
    <t>kg-Zn</t>
  </si>
  <si>
    <t>Zn, to soil</t>
  </si>
  <si>
    <t>kg-Cu</t>
  </si>
  <si>
    <t>Cu, to soil</t>
  </si>
  <si>
    <t>kg-Pb</t>
  </si>
  <si>
    <t>Pb, to soil</t>
  </si>
  <si>
    <t>kg-Hg</t>
  </si>
  <si>
    <t>Hg, to soil</t>
  </si>
  <si>
    <t>kg-Cr</t>
  </si>
  <si>
    <t>Cr, to soil</t>
  </si>
  <si>
    <t>kg-Cd</t>
  </si>
  <si>
    <t>Cd, to soil</t>
  </si>
  <si>
    <t>kg-As</t>
  </si>
  <si>
    <t>As, to soil</t>
  </si>
  <si>
    <t>Nitrate, to water</t>
  </si>
  <si>
    <t>kg-NH3</t>
  </si>
  <si>
    <t>Ammonia, to air</t>
  </si>
  <si>
    <t>Phosphorous Emissions, surface water</t>
  </si>
  <si>
    <t>Phosphorous Emissions, groundwater</t>
  </si>
  <si>
    <t>kg-N2O</t>
  </si>
  <si>
    <t>Nitrous Oxide (N2O), to air</t>
  </si>
  <si>
    <t>kg-Mg</t>
  </si>
  <si>
    <t>Magnesium, to soil</t>
  </si>
  <si>
    <t>Potassium, to soil</t>
  </si>
  <si>
    <t>Phosphorous, to soil</t>
  </si>
  <si>
    <t>kg-N</t>
  </si>
  <si>
    <t>Nitrogen, to soil</t>
  </si>
  <si>
    <t>kg-K2O</t>
  </si>
  <si>
    <t>Potassium chloride</t>
  </si>
  <si>
    <t>kg-P2O5</t>
  </si>
  <si>
    <t>Super-phosphate</t>
  </si>
  <si>
    <t>1 kg DM + water content (this mass is accounted for below)</t>
  </si>
  <si>
    <t>biogas slurry, on agricultural field</t>
  </si>
  <si>
    <t>Notes:</t>
  </si>
  <si>
    <t>% difference, min/max</t>
  </si>
  <si>
    <t>Amount, Min</t>
  </si>
  <si>
    <t>Amount, Max</t>
  </si>
  <si>
    <t>Amount</t>
  </si>
  <si>
    <t>Location</t>
  </si>
  <si>
    <t>Flow Name</t>
  </si>
  <si>
    <t>Output Type</t>
  </si>
  <si>
    <t>Input Type</t>
  </si>
  <si>
    <t>Bioslurry</t>
  </si>
  <si>
    <t>*assumes 60-65% CH4, 35-40% CO2, 0.5-1% H2S</t>
  </si>
  <si>
    <t>Biogas Density</t>
  </si>
  <si>
    <t>Value*</t>
  </si>
  <si>
    <t>This sheet displays a summary LCI table for the above unit process and calculates allocation factors.</t>
  </si>
  <si>
    <t>Summary LCI - Agricultural Land Application of Digested Biogas Slurry</t>
  </si>
  <si>
    <t>Tsiropoulos et al. 2014</t>
  </si>
  <si>
    <t>Whiting et al. 2016</t>
  </si>
  <si>
    <t>Singh., P., Gundimeda, H., Stucki, M. 2014. Environmental footprint of cooking fuels: a life cycle assessment of ten fuel sources used in Indian households. Int J Life Cycle Assess 19:1036-1048.</t>
  </si>
  <si>
    <t>Tsiropoulos, I., Faaij, A.P.C., Seabra, J.E.A, Lundquist, L., Schenker, U., Briois, J.F., and Patel, M.K. 2014. Life cycle assessment of sugarcane ethanol production in India in comparison to Brazil. Int J Life Cycle Assess 19:1049-1067.</t>
  </si>
  <si>
    <t>Whiting, D., Card, A., Wilson, C., Reeder, J., and Goldhammer, D. 2016 (updated). Understanding fertilizers. Colorado State Extension. http://www.ext.colostate.edu/mg/Gardennotes/232.html  Accessed 18 March, 2016.</t>
  </si>
  <si>
    <t>Allocation Method</t>
  </si>
  <si>
    <t>*Calculated</t>
  </si>
  <si>
    <t>Nitrogen Application</t>
  </si>
  <si>
    <t>kg/kg DM*</t>
  </si>
  <si>
    <t>Emissions per kilogram of dry matter in digested slurry</t>
  </si>
  <si>
    <t>kg/ha</t>
  </si>
  <si>
    <t>High</t>
  </si>
  <si>
    <t>Med,High</t>
  </si>
  <si>
    <t>Med</t>
  </si>
  <si>
    <t>Med,Low</t>
  </si>
  <si>
    <t>Low</t>
  </si>
  <si>
    <t>IPCC, high</t>
  </si>
  <si>
    <t>IPCC, low</t>
  </si>
  <si>
    <t>IPCC Default</t>
  </si>
  <si>
    <t>Scenario</t>
  </si>
  <si>
    <t>N2O estimate based on inputs (kg-N2O per hectare)</t>
  </si>
  <si>
    <t>kg-N/ha</t>
  </si>
  <si>
    <t>Nitrogen Applied</t>
  </si>
  <si>
    <t>Range of possible bioslurry applications</t>
  </si>
  <si>
    <t>kg-N/kg Slurry</t>
  </si>
  <si>
    <t>Medium</t>
  </si>
  <si>
    <t>From IPCC 2006</t>
  </si>
  <si>
    <t>Nitrogen Content of Bioslurry</t>
  </si>
  <si>
    <t>*The application rates will span the range of input values discovered for the Crop LCI system expansion for India to cover the expected current range for the crops under consideration</t>
  </si>
  <si>
    <t xml:space="preserve">*in order to calculate emissions we need to assume nitrogen fertilizer application rates and soil management practices. </t>
  </si>
  <si>
    <t>Calculate N2O emissions (IPCC 2006)</t>
  </si>
  <si>
    <t>This sheet presents calculations for Nitrogen species emissions from land application based on a range of slurry application rates.</t>
  </si>
  <si>
    <t>Nitrogen Emission Calculations - Agricultural Land Application of Digested Biogas Slurry</t>
  </si>
  <si>
    <t>Avoided Product - As N, P2O5, and K2O</t>
  </si>
  <si>
    <t>Potassium-magnesium sulfate</t>
  </si>
  <si>
    <t>Potassium sulfate</t>
  </si>
  <si>
    <t>Triple super phosphate</t>
  </si>
  <si>
    <t>Ammonium sulfate</t>
  </si>
  <si>
    <r>
      <rPr>
        <b/>
        <i/>
        <sz val="12"/>
        <color theme="1"/>
        <rFont val="Times New Roman"/>
        <family val="1"/>
      </rPr>
      <t xml:space="preserve">Source: </t>
    </r>
    <r>
      <rPr>
        <i/>
        <sz val="12"/>
        <color theme="1"/>
        <rFont val="Times New Roman"/>
        <family val="1"/>
      </rPr>
      <t>Whiting et al 2016</t>
    </r>
  </si>
  <si>
    <t>Mono-ammonium phosphate</t>
  </si>
  <si>
    <t>Di-ammonium phosphate</t>
  </si>
  <si>
    <t>Ammoniated super-phosphate</t>
  </si>
  <si>
    <t>K2O%</t>
  </si>
  <si>
    <t>P2O5%</t>
  </si>
  <si>
    <t>N%</t>
  </si>
  <si>
    <t>Product</t>
  </si>
  <si>
    <t>Nutrient Profile of Common Fertilizers</t>
  </si>
  <si>
    <t>Avoided Fertilizer Calculations</t>
  </si>
  <si>
    <r>
      <t>*</t>
    </r>
    <r>
      <rPr>
        <i/>
        <sz val="12"/>
        <color theme="1"/>
        <rFont val="Times New Roman"/>
        <family val="1"/>
      </rPr>
      <t>Assumed Bioslurry density is 1.035 kg/L, avg. from Cow_Summary Sheet</t>
    </r>
  </si>
  <si>
    <t>Calculated Emissions - kg/ha</t>
  </si>
  <si>
    <t>Emissions (kg-NO3/ha/yr)</t>
  </si>
  <si>
    <t>Nitrogen Application**</t>
  </si>
  <si>
    <r>
      <t>**</t>
    </r>
    <r>
      <rPr>
        <i/>
        <sz val="12"/>
        <color theme="1"/>
        <rFont val="Times New Roman"/>
        <family val="1"/>
      </rPr>
      <t>Values not used. The regression equations may not be appropriated for use with low application rates.</t>
    </r>
  </si>
  <si>
    <t>Total NPK</t>
  </si>
  <si>
    <t>$ 2014/m3</t>
  </si>
  <si>
    <t>Product/Co-product</t>
  </si>
  <si>
    <t>SSP (single superphosphate)</t>
  </si>
  <si>
    <t>Valuation</t>
  </si>
  <si>
    <t>Fertilizer</t>
  </si>
  <si>
    <t xml:space="preserve">Calculated Price </t>
  </si>
  <si>
    <t>$ 2014/kg-NPK</t>
  </si>
  <si>
    <t>GOI 2016</t>
  </si>
  <si>
    <t>*All allocation values use LPG as the substitute value for biogas and fertilizer as the substitute value for bioslurry</t>
  </si>
  <si>
    <t>LPG</t>
  </si>
  <si>
    <t xml:space="preserve">Biogas </t>
  </si>
  <si>
    <t>Slurry</t>
  </si>
  <si>
    <t>Physical, slurry low</t>
  </si>
  <si>
    <t>Physical, slurry average</t>
  </si>
  <si>
    <t>Physical, slurry high</t>
  </si>
  <si>
    <t>Economic, slurry low</t>
  </si>
  <si>
    <t>Economic, slurry average</t>
  </si>
  <si>
    <t>Economic, slurry high</t>
  </si>
  <si>
    <t>Economic Average</t>
  </si>
  <si>
    <t>Original Price</t>
  </si>
  <si>
    <t>Rs/kg</t>
  </si>
  <si>
    <t>Delivered Heat</t>
  </si>
  <si>
    <t>$/MJ-delivered</t>
  </si>
  <si>
    <t xml:space="preserve">kg-NPK/kg </t>
  </si>
  <si>
    <t>$ 2014/kg DM</t>
  </si>
  <si>
    <t>MOP : 0–0–60–0 (Potassium Chloride)</t>
  </si>
  <si>
    <t>6000-12040</t>
  </si>
  <si>
    <t>Rs / tonne</t>
  </si>
  <si>
    <t>(calculated)</t>
  </si>
  <si>
    <t>assumes same value as LPG</t>
  </si>
  <si>
    <t>valued using N-P-K fertilizer above</t>
  </si>
  <si>
    <t>Rs. / tonne</t>
  </si>
  <si>
    <t>see table to the right</t>
  </si>
  <si>
    <t>biogas production (kg/kg)</t>
  </si>
  <si>
    <t>Sheffield 2000</t>
  </si>
  <si>
    <t>Sheffield, J. 2000. Farm Animal Manure is an Important Sustainable Renewable Energy Resource. Oak Ridge National Laboratory. http://web.ornl.gov/~webworks/cpr/pres/107931_.pdf  Accessed 22 August, 2016.</t>
  </si>
  <si>
    <t>Manure Energy Content</t>
  </si>
  <si>
    <t>MJ/kg of dry manure</t>
  </si>
  <si>
    <t>Embodied Energy, in Manure</t>
  </si>
  <si>
    <t>Energy</t>
  </si>
  <si>
    <t>MJ/kg DM</t>
  </si>
  <si>
    <t>Manure</t>
  </si>
  <si>
    <t>Embodied Energy</t>
  </si>
  <si>
    <t>MJ/kg manure DM</t>
  </si>
  <si>
    <t>MJ/kg-DM</t>
  </si>
  <si>
    <t>Indian Allocation values*</t>
  </si>
  <si>
    <t>Indian Allocation Input Values*</t>
  </si>
  <si>
    <t>Chinese Allocation values*</t>
  </si>
  <si>
    <t>Assumes that the delivered heat of biogass has the same monetary value, on a delivered heat basis, as does LPG.</t>
  </si>
  <si>
    <t>Urea, Average</t>
  </si>
  <si>
    <t>rmb/tonne</t>
  </si>
  <si>
    <t>DAP</t>
  </si>
  <si>
    <t>JYD 2014</t>
  </si>
  <si>
    <t>11/1/2014; other prices available in report</t>
  </si>
  <si>
    <t>MOP</t>
  </si>
  <si>
    <t>$ 2015/tonne</t>
  </si>
  <si>
    <t>http://exportchem.en.made-in-china.com/product/FMnmDibVYBAE/China-Muriate-of-Potash-MOP-Fertilizer.html</t>
  </si>
  <si>
    <t>*Copied from Crop Residue Supporting Information, Allocation Tab</t>
  </si>
  <si>
    <t>Kenya/Ghana Allocation Factors</t>
  </si>
  <si>
    <t>Due both to the similarities in economic allocation factors in India and China and the small proportion of biogas's contribution to the presented and projected African fuel mix the average economic allocation factors for India and China are used for Africa.</t>
  </si>
  <si>
    <t>Cut-off Allocation</t>
  </si>
  <si>
    <t>Biogas Yield</t>
  </si>
  <si>
    <t>Cow Average</t>
  </si>
  <si>
    <t>Energy, calorific value, in organic substance</t>
  </si>
  <si>
    <t>MJ</t>
  </si>
  <si>
    <t>EPA Contract No. EP-D-011-006, WA 5-10</t>
  </si>
  <si>
    <t>TABLE OF CONTENTS</t>
  </si>
  <si>
    <t>Sheet</t>
  </si>
  <si>
    <t>References</t>
  </si>
  <si>
    <t>List of References used throughout this workbook</t>
  </si>
  <si>
    <t>Biogas and Biogas Digestate Unit Process Development: Life Cycle Assessment of Cookstove Fuel Options in India, China, Kenya, and Ghana</t>
  </si>
  <si>
    <t>Land Application LCI</t>
  </si>
  <si>
    <t>LCI Summary Table</t>
  </si>
  <si>
    <t>Land App. LCI Doc.</t>
  </si>
  <si>
    <t>Documentation of LCI source data and associated calculations.</t>
  </si>
  <si>
    <t>Summary of biogas digestate land application LCI information, and allocation factors, entry into OpenLCA.</t>
  </si>
  <si>
    <t>Chinese Allocation Input Values*</t>
  </si>
  <si>
    <t>Source: Yadav et al. 2013, pg. 3</t>
  </si>
  <si>
    <t>"During digestion, about 25-30% of the total dry matter (total solids content of fresh dung) of animal/human wastes will be converted into a combustible gas and a residue of 70-75% of the total solids content of the fresh dung comes out as sludge which is known as digested slurry or biogas slurry’" (Warnars and Oppenoorth 2014, Smith et al. 2007)</t>
  </si>
  <si>
    <t>Bioslurry Average Density*</t>
  </si>
  <si>
    <t>Bioslurry Dry Matter Content</t>
  </si>
  <si>
    <t>The efficiency of biogas stoves has been quoted as 20%–56% (Itodo et al., 2007; ISAT 1999),&gt;&gt;(Bond 2011)</t>
  </si>
  <si>
    <t>The success of such strategies is illustrated by a study in Sichuan province, China, where installation of biogas systems decreased household usage of coal and wood by 68% and  74% respectively. These energy savings were sufficient to recoup the construction costs within 2–3 years. (Bond 2011)</t>
  </si>
  <si>
    <t>Bioslurry Comp.</t>
  </si>
  <si>
    <t>Documation of primary resources used to calculate average bioslurry composition.</t>
  </si>
  <si>
    <t>Documentation of primary resources used to calculate expected biogas yield.</t>
  </si>
  <si>
    <t>from Chastain and Camberato 2004</t>
  </si>
  <si>
    <t>Bioslurry Applied (tonne/ha)</t>
  </si>
  <si>
    <t>Nitrogen Applied, low (kg/ha)</t>
  </si>
  <si>
    <t>Nitrogen applied, med (kg/ha)</t>
  </si>
  <si>
    <t>Nitrogen applied, high (kg/ha)</t>
  </si>
  <si>
    <r>
      <t xml:space="preserve">Source: </t>
    </r>
    <r>
      <rPr>
        <i/>
        <sz val="12"/>
        <color theme="1"/>
        <rFont val="Times New Roman"/>
        <family val="1"/>
      </rPr>
      <t>Wang et al. 2014</t>
    </r>
  </si>
  <si>
    <t>Field Emissions of Nitrous Oxide (N2O)*</t>
  </si>
  <si>
    <t>*Application Rate and Emission columns taken from Crop Residue Supporting Information File</t>
  </si>
  <si>
    <t>Emissions of Phosphorus to Surfacewater*</t>
  </si>
  <si>
    <t>Emissions of Phosphorus to Groundwater*</t>
  </si>
  <si>
    <t>Nitrate Emissions*</t>
  </si>
  <si>
    <t>Ammonia Emissions*</t>
  </si>
  <si>
    <r>
      <rPr>
        <i/>
        <vertAlign val="superscript"/>
        <sz val="12"/>
        <color theme="1"/>
        <rFont val="Times New Roman"/>
        <family val="1"/>
      </rPr>
      <t>1</t>
    </r>
    <r>
      <rPr>
        <i/>
        <sz val="12"/>
        <color theme="1"/>
        <rFont val="Times New Roman"/>
        <family val="1"/>
      </rPr>
      <t xml:space="preserve"> total NPK nutrient content of fertilizer. Places equal weight/value on N, P, and K. Used to compare fertilizer / crop residue values with different nutrient profiles.</t>
    </r>
  </si>
  <si>
    <r>
      <t>kg NPK/kg (calculated)</t>
    </r>
    <r>
      <rPr>
        <b/>
        <vertAlign val="superscript"/>
        <sz val="12"/>
        <color theme="0"/>
        <rFont val="Times New Roman"/>
        <family val="1"/>
      </rPr>
      <t>1</t>
    </r>
  </si>
  <si>
    <t>kg-P2O5/kg DM</t>
  </si>
  <si>
    <t>kg-K2O/kg DM</t>
  </si>
  <si>
    <t>kg Nutrients/kg DM</t>
  </si>
  <si>
    <t>Nitrogen Emissions</t>
  </si>
  <si>
    <t>Field Emissions</t>
  </si>
  <si>
    <t>Yield Effect</t>
  </si>
  <si>
    <t>Avoided Fert.</t>
  </si>
  <si>
    <t>Documents calculation of avoided fertilizer quantities for land applied bioslurry.</t>
  </si>
  <si>
    <t>Documents primary research on the yield effect of biogas digestate as compared to chemical fertilizers.</t>
  </si>
  <si>
    <t>Verifying calculation of nitrogen field emission values associated with bioslurry land application.</t>
  </si>
  <si>
    <t>Documents calculation of field emissions associated with bioslurry land application.</t>
  </si>
  <si>
    <t>Unclear how to interpret this value. Don't think it can be on a fresh basis.</t>
  </si>
  <si>
    <t>It is necessary to estimate the nitrogen and phosphorus emissions associated with field application for the bioslurry system expansion. Application rates for the 3 crops included in the crop residue system expansion are used to derive estimated N and P emissions associated with bioslurry.</t>
  </si>
  <si>
    <t>*Application Rate and Emission columns taken from Crop Residue Supplementary Information File</t>
  </si>
  <si>
    <t>Other studies show that plots fertilized with biogas residue and raw manure provide similar crop yields (Arthurson 2009).</t>
  </si>
  <si>
    <t>Version 2.0, 4/14/2017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</si>
</sst>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_(* #,##0_);_(* \(#,##0\);_(* &quot;-&quot;??_);_(@_)"/>
    <numFmt numFmtId="165" formatCode="0.000"/>
    <numFmt numFmtId="166" formatCode="0.0"/>
    <numFmt numFmtId="167" formatCode="00.0"/>
    <numFmt numFmtId="168" formatCode="0.00E+0"/>
    <numFmt numFmtId="169" formatCode="0;0;&quot;-&quot;"/>
    <numFmt numFmtId="170" formatCode="000"/>
  </numFmts>
  <fonts count="33" x14ac:knownFonts="1">
    <font>
      <sz val="11"/>
      <color theme="1"/>
      <name val="Calibri"/>
      <family val="2"/>
      <scheme val="minor"/>
    </font>
    <font>
      <sz val="11"/>
      <color theme="1"/>
      <name val="Calibri"/>
      <family val="2"/>
      <scheme val="minor"/>
    </font>
    <font>
      <i/>
      <sz val="11"/>
      <color theme="1"/>
      <name val="Calibri"/>
      <family val="2"/>
      <scheme val="minor"/>
    </font>
    <font>
      <b/>
      <i/>
      <sz val="11"/>
      <color theme="1"/>
      <name val="Calibri"/>
      <family val="2"/>
      <scheme val="minor"/>
    </font>
    <font>
      <b/>
      <sz val="12"/>
      <color theme="1"/>
      <name val="Times New Roman"/>
      <family val="1"/>
    </font>
    <font>
      <sz val="12"/>
      <color theme="1"/>
      <name val="Times New Roman"/>
      <family val="1"/>
    </font>
    <font>
      <i/>
      <sz val="12"/>
      <color theme="1"/>
      <name val="Times New Roman"/>
      <family val="1"/>
    </font>
    <font>
      <sz val="12"/>
      <color rgb="FF222222"/>
      <name val="Times New Roman"/>
      <family val="1"/>
    </font>
    <font>
      <i/>
      <sz val="12"/>
      <color rgb="FF222222"/>
      <name val="Times New Roman"/>
      <family val="1"/>
    </font>
    <font>
      <b/>
      <sz val="12"/>
      <color theme="0"/>
      <name val="Times New Roman"/>
      <family val="1"/>
    </font>
    <font>
      <b/>
      <sz val="12"/>
      <color rgb="FFFF0000"/>
      <name val="Times New Roman"/>
      <family val="1"/>
    </font>
    <font>
      <b/>
      <sz val="12"/>
      <name val="Times New Roman"/>
      <family val="1"/>
    </font>
    <font>
      <i/>
      <sz val="12"/>
      <color rgb="FFFF0000"/>
      <name val="Times New Roman"/>
      <family val="1"/>
    </font>
    <font>
      <b/>
      <i/>
      <sz val="12"/>
      <color rgb="FFFF0000"/>
      <name val="Times New Roman"/>
      <family val="1"/>
    </font>
    <font>
      <b/>
      <i/>
      <sz val="12"/>
      <name val="Times New Roman"/>
      <family val="1"/>
    </font>
    <font>
      <b/>
      <i/>
      <sz val="12"/>
      <color theme="1"/>
      <name val="Times New Roman"/>
      <family val="1"/>
    </font>
    <font>
      <sz val="12"/>
      <color rgb="FFFF0000"/>
      <name val="Times New Roman"/>
      <family val="1"/>
    </font>
    <font>
      <i/>
      <sz val="12"/>
      <name val="Times New Roman"/>
      <family val="1"/>
    </font>
    <font>
      <u/>
      <sz val="12"/>
      <color theme="1"/>
      <name val="Times New Roman"/>
      <family val="1"/>
    </font>
    <font>
      <sz val="12"/>
      <name val="Times New Roman"/>
      <family val="1"/>
    </font>
    <font>
      <sz val="12"/>
      <color theme="0" tint="-0.34998626667073579"/>
      <name val="Times New Roman"/>
      <family val="1"/>
    </font>
    <font>
      <sz val="12"/>
      <color rgb="FF000000"/>
      <name val="Times New Roman"/>
      <family val="1"/>
    </font>
    <font>
      <sz val="11"/>
      <color theme="1"/>
      <name val="Times New Roman"/>
      <family val="1"/>
    </font>
    <font>
      <i/>
      <sz val="11"/>
      <color theme="1"/>
      <name val="Times New Roman"/>
      <family val="1"/>
    </font>
    <font>
      <b/>
      <sz val="11"/>
      <color theme="0"/>
      <name val="Times New Roman"/>
      <family val="1"/>
    </font>
    <font>
      <sz val="10"/>
      <name val="Arial"/>
      <family val="2"/>
    </font>
    <font>
      <b/>
      <sz val="11"/>
      <color theme="1"/>
      <name val="Times New Roman"/>
      <family val="1"/>
    </font>
    <font>
      <u/>
      <sz val="11"/>
      <color theme="10"/>
      <name val="Calibri"/>
      <family val="2"/>
      <scheme val="minor"/>
    </font>
    <font>
      <u/>
      <sz val="12"/>
      <color theme="10"/>
      <name val="Times New Roman"/>
      <family val="1"/>
    </font>
    <font>
      <sz val="10"/>
      <color theme="1"/>
      <name val="Times New Roman"/>
      <family val="1"/>
    </font>
    <font>
      <i/>
      <vertAlign val="superscript"/>
      <sz val="12"/>
      <color theme="1"/>
      <name val="Times New Roman"/>
      <family val="1"/>
    </font>
    <font>
      <b/>
      <vertAlign val="superscript"/>
      <sz val="12"/>
      <color theme="0"/>
      <name val="Times New Roman"/>
      <family val="1"/>
    </font>
    <font>
      <sz val="8"/>
      <color indexed="81"/>
      <name val="Tahoma"/>
      <family val="2"/>
    </font>
  </fonts>
  <fills count="8">
    <fill>
      <patternFill patternType="none"/>
    </fill>
    <fill>
      <patternFill patternType="gray125"/>
    </fill>
    <fill>
      <patternFill patternType="solid">
        <fgColor theme="2" tint="-0.249977111117893"/>
        <bgColor indexed="64"/>
      </patternFill>
    </fill>
    <fill>
      <patternFill patternType="solid">
        <fgColor rgb="FF44546A"/>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59999389629810485"/>
        <bgColor indexed="64"/>
      </patternFill>
    </fill>
  </fills>
  <borders count="2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27" fillId="0" borderId="0" applyNumberFormat="0" applyFill="0" applyBorder="0" applyAlignment="0" applyProtection="0"/>
  </cellStyleXfs>
  <cellXfs count="286">
    <xf numFmtId="0" fontId="0" fillId="0" borderId="0" xfId="0"/>
    <xf numFmtId="0" fontId="5" fillId="0" borderId="0" xfId="0" applyFont="1"/>
    <xf numFmtId="0" fontId="9" fillId="3" borderId="9" xfId="0" applyFont="1" applyFill="1" applyBorder="1"/>
    <xf numFmtId="0" fontId="5" fillId="0" borderId="9" xfId="0" applyFont="1" applyBorder="1"/>
    <xf numFmtId="0" fontId="5" fillId="4" borderId="0" xfId="0" applyFont="1" applyFill="1"/>
    <xf numFmtId="0" fontId="4" fillId="4" borderId="0" xfId="0" applyFont="1" applyFill="1"/>
    <xf numFmtId="0" fontId="5" fillId="4" borderId="0" xfId="0" applyFont="1" applyFill="1" applyBorder="1"/>
    <xf numFmtId="0" fontId="5" fillId="2" borderId="9" xfId="0" applyFont="1" applyFill="1" applyBorder="1"/>
    <xf numFmtId="0" fontId="5" fillId="4" borderId="0" xfId="0" applyFont="1" applyFill="1" applyAlignment="1">
      <alignment horizontal="right"/>
    </xf>
    <xf numFmtId="0" fontId="5" fillId="4" borderId="10" xfId="0" applyFont="1" applyFill="1" applyBorder="1"/>
    <xf numFmtId="0" fontId="12" fillId="4" borderId="0" xfId="0" applyFont="1" applyFill="1"/>
    <xf numFmtId="0" fontId="4" fillId="4" borderId="9" xfId="0" applyFont="1" applyFill="1" applyBorder="1"/>
    <xf numFmtId="0" fontId="5" fillId="4" borderId="9" xfId="0" applyFont="1" applyFill="1" applyBorder="1"/>
    <xf numFmtId="0" fontId="4" fillId="4" borderId="0" xfId="0" applyFont="1" applyFill="1" applyBorder="1"/>
    <xf numFmtId="0" fontId="4" fillId="4" borderId="14" xfId="0" applyFont="1" applyFill="1" applyBorder="1"/>
    <xf numFmtId="0" fontId="5" fillId="4" borderId="14" xfId="0" applyFont="1" applyFill="1" applyBorder="1"/>
    <xf numFmtId="165" fontId="5" fillId="4" borderId="9" xfId="0" applyNumberFormat="1" applyFont="1" applyFill="1" applyBorder="1"/>
    <xf numFmtId="0" fontId="5" fillId="4" borderId="13" xfId="0" applyFont="1" applyFill="1" applyBorder="1"/>
    <xf numFmtId="0" fontId="5" fillId="4" borderId="11" xfId="0" applyFont="1" applyFill="1" applyBorder="1"/>
    <xf numFmtId="16" fontId="5" fillId="4" borderId="9" xfId="0" applyNumberFormat="1" applyFont="1" applyFill="1" applyBorder="1"/>
    <xf numFmtId="0" fontId="13" fillId="4" borderId="0" xfId="0" applyFont="1" applyFill="1"/>
    <xf numFmtId="2" fontId="5" fillId="4" borderId="9" xfId="0" applyNumberFormat="1" applyFont="1" applyFill="1" applyBorder="1"/>
    <xf numFmtId="166" fontId="5" fillId="4" borderId="9" xfId="0" applyNumberFormat="1" applyFont="1" applyFill="1" applyBorder="1"/>
    <xf numFmtId="0" fontId="5" fillId="4" borderId="15" xfId="0" applyFont="1" applyFill="1" applyBorder="1"/>
    <xf numFmtId="0" fontId="4" fillId="4" borderId="15" xfId="0" applyFont="1" applyFill="1" applyBorder="1"/>
    <xf numFmtId="0" fontId="15" fillId="4" borderId="15" xfId="0" applyFont="1" applyFill="1" applyBorder="1"/>
    <xf numFmtId="0" fontId="4" fillId="4" borderId="10" xfId="0" applyFont="1" applyFill="1" applyBorder="1"/>
    <xf numFmtId="0" fontId="15" fillId="4" borderId="0" xfId="0" applyFont="1" applyFill="1"/>
    <xf numFmtId="0" fontId="9" fillId="3" borderId="11" xfId="0" applyFont="1" applyFill="1" applyBorder="1"/>
    <xf numFmtId="0" fontId="9" fillId="4" borderId="0" xfId="0" applyFont="1" applyFill="1" applyBorder="1"/>
    <xf numFmtId="0" fontId="5" fillId="4" borderId="16" xfId="0" applyFont="1" applyFill="1" applyBorder="1"/>
    <xf numFmtId="0" fontId="0" fillId="4" borderId="0" xfId="0" applyFill="1"/>
    <xf numFmtId="0" fontId="4" fillId="4" borderId="10" xfId="0" applyFont="1" applyFill="1" applyBorder="1" applyAlignment="1">
      <alignment horizontal="left"/>
    </xf>
    <xf numFmtId="0" fontId="4" fillId="4" borderId="10" xfId="0" applyFont="1" applyFill="1" applyBorder="1" applyAlignment="1">
      <alignment horizontal="center"/>
    </xf>
    <xf numFmtId="0" fontId="5" fillId="4" borderId="0" xfId="0" applyFont="1" applyFill="1" applyAlignment="1">
      <alignment horizontal="left"/>
    </xf>
    <xf numFmtId="0" fontId="5" fillId="4" borderId="9" xfId="0" applyFont="1" applyFill="1" applyBorder="1" applyAlignment="1">
      <alignment horizontal="left"/>
    </xf>
    <xf numFmtId="0" fontId="5" fillId="4" borderId="0" xfId="0" applyFont="1" applyFill="1" applyBorder="1" applyAlignment="1">
      <alignment horizontal="left"/>
    </xf>
    <xf numFmtId="165" fontId="5" fillId="4" borderId="0" xfId="0" applyNumberFormat="1" applyFont="1" applyFill="1" applyBorder="1"/>
    <xf numFmtId="0" fontId="4" fillId="4" borderId="0" xfId="0" applyFont="1" applyFill="1" applyBorder="1" applyAlignment="1">
      <alignment horizontal="left"/>
    </xf>
    <xf numFmtId="0" fontId="16" fillId="4" borderId="9" xfId="0" applyFont="1" applyFill="1" applyBorder="1" applyAlignment="1">
      <alignment horizontal="fill"/>
    </xf>
    <xf numFmtId="0" fontId="5" fillId="4" borderId="9" xfId="0" applyFont="1" applyFill="1" applyBorder="1" applyAlignment="1">
      <alignment horizontal="fill"/>
    </xf>
    <xf numFmtId="0" fontId="16" fillId="4" borderId="0" xfId="0" applyFont="1" applyFill="1"/>
    <xf numFmtId="0" fontId="4" fillId="4" borderId="0" xfId="0" applyFont="1" applyFill="1" applyAlignment="1">
      <alignment horizontal="left"/>
    </xf>
    <xf numFmtId="9" fontId="5" fillId="4" borderId="9" xfId="2" applyFont="1" applyFill="1" applyBorder="1"/>
    <xf numFmtId="0" fontId="10" fillId="4" borderId="0" xfId="0" applyFont="1" applyFill="1"/>
    <xf numFmtId="0" fontId="6" fillId="4" borderId="0" xfId="0" applyFont="1" applyFill="1" applyAlignment="1">
      <alignment horizontal="right"/>
    </xf>
    <xf numFmtId="0" fontId="5" fillId="4" borderId="0" xfId="0" applyFont="1" applyFill="1" applyAlignment="1">
      <alignment horizontal="right" vertical="top"/>
    </xf>
    <xf numFmtId="9" fontId="5" fillId="4" borderId="0" xfId="2" applyFont="1" applyFill="1" applyBorder="1"/>
    <xf numFmtId="2" fontId="5" fillId="4" borderId="0" xfId="0" applyNumberFormat="1" applyFont="1" applyFill="1" applyBorder="1" applyAlignment="1">
      <alignment horizontal="right"/>
    </xf>
    <xf numFmtId="2" fontId="5" fillId="4" borderId="0" xfId="0" applyNumberFormat="1" applyFont="1" applyFill="1" applyBorder="1"/>
    <xf numFmtId="0" fontId="4" fillId="2" borderId="9" xfId="0" applyFont="1" applyFill="1" applyBorder="1"/>
    <xf numFmtId="0" fontId="9" fillId="3" borderId="9" xfId="0" applyFont="1" applyFill="1" applyBorder="1" applyAlignment="1">
      <alignment horizontal="left"/>
    </xf>
    <xf numFmtId="0" fontId="4" fillId="4" borderId="10" xfId="0" applyFont="1" applyFill="1" applyBorder="1" applyAlignment="1">
      <alignment horizontal="right"/>
    </xf>
    <xf numFmtId="0" fontId="6" fillId="4" borderId="15" xfId="0" applyFont="1" applyFill="1" applyBorder="1"/>
    <xf numFmtId="0" fontId="3" fillId="4" borderId="0" xfId="0" applyFont="1" applyFill="1"/>
    <xf numFmtId="10" fontId="5" fillId="4" borderId="10" xfId="2" applyNumberFormat="1" applyFont="1" applyFill="1" applyBorder="1"/>
    <xf numFmtId="0" fontId="17" fillId="4" borderId="0" xfId="0" applyFont="1" applyFill="1" applyBorder="1"/>
    <xf numFmtId="0" fontId="15" fillId="4" borderId="0" xfId="0" applyFont="1" applyFill="1" applyBorder="1"/>
    <xf numFmtId="0" fontId="5" fillId="4" borderId="0" xfId="0" applyFont="1" applyFill="1" applyBorder="1" applyAlignment="1">
      <alignment vertical="top" wrapText="1"/>
    </xf>
    <xf numFmtId="0" fontId="6" fillId="4" borderId="0" xfId="0" applyFont="1" applyFill="1" applyAlignment="1">
      <alignment horizontal="left" vertical="top" wrapText="1"/>
    </xf>
    <xf numFmtId="164" fontId="5" fillId="5" borderId="9" xfId="1" applyNumberFormat="1" applyFont="1" applyFill="1" applyBorder="1"/>
    <xf numFmtId="0" fontId="5" fillId="5" borderId="9" xfId="0" applyFont="1" applyFill="1" applyBorder="1"/>
    <xf numFmtId="0" fontId="6" fillId="4" borderId="0" xfId="0" applyFont="1" applyFill="1" applyBorder="1"/>
    <xf numFmtId="0" fontId="5" fillId="4" borderId="0" xfId="0" applyFont="1" applyFill="1" applyBorder="1" applyAlignment="1"/>
    <xf numFmtId="0" fontId="5" fillId="4" borderId="15" xfId="0" applyFont="1" applyFill="1" applyBorder="1" applyAlignment="1"/>
    <xf numFmtId="2" fontId="5" fillId="2" borderId="9" xfId="0" applyNumberFormat="1" applyFont="1" applyFill="1" applyBorder="1"/>
    <xf numFmtId="9" fontId="17" fillId="4" borderId="9" xfId="2" applyFont="1" applyFill="1" applyBorder="1"/>
    <xf numFmtId="0" fontId="0" fillId="4" borderId="0" xfId="0" applyFill="1" applyBorder="1"/>
    <xf numFmtId="0" fontId="5" fillId="4" borderId="18" xfId="0" applyFont="1" applyFill="1" applyBorder="1"/>
    <xf numFmtId="0" fontId="5" fillId="4" borderId="19" xfId="0" applyFont="1" applyFill="1" applyBorder="1"/>
    <xf numFmtId="0" fontId="5" fillId="4" borderId="21" xfId="0" applyFont="1" applyFill="1" applyBorder="1"/>
    <xf numFmtId="11" fontId="5" fillId="4" borderId="0" xfId="0" applyNumberFormat="1" applyFont="1" applyFill="1"/>
    <xf numFmtId="11" fontId="4" fillId="4" borderId="0" xfId="0" applyNumberFormat="1" applyFont="1" applyFill="1"/>
    <xf numFmtId="11" fontId="9" fillId="3" borderId="9" xfId="0" applyNumberFormat="1" applyFont="1" applyFill="1" applyBorder="1"/>
    <xf numFmtId="0" fontId="11" fillId="4" borderId="0" xfId="0" applyFont="1" applyFill="1"/>
    <xf numFmtId="0" fontId="19" fillId="4" borderId="0" xfId="0" applyFont="1" applyFill="1"/>
    <xf numFmtId="0" fontId="19" fillId="0" borderId="9" xfId="0" applyFont="1" applyBorder="1"/>
    <xf numFmtId="0" fontId="19" fillId="5" borderId="9" xfId="0" applyFont="1" applyFill="1" applyBorder="1"/>
    <xf numFmtId="0" fontId="11" fillId="5" borderId="9" xfId="0" applyFont="1" applyFill="1" applyBorder="1"/>
    <xf numFmtId="2" fontId="19" fillId="0" borderId="9" xfId="0" applyNumberFormat="1" applyFont="1" applyFill="1" applyBorder="1"/>
    <xf numFmtId="2" fontId="19" fillId="0" borderId="9" xfId="0" applyNumberFormat="1" applyFont="1" applyBorder="1"/>
    <xf numFmtId="0" fontId="5" fillId="0" borderId="9" xfId="0" applyFont="1" applyBorder="1" applyAlignment="1">
      <alignment horizontal="left" vertical="top" wrapText="1"/>
    </xf>
    <xf numFmtId="11" fontId="5" fillId="4" borderId="0" xfId="0" applyNumberFormat="1" applyFont="1" applyFill="1" applyBorder="1"/>
    <xf numFmtId="1" fontId="5" fillId="4" borderId="0" xfId="0" applyNumberFormat="1" applyFont="1" applyFill="1" applyBorder="1"/>
    <xf numFmtId="11" fontId="5" fillId="4" borderId="0" xfId="1" applyNumberFormat="1" applyFont="1" applyFill="1" applyBorder="1"/>
    <xf numFmtId="11" fontId="19" fillId="4" borderId="0" xfId="0" applyNumberFormat="1" applyFont="1" applyFill="1" applyBorder="1"/>
    <xf numFmtId="0" fontId="12" fillId="4" borderId="0" xfId="0" applyFont="1" applyFill="1" applyBorder="1" applyAlignment="1">
      <alignment horizontal="right"/>
    </xf>
    <xf numFmtId="0" fontId="11" fillId="6" borderId="9" xfId="0" applyFont="1" applyFill="1" applyBorder="1"/>
    <xf numFmtId="2" fontId="19" fillId="4" borderId="0" xfId="0" applyNumberFormat="1" applyFont="1" applyFill="1" applyBorder="1"/>
    <xf numFmtId="0" fontId="19" fillId="4" borderId="0" xfId="0" applyFont="1" applyFill="1" applyBorder="1"/>
    <xf numFmtId="11" fontId="20" fillId="4" borderId="0" xfId="0" applyNumberFormat="1" applyFont="1" applyFill="1" applyBorder="1"/>
    <xf numFmtId="0" fontId="20" fillId="4" borderId="0" xfId="0" applyFont="1" applyFill="1" applyBorder="1"/>
    <xf numFmtId="0" fontId="19" fillId="4" borderId="9" xfId="0" applyFont="1" applyFill="1" applyBorder="1"/>
    <xf numFmtId="0" fontId="11" fillId="0" borderId="0" xfId="0" applyFont="1" applyBorder="1"/>
    <xf numFmtId="0" fontId="5" fillId="0" borderId="8" xfId="0" applyFont="1" applyFill="1" applyBorder="1"/>
    <xf numFmtId="0" fontId="19" fillId="0" borderId="1" xfId="0" applyFont="1" applyFill="1" applyBorder="1"/>
    <xf numFmtId="0" fontId="5" fillId="0" borderId="1" xfId="0" applyFont="1" applyFill="1" applyBorder="1"/>
    <xf numFmtId="0" fontId="5" fillId="0" borderId="6" xfId="0" applyFont="1" applyFill="1" applyBorder="1"/>
    <xf numFmtId="0" fontId="19" fillId="0" borderId="0" xfId="0" applyFont="1" applyFill="1" applyBorder="1"/>
    <xf numFmtId="0" fontId="5" fillId="0" borderId="0" xfId="0" applyFont="1" applyFill="1" applyBorder="1"/>
    <xf numFmtId="0" fontId="5" fillId="0" borderId="4" xfId="0" applyFont="1" applyFill="1" applyBorder="1"/>
    <xf numFmtId="0" fontId="19" fillId="0" borderId="3" xfId="0" applyFont="1" applyFill="1" applyBorder="1"/>
    <xf numFmtId="0" fontId="5" fillId="0" borderId="3" xfId="0" applyFont="1" applyFill="1" applyBorder="1"/>
    <xf numFmtId="165" fontId="5" fillId="0" borderId="0" xfId="0" applyNumberFormat="1" applyFont="1" applyFill="1" applyBorder="1"/>
    <xf numFmtId="165" fontId="5" fillId="0" borderId="3" xfId="0" applyNumberFormat="1" applyFont="1" applyFill="1" applyBorder="1"/>
    <xf numFmtId="0" fontId="21" fillId="0" borderId="1" xfId="0" applyFont="1" applyFill="1" applyBorder="1"/>
    <xf numFmtId="0" fontId="21" fillId="0" borderId="0" xfId="0" applyFont="1" applyFill="1" applyBorder="1"/>
    <xf numFmtId="0" fontId="5" fillId="0" borderId="0" xfId="0" applyFont="1" applyBorder="1"/>
    <xf numFmtId="0" fontId="5" fillId="0" borderId="3" xfId="0" applyFont="1" applyBorder="1"/>
    <xf numFmtId="0" fontId="21" fillId="0" borderId="3" xfId="0" applyFont="1" applyFill="1" applyBorder="1"/>
    <xf numFmtId="165" fontId="19" fillId="0" borderId="3" xfId="0" applyNumberFormat="1" applyFont="1" applyFill="1" applyBorder="1"/>
    <xf numFmtId="0" fontId="19" fillId="6" borderId="2" xfId="0" applyFont="1" applyFill="1" applyBorder="1"/>
    <xf numFmtId="0" fontId="19" fillId="6" borderId="24" xfId="0" applyFont="1" applyFill="1" applyBorder="1"/>
    <xf numFmtId="0" fontId="5" fillId="0" borderId="1" xfId="0" applyFont="1" applyFill="1" applyBorder="1" applyAlignment="1">
      <alignment horizontal="left"/>
    </xf>
    <xf numFmtId="0" fontId="12" fillId="0" borderId="0" xfId="0" applyFont="1" applyFill="1" applyBorder="1" applyAlignment="1">
      <alignment horizontal="left"/>
    </xf>
    <xf numFmtId="0" fontId="5" fillId="0" borderId="6" xfId="0" applyFont="1" applyFill="1" applyBorder="1" applyAlignment="1">
      <alignment horizontal="fill"/>
    </xf>
    <xf numFmtId="0" fontId="5" fillId="0" borderId="0" xfId="0" applyFont="1" applyFill="1" applyBorder="1" applyAlignment="1">
      <alignment horizontal="left"/>
    </xf>
    <xf numFmtId="0" fontId="12" fillId="0" borderId="0" xfId="0" applyFont="1" applyFill="1" applyBorder="1" applyAlignment="1">
      <alignment horizontal="right"/>
    </xf>
    <xf numFmtId="0" fontId="5" fillId="0" borderId="3" xfId="0" applyFont="1" applyFill="1" applyBorder="1" applyAlignment="1">
      <alignment horizontal="left"/>
    </xf>
    <xf numFmtId="0" fontId="19" fillId="0" borderId="8" xfId="0" applyFont="1" applyFill="1" applyBorder="1"/>
    <xf numFmtId="165" fontId="19" fillId="6" borderId="3" xfId="0" applyNumberFormat="1" applyFont="1" applyFill="1" applyBorder="1"/>
    <xf numFmtId="0" fontId="19" fillId="0" borderId="0" xfId="0" applyFont="1" applyFill="1" applyBorder="1" applyAlignment="1">
      <alignment horizontal="right"/>
    </xf>
    <xf numFmtId="0" fontId="19" fillId="0" borderId="6" xfId="0" applyFont="1" applyFill="1" applyBorder="1"/>
    <xf numFmtId="165" fontId="19" fillId="0" borderId="0" xfId="0" applyNumberFormat="1" applyFont="1" applyFill="1" applyBorder="1"/>
    <xf numFmtId="0" fontId="19" fillId="0" borderId="4" xfId="0" applyFont="1" applyFill="1" applyBorder="1"/>
    <xf numFmtId="0" fontId="19" fillId="0" borderId="1" xfId="0" applyFont="1" applyFill="1" applyBorder="1" applyAlignment="1">
      <alignment horizontal="right"/>
    </xf>
    <xf numFmtId="0" fontId="19" fillId="0" borderId="1" xfId="0" applyFont="1" applyFill="1" applyBorder="1" applyAlignment="1">
      <alignment horizontal="left"/>
    </xf>
    <xf numFmtId="0" fontId="19" fillId="0" borderId="8" xfId="0" applyFont="1" applyFill="1" applyBorder="1" applyAlignment="1">
      <alignment horizontal="fill"/>
    </xf>
    <xf numFmtId="0" fontId="19" fillId="0" borderId="6" xfId="0" applyFont="1" applyFill="1" applyBorder="1" applyAlignment="1">
      <alignment horizontal="fill"/>
    </xf>
    <xf numFmtId="0" fontId="19" fillId="0" borderId="4" xfId="0" applyFont="1" applyFill="1" applyBorder="1" applyAlignment="1">
      <alignment horizontal="fill"/>
    </xf>
    <xf numFmtId="2" fontId="19" fillId="0" borderId="3" xfId="0" applyNumberFormat="1" applyFont="1" applyFill="1" applyBorder="1"/>
    <xf numFmtId="0" fontId="5" fillId="0" borderId="1" xfId="0" applyFont="1" applyBorder="1"/>
    <xf numFmtId="0" fontId="10" fillId="0" borderId="6" xfId="0" applyFont="1" applyFill="1" applyBorder="1"/>
    <xf numFmtId="0" fontId="10" fillId="0" borderId="4" xfId="0" applyFont="1" applyFill="1" applyBorder="1"/>
    <xf numFmtId="0" fontId="19" fillId="0" borderId="1" xfId="0" applyFont="1" applyBorder="1"/>
    <xf numFmtId="0" fontId="4" fillId="0" borderId="6" xfId="0" applyFont="1" applyFill="1" applyBorder="1"/>
    <xf numFmtId="0" fontId="4" fillId="0" borderId="4" xfId="0" applyFont="1" applyFill="1" applyBorder="1"/>
    <xf numFmtId="0" fontId="5" fillId="4" borderId="4" xfId="0" applyFont="1" applyFill="1" applyBorder="1"/>
    <xf numFmtId="0" fontId="5" fillId="4" borderId="3" xfId="0" applyFont="1" applyFill="1" applyBorder="1"/>
    <xf numFmtId="11" fontId="5" fillId="4" borderId="25" xfId="0" applyNumberFormat="1" applyFont="1" applyFill="1" applyBorder="1"/>
    <xf numFmtId="0" fontId="5" fillId="4" borderId="25" xfId="0" applyFont="1" applyFill="1" applyBorder="1"/>
    <xf numFmtId="0" fontId="9" fillId="3" borderId="23" xfId="0" applyFont="1" applyFill="1" applyBorder="1"/>
    <xf numFmtId="0" fontId="9" fillId="3" borderId="25" xfId="0" applyFont="1" applyFill="1" applyBorder="1"/>
    <xf numFmtId="11" fontId="9" fillId="3" borderId="25" xfId="0" applyNumberFormat="1" applyFont="1" applyFill="1" applyBorder="1"/>
    <xf numFmtId="0" fontId="9" fillId="3" borderId="24" xfId="0" applyFont="1" applyFill="1" applyBorder="1"/>
    <xf numFmtId="0" fontId="17" fillId="4" borderId="0" xfId="0" applyFont="1" applyFill="1"/>
    <xf numFmtId="9" fontId="5" fillId="0" borderId="9" xfId="2" applyFont="1" applyBorder="1"/>
    <xf numFmtId="0" fontId="5" fillId="0" borderId="9" xfId="0" applyFont="1" applyBorder="1" applyAlignment="1">
      <alignment horizontal="right"/>
    </xf>
    <xf numFmtId="0" fontId="5" fillId="0" borderId="9" xfId="0" applyFont="1" applyFill="1" applyBorder="1"/>
    <xf numFmtId="9" fontId="5" fillId="0" borderId="9" xfId="2" applyFont="1" applyFill="1" applyBorder="1"/>
    <xf numFmtId="0" fontId="5" fillId="4" borderId="9" xfId="0" applyFont="1" applyFill="1" applyBorder="1" applyAlignment="1">
      <alignment horizontal="right"/>
    </xf>
    <xf numFmtId="11" fontId="5" fillId="0" borderId="9" xfId="0" applyNumberFormat="1" applyFont="1" applyBorder="1"/>
    <xf numFmtId="165" fontId="5" fillId="0" borderId="9" xfId="0" applyNumberFormat="1" applyFont="1" applyFill="1" applyBorder="1" applyAlignment="1">
      <alignment horizontal="right"/>
    </xf>
    <xf numFmtId="165" fontId="5" fillId="0" borderId="9" xfId="0" applyNumberFormat="1" applyFont="1" applyBorder="1"/>
    <xf numFmtId="165" fontId="5" fillId="0" borderId="9" xfId="0" applyNumberFormat="1" applyFont="1" applyFill="1" applyBorder="1"/>
    <xf numFmtId="0" fontId="5" fillId="4" borderId="10" xfId="0" applyFont="1" applyFill="1" applyBorder="1" applyAlignment="1"/>
    <xf numFmtId="0" fontId="22" fillId="4" borderId="15" xfId="0" applyFont="1" applyFill="1" applyBorder="1"/>
    <xf numFmtId="2" fontId="22" fillId="4" borderId="15" xfId="0" applyNumberFormat="1" applyFont="1" applyFill="1" applyBorder="1"/>
    <xf numFmtId="0" fontId="23" fillId="4" borderId="15" xfId="0" applyFont="1" applyFill="1" applyBorder="1"/>
    <xf numFmtId="0" fontId="22" fillId="0" borderId="9" xfId="0" applyFont="1" applyBorder="1"/>
    <xf numFmtId="2" fontId="22" fillId="0" borderId="9" xfId="0" applyNumberFormat="1" applyFont="1" applyBorder="1"/>
    <xf numFmtId="0" fontId="24" fillId="3" borderId="9" xfId="0" applyFont="1" applyFill="1" applyBorder="1"/>
    <xf numFmtId="0" fontId="6" fillId="4" borderId="0" xfId="0" applyFont="1" applyFill="1"/>
    <xf numFmtId="166" fontId="15" fillId="4" borderId="0" xfId="0" applyNumberFormat="1" applyFont="1" applyFill="1" applyBorder="1"/>
    <xf numFmtId="0" fontId="11" fillId="4" borderId="0" xfId="0" applyFont="1" applyFill="1" applyBorder="1"/>
    <xf numFmtId="0" fontId="4" fillId="4" borderId="0" xfId="0" applyFont="1" applyFill="1" applyBorder="1" applyAlignment="1"/>
    <xf numFmtId="0" fontId="19" fillId="0" borderId="0" xfId="0" applyFont="1" applyFill="1" applyBorder="1" applyAlignment="1">
      <alignment horizontal="left"/>
    </xf>
    <xf numFmtId="0" fontId="19" fillId="0" borderId="3" xfId="0" applyFont="1" applyFill="1" applyBorder="1" applyAlignment="1">
      <alignment horizontal="left"/>
    </xf>
    <xf numFmtId="0" fontId="22" fillId="5" borderId="9" xfId="0" applyFont="1" applyFill="1" applyBorder="1"/>
    <xf numFmtId="0" fontId="6" fillId="4" borderId="0" xfId="0" applyFont="1" applyFill="1" applyBorder="1" applyAlignment="1">
      <alignment horizontal="left" vertical="top" wrapText="1"/>
    </xf>
    <xf numFmtId="0" fontId="9" fillId="3" borderId="9" xfId="0" applyFont="1" applyFill="1" applyBorder="1" applyAlignment="1"/>
    <xf numFmtId="0" fontId="5" fillId="0" borderId="9" xfId="0" applyFont="1" applyBorder="1" applyAlignment="1"/>
    <xf numFmtId="0" fontId="10" fillId="0" borderId="9" xfId="0" applyFont="1" applyBorder="1"/>
    <xf numFmtId="0" fontId="19" fillId="4" borderId="9" xfId="0" applyFont="1" applyFill="1" applyBorder="1" applyAlignment="1"/>
    <xf numFmtId="0" fontId="19" fillId="4" borderId="9" xfId="0" applyFont="1" applyFill="1" applyBorder="1" applyAlignment="1">
      <alignment horizontal="fill"/>
    </xf>
    <xf numFmtId="166" fontId="5" fillId="4" borderId="0" xfId="0" applyNumberFormat="1" applyFont="1" applyFill="1" applyBorder="1"/>
    <xf numFmtId="0" fontId="5" fillId="4" borderId="9" xfId="0" applyFont="1" applyFill="1" applyBorder="1" applyAlignment="1">
      <alignment horizontal="left" vertical="top" wrapText="1"/>
    </xf>
    <xf numFmtId="0" fontId="26" fillId="4" borderId="0" xfId="0" applyFont="1" applyFill="1"/>
    <xf numFmtId="0" fontId="28" fillId="5" borderId="9" xfId="4" applyFont="1" applyFill="1" applyBorder="1"/>
    <xf numFmtId="0" fontId="5" fillId="7" borderId="12" xfId="0" applyFont="1" applyFill="1" applyBorder="1"/>
    <xf numFmtId="0" fontId="5" fillId="4" borderId="9" xfId="0" applyFont="1" applyFill="1" applyBorder="1" applyAlignment="1">
      <alignment horizontal="left" vertical="top"/>
    </xf>
    <xf numFmtId="0" fontId="7" fillId="4" borderId="9" xfId="0" applyFont="1" applyFill="1" applyBorder="1" applyAlignment="1">
      <alignment horizontal="left" vertical="top" wrapText="1"/>
    </xf>
    <xf numFmtId="0" fontId="23" fillId="4" borderId="0" xfId="0" applyFont="1" applyFill="1" applyBorder="1"/>
    <xf numFmtId="2" fontId="22" fillId="4" borderId="0" xfId="0" applyNumberFormat="1" applyFont="1" applyFill="1" applyBorder="1"/>
    <xf numFmtId="0" fontId="22" fillId="4" borderId="0" xfId="0" applyFont="1" applyFill="1" applyBorder="1"/>
    <xf numFmtId="9" fontId="5" fillId="0" borderId="9" xfId="2" applyNumberFormat="1" applyFont="1" applyBorder="1"/>
    <xf numFmtId="9" fontId="5" fillId="4" borderId="9" xfId="2" applyNumberFormat="1" applyFont="1" applyFill="1" applyBorder="1"/>
    <xf numFmtId="167" fontId="19" fillId="4" borderId="9" xfId="0" applyNumberFormat="1" applyFont="1" applyFill="1" applyBorder="1"/>
    <xf numFmtId="167" fontId="5" fillId="4" borderId="9" xfId="0" applyNumberFormat="1" applyFont="1" applyFill="1" applyBorder="1"/>
    <xf numFmtId="168" fontId="5" fillId="0" borderId="9" xfId="0" applyNumberFormat="1" applyFont="1" applyBorder="1"/>
    <xf numFmtId="168" fontId="5" fillId="0" borderId="9" xfId="0" applyNumberFormat="1" applyFont="1" applyFill="1" applyBorder="1"/>
    <xf numFmtId="169" fontId="19" fillId="4" borderId="9" xfId="0" applyNumberFormat="1" applyFont="1" applyFill="1" applyBorder="1"/>
    <xf numFmtId="168" fontId="5" fillId="0" borderId="9" xfId="0" applyNumberFormat="1" applyFont="1" applyFill="1" applyBorder="1" applyAlignment="1">
      <alignment horizontal="right"/>
    </xf>
    <xf numFmtId="167" fontId="5" fillId="0" borderId="9" xfId="0" applyNumberFormat="1" applyFont="1" applyBorder="1"/>
    <xf numFmtId="168" fontId="5" fillId="0" borderId="9" xfId="1" applyNumberFormat="1" applyFont="1" applyBorder="1"/>
    <xf numFmtId="165" fontId="19" fillId="4" borderId="9" xfId="0" applyNumberFormat="1" applyFont="1" applyFill="1" applyBorder="1"/>
    <xf numFmtId="168" fontId="19" fillId="4" borderId="9" xfId="1" applyNumberFormat="1" applyFont="1" applyFill="1" applyBorder="1"/>
    <xf numFmtId="170" fontId="19" fillId="4" borderId="9" xfId="0" applyNumberFormat="1" applyFont="1" applyFill="1" applyBorder="1"/>
    <xf numFmtId="168" fontId="19" fillId="4" borderId="9" xfId="0" applyNumberFormat="1" applyFont="1" applyFill="1" applyBorder="1"/>
    <xf numFmtId="169" fontId="5" fillId="4" borderId="0" xfId="0" applyNumberFormat="1" applyFont="1" applyFill="1" applyBorder="1"/>
    <xf numFmtId="165" fontId="19" fillId="0" borderId="9" xfId="0" applyNumberFormat="1" applyFont="1" applyBorder="1"/>
    <xf numFmtId="165" fontId="19" fillId="6" borderId="9" xfId="0" applyNumberFormat="1" applyFont="1" applyFill="1" applyBorder="1"/>
    <xf numFmtId="168" fontId="19" fillId="0" borderId="9" xfId="0" applyNumberFormat="1" applyFont="1" applyBorder="1"/>
    <xf numFmtId="168" fontId="19" fillId="6" borderId="9" xfId="0" applyNumberFormat="1" applyFont="1" applyFill="1" applyBorder="1"/>
    <xf numFmtId="165" fontId="5" fillId="0" borderId="0" xfId="0" applyNumberFormat="1" applyFont="1" applyBorder="1"/>
    <xf numFmtId="169" fontId="19" fillId="0" borderId="1" xfId="0" applyNumberFormat="1" applyFont="1" applyBorder="1"/>
    <xf numFmtId="167" fontId="19" fillId="0" borderId="3" xfId="0" applyNumberFormat="1" applyFont="1" applyFill="1" applyBorder="1"/>
    <xf numFmtId="167" fontId="19" fillId="0" borderId="0" xfId="0" applyNumberFormat="1" applyFont="1" applyFill="1" applyBorder="1"/>
    <xf numFmtId="169" fontId="19" fillId="0" borderId="1" xfId="0" applyNumberFormat="1" applyFont="1" applyFill="1" applyBorder="1"/>
    <xf numFmtId="169" fontId="19" fillId="0" borderId="0" xfId="0" applyNumberFormat="1" applyFont="1" applyFill="1" applyBorder="1"/>
    <xf numFmtId="168" fontId="19" fillId="0" borderId="3" xfId="0" applyNumberFormat="1" applyFont="1" applyFill="1" applyBorder="1"/>
    <xf numFmtId="168" fontId="19" fillId="0" borderId="0" xfId="0" applyNumberFormat="1" applyFont="1" applyFill="1" applyBorder="1"/>
    <xf numFmtId="169" fontId="19" fillId="0" borderId="1" xfId="1" applyNumberFormat="1" applyFont="1" applyFill="1" applyBorder="1"/>
    <xf numFmtId="168" fontId="5" fillId="0" borderId="3" xfId="0" applyNumberFormat="1" applyFont="1" applyFill="1" applyBorder="1"/>
    <xf numFmtId="169" fontId="5" fillId="0" borderId="1" xfId="0" applyNumberFormat="1" applyFont="1" applyFill="1" applyBorder="1"/>
    <xf numFmtId="168" fontId="5" fillId="0" borderId="0" xfId="0" applyNumberFormat="1" applyFont="1" applyFill="1" applyBorder="1"/>
    <xf numFmtId="168" fontId="21" fillId="0" borderId="0" xfId="0" applyNumberFormat="1" applyFont="1" applyFill="1" applyBorder="1"/>
    <xf numFmtId="169" fontId="21" fillId="0" borderId="0" xfId="0" applyNumberFormat="1" applyFont="1" applyFill="1" applyBorder="1"/>
    <xf numFmtId="168" fontId="21" fillId="0" borderId="3" xfId="0" applyNumberFormat="1" applyFont="1" applyFill="1" applyBorder="1"/>
    <xf numFmtId="169" fontId="21" fillId="0" borderId="1" xfId="0" applyNumberFormat="1" applyFont="1" applyFill="1" applyBorder="1"/>
    <xf numFmtId="168" fontId="19" fillId="6" borderId="23" xfId="0" applyNumberFormat="1" applyFont="1" applyFill="1" applyBorder="1"/>
    <xf numFmtId="0" fontId="5" fillId="5" borderId="24" xfId="0" applyFont="1" applyFill="1" applyBorder="1"/>
    <xf numFmtId="0" fontId="5" fillId="5" borderId="5" xfId="0" applyFont="1" applyFill="1" applyBorder="1"/>
    <xf numFmtId="0" fontId="4" fillId="5" borderId="5" xfId="0" applyFont="1" applyFill="1" applyBorder="1"/>
    <xf numFmtId="0" fontId="19" fillId="5" borderId="7" xfId="0" applyFont="1" applyFill="1" applyBorder="1"/>
    <xf numFmtId="0" fontId="19" fillId="5" borderId="2" xfId="0" applyFont="1" applyFill="1" applyBorder="1"/>
    <xf numFmtId="0" fontId="10" fillId="5" borderId="5" xfId="0" applyFont="1" applyFill="1" applyBorder="1"/>
    <xf numFmtId="0" fontId="19" fillId="5" borderId="5" xfId="0" applyFont="1" applyFill="1" applyBorder="1"/>
    <xf numFmtId="0" fontId="5" fillId="5" borderId="2" xfId="0" applyFont="1" applyFill="1" applyBorder="1"/>
    <xf numFmtId="0" fontId="5" fillId="5" borderId="7" xfId="0" applyFont="1" applyFill="1" applyBorder="1"/>
    <xf numFmtId="0" fontId="12" fillId="5" borderId="5" xfId="0" applyFont="1" applyFill="1" applyBorder="1" applyAlignment="1">
      <alignment horizontal="right"/>
    </xf>
    <xf numFmtId="0" fontId="12" fillId="5" borderId="7" xfId="0" applyFont="1" applyFill="1" applyBorder="1" applyAlignment="1">
      <alignment horizontal="right"/>
    </xf>
    <xf numFmtId="169" fontId="5" fillId="4" borderId="9" xfId="0" applyNumberFormat="1" applyFont="1" applyFill="1" applyBorder="1"/>
    <xf numFmtId="168" fontId="5" fillId="4" borderId="9" xfId="0" applyNumberFormat="1" applyFont="1" applyFill="1" applyBorder="1"/>
    <xf numFmtId="169" fontId="5" fillId="4" borderId="9" xfId="1" applyNumberFormat="1" applyFont="1" applyFill="1" applyBorder="1"/>
    <xf numFmtId="169" fontId="4" fillId="4" borderId="9" xfId="1" applyNumberFormat="1" applyFont="1" applyFill="1" applyBorder="1"/>
    <xf numFmtId="168" fontId="5" fillId="4" borderId="9" xfId="1" applyNumberFormat="1" applyFont="1" applyFill="1" applyBorder="1"/>
    <xf numFmtId="170" fontId="5" fillId="4" borderId="9" xfId="1" applyNumberFormat="1" applyFont="1" applyFill="1" applyBorder="1"/>
    <xf numFmtId="169" fontId="4" fillId="4" borderId="9" xfId="0" applyNumberFormat="1" applyFont="1" applyFill="1" applyBorder="1"/>
    <xf numFmtId="168" fontId="5" fillId="4" borderId="13" xfId="0" applyNumberFormat="1" applyFont="1" applyFill="1" applyBorder="1"/>
    <xf numFmtId="165" fontId="5" fillId="4" borderId="12" xfId="0" applyNumberFormat="1" applyFont="1" applyFill="1" applyBorder="1"/>
    <xf numFmtId="168" fontId="5" fillId="4" borderId="12" xfId="0" applyNumberFormat="1" applyFont="1" applyFill="1" applyBorder="1"/>
    <xf numFmtId="2" fontId="5" fillId="4" borderId="9" xfId="0" applyNumberFormat="1" applyFont="1" applyFill="1" applyBorder="1" applyAlignment="1">
      <alignment horizontal="left"/>
    </xf>
    <xf numFmtId="165" fontId="5" fillId="4" borderId="9" xfId="1" applyNumberFormat="1" applyFont="1" applyFill="1" applyBorder="1"/>
    <xf numFmtId="170" fontId="5" fillId="4" borderId="9" xfId="0" applyNumberFormat="1" applyFont="1" applyFill="1" applyBorder="1"/>
    <xf numFmtId="165" fontId="5" fillId="4" borderId="9" xfId="0" applyNumberFormat="1" applyFont="1" applyFill="1" applyBorder="1" applyAlignment="1">
      <alignment horizontal="right"/>
    </xf>
    <xf numFmtId="167" fontId="5" fillId="4" borderId="9" xfId="0" applyNumberFormat="1" applyFont="1" applyFill="1" applyBorder="1" applyAlignment="1">
      <alignment horizontal="right"/>
    </xf>
    <xf numFmtId="167" fontId="5" fillId="4" borderId="9" xfId="2" applyNumberFormat="1" applyFont="1" applyFill="1" applyBorder="1"/>
    <xf numFmtId="0" fontId="6" fillId="4" borderId="0" xfId="0" applyFont="1" applyFill="1" applyAlignment="1">
      <alignment vertical="top"/>
    </xf>
    <xf numFmtId="167" fontId="5" fillId="4" borderId="22" xfId="0" applyNumberFormat="1" applyFont="1" applyFill="1" applyBorder="1"/>
    <xf numFmtId="167" fontId="5" fillId="4" borderId="13" xfId="0" applyNumberFormat="1" applyFont="1" applyFill="1" applyBorder="1"/>
    <xf numFmtId="170" fontId="5" fillId="0" borderId="9" xfId="1" applyNumberFormat="1" applyFont="1" applyBorder="1"/>
    <xf numFmtId="167" fontId="5" fillId="0" borderId="9" xfId="1" applyNumberFormat="1" applyFont="1" applyBorder="1"/>
    <xf numFmtId="0" fontId="6" fillId="4" borderId="0" xfId="0" applyFont="1" applyFill="1" applyAlignment="1">
      <alignment horizontal="left"/>
    </xf>
    <xf numFmtId="0" fontId="5" fillId="4" borderId="9" xfId="0" applyFont="1" applyFill="1" applyBorder="1" applyAlignment="1">
      <alignment horizontal="left" vertical="top" wrapText="1"/>
    </xf>
    <xf numFmtId="165" fontId="19" fillId="6" borderId="23" xfId="0" applyNumberFormat="1" applyFont="1" applyFill="1" applyBorder="1"/>
    <xf numFmtId="167" fontId="19" fillId="6" borderId="23" xfId="0" applyNumberFormat="1" applyFont="1" applyFill="1" applyBorder="1"/>
    <xf numFmtId="0" fontId="9" fillId="3" borderId="9" xfId="0" applyFont="1" applyFill="1" applyBorder="1" applyAlignment="1">
      <alignment horizontal="left"/>
    </xf>
    <xf numFmtId="0" fontId="6" fillId="0" borderId="0" xfId="0" applyFont="1" applyBorder="1" applyAlignment="1">
      <alignment horizontal="left" vertical="top" wrapText="1"/>
    </xf>
    <xf numFmtId="0" fontId="5" fillId="4" borderId="0" xfId="0" applyFont="1" applyFill="1" applyAlignment="1">
      <alignment horizontal="left" vertical="top" wrapText="1"/>
    </xf>
    <xf numFmtId="0" fontId="5" fillId="4" borderId="0" xfId="0" applyFont="1" applyFill="1" applyAlignment="1">
      <alignment vertical="top" wrapText="1"/>
    </xf>
    <xf numFmtId="0" fontId="6" fillId="4" borderId="0" xfId="0" applyFont="1" applyFill="1" applyAlignment="1">
      <alignment horizontal="left" vertical="top" wrapText="1"/>
    </xf>
    <xf numFmtId="0" fontId="9" fillId="3" borderId="9" xfId="0" applyFont="1" applyFill="1" applyBorder="1" applyAlignment="1">
      <alignment horizontal="center"/>
    </xf>
    <xf numFmtId="0" fontId="29" fillId="4" borderId="15" xfId="0" applyFont="1" applyFill="1" applyBorder="1" applyAlignment="1">
      <alignment horizontal="left" vertical="top" wrapText="1"/>
    </xf>
    <xf numFmtId="0" fontId="29" fillId="4" borderId="18" xfId="0" applyFont="1" applyFill="1" applyBorder="1" applyAlignment="1">
      <alignment horizontal="left" vertical="top" wrapText="1"/>
    </xf>
    <xf numFmtId="0" fontId="29" fillId="4" borderId="0" xfId="0" applyFont="1" applyFill="1" applyAlignment="1">
      <alignment horizontal="left" vertical="top" wrapText="1"/>
    </xf>
    <xf numFmtId="0" fontId="29" fillId="4" borderId="19"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5" borderId="17" xfId="0" applyFont="1" applyFill="1" applyBorder="1" applyAlignment="1">
      <alignment horizontal="left" vertical="top" wrapText="1"/>
    </xf>
    <xf numFmtId="0" fontId="5" fillId="5" borderId="15" xfId="0" applyFont="1" applyFill="1" applyBorder="1" applyAlignment="1">
      <alignment horizontal="left" vertical="top" wrapText="1"/>
    </xf>
    <xf numFmtId="0" fontId="5" fillId="5" borderId="18" xfId="0" applyFont="1" applyFill="1" applyBorder="1" applyAlignment="1">
      <alignment horizontal="left" vertical="top" wrapText="1"/>
    </xf>
    <xf numFmtId="0" fontId="5" fillId="5" borderId="16" xfId="0" applyFont="1" applyFill="1" applyBorder="1" applyAlignment="1">
      <alignment horizontal="left" vertical="top" wrapText="1"/>
    </xf>
    <xf numFmtId="0" fontId="5" fillId="5" borderId="0" xfId="0" applyFont="1" applyFill="1" applyBorder="1" applyAlignment="1">
      <alignment horizontal="left" vertical="top" wrapText="1"/>
    </xf>
    <xf numFmtId="0" fontId="5" fillId="5" borderId="19" xfId="0" applyFont="1" applyFill="1" applyBorder="1" applyAlignment="1">
      <alignment horizontal="left" vertical="top" wrapText="1"/>
    </xf>
    <xf numFmtId="0" fontId="5" fillId="5" borderId="20" xfId="0" applyFont="1" applyFill="1" applyBorder="1" applyAlignment="1">
      <alignment horizontal="left" vertical="top" wrapText="1"/>
    </xf>
    <xf numFmtId="0" fontId="5" fillId="5" borderId="10" xfId="0" applyFont="1" applyFill="1" applyBorder="1" applyAlignment="1">
      <alignment horizontal="left" vertical="top" wrapText="1"/>
    </xf>
    <xf numFmtId="0" fontId="5" fillId="5" borderId="21"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5"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6" xfId="0" applyFont="1" applyFill="1" applyBorder="1" applyAlignment="1">
      <alignment horizontal="left" vertical="top" wrapText="1"/>
    </xf>
    <xf numFmtId="0" fontId="5" fillId="4" borderId="7" xfId="0" applyFont="1" applyFill="1" applyBorder="1" applyAlignment="1">
      <alignment horizontal="left" vertical="top" wrapText="1"/>
    </xf>
    <xf numFmtId="0" fontId="5" fillId="4" borderId="1" xfId="0" applyFont="1" applyFill="1" applyBorder="1" applyAlignment="1">
      <alignment horizontal="left" vertical="top" wrapText="1"/>
    </xf>
    <xf numFmtId="0" fontId="5" fillId="4" borderId="8" xfId="0" applyFont="1" applyFill="1" applyBorder="1" applyAlignment="1">
      <alignment horizontal="left" vertical="top" wrapText="1"/>
    </xf>
  </cellXfs>
  <cellStyles count="5">
    <cellStyle name="Comma" xfId="1" builtinId="3"/>
    <cellStyle name="Hyperlink" xfId="4" builtinId="8"/>
    <cellStyle name="Normal" xfId="0" builtinId="0"/>
    <cellStyle name="Normal 11" xfId="3"/>
    <cellStyle name="Percent" xfId="2" builtinId="5"/>
  </cellStyles>
  <dxfs count="0"/>
  <tableStyles count="0" defaultTableStyle="TableStyleMedium2" defaultPivotStyle="PivotStyleLight16"/>
  <colors>
    <mruColors>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6</xdr:row>
      <xdr:rowOff>0</xdr:rowOff>
    </xdr:from>
    <xdr:to>
      <xdr:col>1</xdr:col>
      <xdr:colOff>19050</xdr:colOff>
      <xdr:row>9</xdr:row>
      <xdr:rowOff>76200</xdr:rowOff>
    </xdr:to>
    <xdr:pic>
      <xdr:nvPicPr>
        <xdr:cNvPr id="2" name="Picture 1" descr="http://172.16.10.25/forms/logos/smcl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9550"/>
          <a:ext cx="19716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57150</xdr:colOff>
      <xdr:row>1</xdr:row>
      <xdr:rowOff>76200</xdr:rowOff>
    </xdr:from>
    <xdr:ext cx="1895475" cy="884263"/>
    <xdr:pic>
      <xdr:nvPicPr>
        <xdr:cNvPr id="3" name="Picture 2" descr="K:\ERG Proposals.gs.lex\EPA_ORD_STREAMS III.rs.cha\Tech proposal input for RTI prime\ERG-Quals-to-RTI_082715\ERG logo.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276225"/>
          <a:ext cx="1895475" cy="8842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12</xdr:col>
      <xdr:colOff>455433</xdr:colOff>
      <xdr:row>80</xdr:row>
      <xdr:rowOff>83345</xdr:rowOff>
    </xdr:from>
    <xdr:to>
      <xdr:col>14</xdr:col>
      <xdr:colOff>1321593</xdr:colOff>
      <xdr:row>101</xdr:row>
      <xdr:rowOff>132922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0862746" y="16478251"/>
          <a:ext cx="5092879" cy="4300109"/>
        </a:xfrm>
        <a:prstGeom prst="rect">
          <a:avLst/>
        </a:prstGeom>
        <a:ln w="1905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56830</xdr:colOff>
      <xdr:row>6</xdr:row>
      <xdr:rowOff>23665</xdr:rowOff>
    </xdr:from>
    <xdr:to>
      <xdr:col>17</xdr:col>
      <xdr:colOff>29617</xdr:colOff>
      <xdr:row>34</xdr:row>
      <xdr:rowOff>14516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541183" y="628783"/>
          <a:ext cx="4208609" cy="5862733"/>
        </a:xfrm>
        <a:prstGeom prst="rect">
          <a:avLst/>
        </a:prstGeom>
        <a:ln w="25400">
          <a:solidFill>
            <a:schemeClr val="tx1"/>
          </a:solidFill>
        </a:ln>
      </xdr:spPr>
    </xdr:pic>
    <xdr:clientData/>
  </xdr:twoCellAnchor>
  <xdr:twoCellAnchor editAs="oneCell">
    <xdr:from>
      <xdr:col>10</xdr:col>
      <xdr:colOff>54989</xdr:colOff>
      <xdr:row>58</xdr:row>
      <xdr:rowOff>18889</xdr:rowOff>
    </xdr:from>
    <xdr:to>
      <xdr:col>18</xdr:col>
      <xdr:colOff>16285</xdr:colOff>
      <xdr:row>79</xdr:row>
      <xdr:rowOff>15978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0539342" y="11135124"/>
          <a:ext cx="4802237" cy="4232912"/>
        </a:xfrm>
        <a:prstGeom prst="rect">
          <a:avLst/>
        </a:prstGeom>
        <a:ln w="25400">
          <a:solidFill>
            <a:schemeClr val="tx1"/>
          </a:solidFill>
        </a:ln>
      </xdr:spPr>
    </xdr:pic>
    <xdr:clientData/>
  </xdr:twoCellAnchor>
  <xdr:twoCellAnchor editAs="oneCell">
    <xdr:from>
      <xdr:col>10</xdr:col>
      <xdr:colOff>71957</xdr:colOff>
      <xdr:row>35</xdr:row>
      <xdr:rowOff>31296</xdr:rowOff>
    </xdr:from>
    <xdr:to>
      <xdr:col>16</xdr:col>
      <xdr:colOff>254771</xdr:colOff>
      <xdr:row>55</xdr:row>
      <xdr:rowOff>165823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0556310" y="6710002"/>
          <a:ext cx="3813520" cy="4168646"/>
        </a:xfrm>
        <a:prstGeom prst="rect">
          <a:avLst/>
        </a:prstGeom>
        <a:ln w="25400">
          <a:solidFill>
            <a:schemeClr val="tx1"/>
          </a:solidFill>
        </a:ln>
      </xdr:spPr>
    </xdr:pic>
    <xdr:clientData/>
  </xdr:twoCellAnchor>
  <xdr:twoCellAnchor editAs="oneCell">
    <xdr:from>
      <xdr:col>10</xdr:col>
      <xdr:colOff>48264</xdr:colOff>
      <xdr:row>95</xdr:row>
      <xdr:rowOff>30577</xdr:rowOff>
    </xdr:from>
    <xdr:to>
      <xdr:col>17</xdr:col>
      <xdr:colOff>60936</xdr:colOff>
      <xdr:row>119</xdr:row>
      <xdr:rowOff>106160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0532617" y="18004812"/>
          <a:ext cx="4248494" cy="4916524"/>
        </a:xfrm>
        <a:prstGeom prst="rect">
          <a:avLst/>
        </a:prstGeom>
        <a:ln w="25400">
          <a:solidFill>
            <a:schemeClr val="tx1"/>
          </a:solidFill>
        </a:ln>
      </xdr:spPr>
    </xdr:pic>
    <xdr:clientData/>
  </xdr:twoCellAnchor>
  <xdr:twoCellAnchor editAs="oneCell">
    <xdr:from>
      <xdr:col>10</xdr:col>
      <xdr:colOff>54429</xdr:colOff>
      <xdr:row>85</xdr:row>
      <xdr:rowOff>33618</xdr:rowOff>
    </xdr:from>
    <xdr:to>
      <xdr:col>16</xdr:col>
      <xdr:colOff>207219</xdr:colOff>
      <xdr:row>94</xdr:row>
      <xdr:rowOff>3139</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0538782" y="15789089"/>
          <a:ext cx="3783496" cy="1784873"/>
        </a:xfrm>
        <a:prstGeom prst="rect">
          <a:avLst/>
        </a:prstGeom>
        <a:ln w="254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17</xdr:col>
      <xdr:colOff>66675</xdr:colOff>
      <xdr:row>9</xdr:row>
      <xdr:rowOff>88900</xdr:rowOff>
    </xdr:from>
    <xdr:ext cx="6431745" cy="4619049"/>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0429875" y="1993900"/>
          <a:ext cx="6431745" cy="4619049"/>
        </a:xfrm>
        <a:prstGeom prst="rect">
          <a:avLst/>
        </a:prstGeom>
        <a:ln w="25400">
          <a:solidFill>
            <a:schemeClr val="tx1"/>
          </a:solidFill>
        </a:ln>
      </xdr:spPr>
    </xdr:pic>
    <xdr:clientData/>
  </xdr:oneCellAnchor>
  <xdr:oneCellAnchor>
    <xdr:from>
      <xdr:col>9</xdr:col>
      <xdr:colOff>85159</xdr:colOff>
      <xdr:row>9</xdr:row>
      <xdr:rowOff>101600</xdr:rowOff>
    </xdr:from>
    <xdr:ext cx="5893366" cy="8061325"/>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5571559" y="2006600"/>
          <a:ext cx="5893366" cy="8061325"/>
        </a:xfrm>
        <a:prstGeom prst="rect">
          <a:avLst/>
        </a:prstGeom>
        <a:ln w="25400">
          <a:solidFill>
            <a:schemeClr val="tx1"/>
          </a:solidFill>
        </a:ln>
      </xdr:spPr>
    </xdr:pic>
    <xdr:clientData/>
  </xdr:oneCellAnchor>
  <xdr:oneCellAnchor>
    <xdr:from>
      <xdr:col>17</xdr:col>
      <xdr:colOff>88900</xdr:colOff>
      <xdr:row>34</xdr:row>
      <xdr:rowOff>104775</xdr:rowOff>
    </xdr:from>
    <xdr:ext cx="5314290" cy="1380954"/>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452100" y="6772275"/>
          <a:ext cx="5314290" cy="1380954"/>
        </a:xfrm>
        <a:prstGeom prst="rect">
          <a:avLst/>
        </a:prstGeom>
        <a:ln w="25400">
          <a:solidFill>
            <a:schemeClr val="tx1"/>
          </a:solidFill>
        </a:ln>
      </xdr:spPr>
    </xdr:pic>
    <xdr:clientData/>
  </xdr:oneCellAnchor>
  <xdr:oneCellAnchor>
    <xdr:from>
      <xdr:col>17</xdr:col>
      <xdr:colOff>161925</xdr:colOff>
      <xdr:row>44</xdr:row>
      <xdr:rowOff>107950</xdr:rowOff>
    </xdr:from>
    <xdr:ext cx="5412706" cy="3819057"/>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525125" y="8680450"/>
          <a:ext cx="5412706" cy="3819057"/>
        </a:xfrm>
        <a:prstGeom prst="rect">
          <a:avLst/>
        </a:prstGeom>
        <a:ln w="25400">
          <a:solidFill>
            <a:schemeClr val="tx1"/>
          </a:solid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3267</xdr:colOff>
      <xdr:row>39</xdr:row>
      <xdr:rowOff>105569</xdr:rowOff>
    </xdr:from>
    <xdr:to>
      <xdr:col>8</xdr:col>
      <xdr:colOff>95250</xdr:colOff>
      <xdr:row>62</xdr:row>
      <xdr:rowOff>47850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10486" y="8023225"/>
          <a:ext cx="6985702" cy="4597625"/>
        </a:xfrm>
        <a:prstGeom prst="rect">
          <a:avLst/>
        </a:prstGeom>
        <a:ln w="25400">
          <a:solidFill>
            <a:schemeClr val="tx1"/>
          </a:solidFill>
        </a:ln>
      </xdr:spPr>
    </xdr:pic>
    <xdr:clientData/>
  </xdr:twoCellAnchor>
  <xdr:twoCellAnchor editAs="oneCell">
    <xdr:from>
      <xdr:col>1</xdr:col>
      <xdr:colOff>47625</xdr:colOff>
      <xdr:row>65</xdr:row>
      <xdr:rowOff>35719</xdr:rowOff>
    </xdr:from>
    <xdr:to>
      <xdr:col>5</xdr:col>
      <xdr:colOff>643064</xdr:colOff>
      <xdr:row>75</xdr:row>
      <xdr:rowOff>178327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654844" y="13215938"/>
          <a:ext cx="5262689" cy="2166670"/>
        </a:xfrm>
        <a:prstGeom prst="rect">
          <a:avLst/>
        </a:prstGeom>
        <a:ln w="25400">
          <a:solidFill>
            <a:schemeClr val="tx1"/>
          </a:solidFill>
        </a:ln>
      </xdr:spPr>
    </xdr:pic>
    <xdr:clientData/>
  </xdr:twoCellAnchor>
  <xdr:twoCellAnchor editAs="oneCell">
    <xdr:from>
      <xdr:col>1</xdr:col>
      <xdr:colOff>57150</xdr:colOff>
      <xdr:row>78</xdr:row>
      <xdr:rowOff>42864</xdr:rowOff>
    </xdr:from>
    <xdr:to>
      <xdr:col>9</xdr:col>
      <xdr:colOff>235744</xdr:colOff>
      <xdr:row>96</xdr:row>
      <xdr:rowOff>195227</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664369" y="15854364"/>
          <a:ext cx="7679531" cy="3795676"/>
        </a:xfrm>
        <a:prstGeom prst="rect">
          <a:avLst/>
        </a:prstGeom>
        <a:ln w="254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PA_Cookstove_LCA.sc.LEX/System%20expansion/Biogas%20sludge/Bioslurry%20Work/Bioslurry_Cow_Dung_LCI.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General information"/>
      <sheetName val="InputsOutputs"/>
      <sheetName val="Administrative information"/>
      <sheetName val="Modeling and validation"/>
      <sheetName val="Parameters"/>
      <sheetName val="Allocation"/>
      <sheetName val="Costs"/>
      <sheetName val="Actors"/>
      <sheetName val="Sources"/>
      <sheetName val="Calculations"/>
      <sheetName val="All unitgroups"/>
      <sheetName val="ISIC codes"/>
      <sheetName val="dropdowns"/>
      <sheetName val="EPA Flow DQI"/>
      <sheetName val="EPA Process DQI "/>
      <sheetName val="Process Completeness"/>
      <sheetName val="Process Completeness Checklist"/>
      <sheetName val="Biome"/>
      <sheetName val="Codes"/>
      <sheetName val="Code - Locations"/>
      <sheetName val="Code - Categori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abSelected="1" zoomScale="77" zoomScaleNormal="77" workbookViewId="0">
      <selection activeCell="C33" sqref="C33:C34"/>
    </sheetView>
  </sheetViews>
  <sheetFormatPr defaultColWidth="0" defaultRowHeight="15.75" customHeight="1" zeroHeight="1" x14ac:dyDescent="0.25"/>
  <cols>
    <col min="1" max="1" width="2.5703125" style="4" customWidth="1"/>
    <col min="2" max="2" width="28.42578125" style="4" customWidth="1"/>
    <col min="3" max="3" width="122.28515625" style="4" customWidth="1"/>
    <col min="4" max="6" width="9.140625" style="4" customWidth="1"/>
    <col min="7" max="16384" width="9.140625" style="4" hidden="1"/>
  </cols>
  <sheetData>
    <row r="1" spans="2:3" ht="15.75" customHeight="1" x14ac:dyDescent="0.25"/>
    <row r="2" spans="2:3" ht="15.75" customHeight="1" x14ac:dyDescent="0.25"/>
    <row r="3" spans="2:3" ht="15.75" customHeight="1" x14ac:dyDescent="0.25"/>
    <row r="4" spans="2:3" ht="15.75" customHeight="1" x14ac:dyDescent="0.25"/>
    <row r="5" spans="2:3" ht="15.75" customHeight="1" x14ac:dyDescent="0.25"/>
    <row r="6" spans="2:3" ht="15.75" customHeight="1" x14ac:dyDescent="0.25"/>
    <row r="7" spans="2:3" x14ac:dyDescent="0.25">
      <c r="B7" s="5" t="s">
        <v>718</v>
      </c>
    </row>
    <row r="8" spans="2:3" x14ac:dyDescent="0.25">
      <c r="B8" s="177" t="s">
        <v>713</v>
      </c>
    </row>
    <row r="9" spans="2:3" x14ac:dyDescent="0.25">
      <c r="B9" s="162" t="s">
        <v>763</v>
      </c>
    </row>
    <row r="10" spans="2:3" x14ac:dyDescent="0.25"/>
    <row r="11" spans="2:3" x14ac:dyDescent="0.25">
      <c r="B11" s="257" t="s">
        <v>714</v>
      </c>
      <c r="C11" s="257"/>
    </row>
    <row r="12" spans="2:3" x14ac:dyDescent="0.25">
      <c r="B12" s="2" t="s">
        <v>715</v>
      </c>
      <c r="C12" s="2" t="s">
        <v>104</v>
      </c>
    </row>
    <row r="13" spans="2:3" x14ac:dyDescent="0.25">
      <c r="B13" s="178" t="s">
        <v>719</v>
      </c>
      <c r="C13" s="179" t="s">
        <v>723</v>
      </c>
    </row>
    <row r="14" spans="2:3" x14ac:dyDescent="0.25">
      <c r="B14" s="178" t="s">
        <v>721</v>
      </c>
      <c r="C14" s="179" t="s">
        <v>722</v>
      </c>
    </row>
    <row r="15" spans="2:3" x14ac:dyDescent="0.25">
      <c r="B15" s="178" t="s">
        <v>731</v>
      </c>
      <c r="C15" s="179" t="s">
        <v>732</v>
      </c>
    </row>
    <row r="16" spans="2:3" x14ac:dyDescent="0.25">
      <c r="B16" s="178" t="s">
        <v>709</v>
      </c>
      <c r="C16" s="179" t="s">
        <v>733</v>
      </c>
    </row>
    <row r="17" spans="2:3" x14ac:dyDescent="0.25">
      <c r="B17" s="178" t="s">
        <v>751</v>
      </c>
      <c r="C17" s="179" t="s">
        <v>757</v>
      </c>
    </row>
    <row r="18" spans="2:3" x14ac:dyDescent="0.25">
      <c r="B18" s="178" t="s">
        <v>752</v>
      </c>
      <c r="C18" s="179" t="s">
        <v>758</v>
      </c>
    </row>
    <row r="19" spans="2:3" x14ac:dyDescent="0.25">
      <c r="B19" s="178" t="s">
        <v>753</v>
      </c>
      <c r="C19" s="179" t="s">
        <v>756</v>
      </c>
    </row>
    <row r="20" spans="2:3" x14ac:dyDescent="0.25">
      <c r="B20" s="178" t="s">
        <v>754</v>
      </c>
      <c r="C20" s="179" t="s">
        <v>755</v>
      </c>
    </row>
    <row r="21" spans="2:3" x14ac:dyDescent="0.25">
      <c r="B21" s="178" t="s">
        <v>716</v>
      </c>
      <c r="C21" s="179" t="s">
        <v>717</v>
      </c>
    </row>
    <row r="22" spans="2:3" x14ac:dyDescent="0.25"/>
    <row r="23" spans="2:3" x14ac:dyDescent="0.25"/>
    <row r="24" spans="2:3" x14ac:dyDescent="0.25"/>
    <row r="25" spans="2:3" x14ac:dyDescent="0.25"/>
    <row r="26" spans="2:3" hidden="1" x14ac:dyDescent="0.25"/>
    <row r="27" spans="2:3" hidden="1" x14ac:dyDescent="0.25"/>
    <row r="28" spans="2:3" hidden="1" x14ac:dyDescent="0.25"/>
    <row r="29" spans="2:3" hidden="1" x14ac:dyDescent="0.25"/>
    <row r="30" spans="2:3" hidden="1" x14ac:dyDescent="0.25"/>
    <row r="31" spans="2:3" hidden="1" x14ac:dyDescent="0.25"/>
    <row r="32" spans="2:3"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sheetData>
  <mergeCells count="1">
    <mergeCell ref="B11:C11"/>
  </mergeCells>
  <hyperlinks>
    <hyperlink ref="B13" location="'Land App. LCI'!A1" display="Land Application LCI"/>
    <hyperlink ref="B14" location="'Land App. LCI Doc.'!A1" display="Land App. LCI Doc."/>
    <hyperlink ref="B15" location="'Bioslurry Comp.'!A1" display="Bioslurry Comp."/>
    <hyperlink ref="B16" location="'Biogas Yield'!A1" display="Biogas Yield"/>
    <hyperlink ref="B17" location="'Nitrogen Emissions'!A1" display="Nitrogen Emissions"/>
    <hyperlink ref="B18" location="'Field Emissions'!A1" display="Field Emissions"/>
    <hyperlink ref="B19" location="'Yield Effect'!A1" display="Yield Effect"/>
    <hyperlink ref="B20" location="'Avoided Fert.'!A1" display="Avoided Fert."/>
    <hyperlink ref="B21" location="References!A1" display="References"/>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58"/>
  <sheetViews>
    <sheetView zoomScale="60" zoomScaleNormal="60" zoomScaleSheetLayoutView="90" workbookViewId="0"/>
  </sheetViews>
  <sheetFormatPr defaultColWidth="0" defaultRowHeight="15.75" zeroHeight="1" x14ac:dyDescent="0.25"/>
  <cols>
    <col min="1" max="1" width="2.28515625" style="6" customWidth="1"/>
    <col min="2" max="2" width="36.140625" style="4" bestFit="1" customWidth="1"/>
    <col min="3" max="3" width="255.5703125" style="4" customWidth="1"/>
    <col min="4" max="10" width="9.140625" style="4" customWidth="1"/>
    <col min="11" max="12" width="9.140625" style="6" customWidth="1"/>
    <col min="13" max="15" width="0" style="6" hidden="1" customWidth="1"/>
    <col min="16" max="16384" width="9.140625" style="6" hidden="1"/>
  </cols>
  <sheetData>
    <row r="1" spans="2:10" x14ac:dyDescent="0.25"/>
    <row r="2" spans="2:10" s="13" customFormat="1" x14ac:dyDescent="0.25">
      <c r="B2" s="2" t="s">
        <v>6</v>
      </c>
      <c r="C2" s="2" t="s">
        <v>7</v>
      </c>
      <c r="D2" s="26"/>
      <c r="E2" s="26"/>
      <c r="F2" s="26"/>
      <c r="G2" s="26"/>
      <c r="H2" s="26"/>
      <c r="I2" s="26"/>
      <c r="J2" s="26"/>
    </row>
    <row r="3" spans="2:10" x14ac:dyDescent="0.25">
      <c r="B3" s="180" t="s">
        <v>182</v>
      </c>
      <c r="C3" s="176" t="s">
        <v>374</v>
      </c>
    </row>
    <row r="4" spans="2:10" x14ac:dyDescent="0.25">
      <c r="B4" s="180" t="s">
        <v>332</v>
      </c>
      <c r="C4" s="176" t="s">
        <v>383</v>
      </c>
    </row>
    <row r="5" spans="2:10" x14ac:dyDescent="0.25">
      <c r="B5" s="180" t="s">
        <v>154</v>
      </c>
      <c r="C5" s="176" t="s">
        <v>373</v>
      </c>
    </row>
    <row r="6" spans="2:10" x14ac:dyDescent="0.25">
      <c r="B6" s="180" t="s">
        <v>8</v>
      </c>
      <c r="C6" s="176" t="s">
        <v>369</v>
      </c>
    </row>
    <row r="7" spans="2:10" x14ac:dyDescent="0.25">
      <c r="B7" s="180" t="s">
        <v>347</v>
      </c>
      <c r="C7" s="176" t="s">
        <v>384</v>
      </c>
    </row>
    <row r="8" spans="2:10" x14ac:dyDescent="0.25">
      <c r="B8" s="180" t="s">
        <v>207</v>
      </c>
      <c r="C8" s="176" t="s">
        <v>375</v>
      </c>
    </row>
    <row r="9" spans="2:10" ht="31.5" x14ac:dyDescent="0.25">
      <c r="B9" s="180" t="s">
        <v>263</v>
      </c>
      <c r="C9" s="181" t="s">
        <v>379</v>
      </c>
    </row>
    <row r="10" spans="2:10" x14ac:dyDescent="0.25">
      <c r="B10" s="180" t="s">
        <v>318</v>
      </c>
      <c r="C10" s="176" t="s">
        <v>380</v>
      </c>
    </row>
    <row r="11" spans="2:10" x14ac:dyDescent="0.25">
      <c r="B11" s="180" t="s">
        <v>241</v>
      </c>
      <c r="C11" s="176" t="s">
        <v>242</v>
      </c>
    </row>
    <row r="12" spans="2:10" x14ac:dyDescent="0.25">
      <c r="B12" s="180" t="s">
        <v>132</v>
      </c>
      <c r="C12" s="176" t="s">
        <v>133</v>
      </c>
    </row>
    <row r="13" spans="2:10" x14ac:dyDescent="0.25">
      <c r="B13" s="180" t="s">
        <v>280</v>
      </c>
      <c r="C13" s="176" t="s">
        <v>288</v>
      </c>
    </row>
    <row r="14" spans="2:10" x14ac:dyDescent="0.25">
      <c r="B14" s="180" t="s">
        <v>217</v>
      </c>
      <c r="C14" s="176" t="s">
        <v>376</v>
      </c>
    </row>
    <row r="15" spans="2:10" x14ac:dyDescent="0.25">
      <c r="B15" s="180" t="s">
        <v>316</v>
      </c>
      <c r="C15" s="176" t="s">
        <v>366</v>
      </c>
    </row>
    <row r="16" spans="2:10" x14ac:dyDescent="0.25">
      <c r="B16" s="180" t="s">
        <v>134</v>
      </c>
      <c r="C16" s="176" t="s">
        <v>135</v>
      </c>
    </row>
    <row r="17" spans="2:3" x14ac:dyDescent="0.25">
      <c r="B17" s="180" t="s">
        <v>257</v>
      </c>
      <c r="C17" s="176" t="s">
        <v>378</v>
      </c>
    </row>
    <row r="18" spans="2:3" x14ac:dyDescent="0.25">
      <c r="B18" s="180" t="s">
        <v>145</v>
      </c>
      <c r="C18" s="176" t="s">
        <v>372</v>
      </c>
    </row>
    <row r="19" spans="2:3" x14ac:dyDescent="0.25">
      <c r="B19" s="180" t="s">
        <v>117</v>
      </c>
      <c r="C19" s="176" t="s">
        <v>370</v>
      </c>
    </row>
    <row r="20" spans="2:3" x14ac:dyDescent="0.25">
      <c r="B20" s="180" t="s">
        <v>123</v>
      </c>
      <c r="C20" s="254" t="s">
        <v>371</v>
      </c>
    </row>
    <row r="21" spans="2:3" x14ac:dyDescent="0.25">
      <c r="B21" s="180" t="s">
        <v>9</v>
      </c>
      <c r="C21" s="176" t="s">
        <v>10</v>
      </c>
    </row>
    <row r="22" spans="2:3" x14ac:dyDescent="0.25">
      <c r="B22" s="180" t="s">
        <v>164</v>
      </c>
      <c r="C22" s="176" t="s">
        <v>385</v>
      </c>
    </row>
    <row r="23" spans="2:3" x14ac:dyDescent="0.25">
      <c r="B23" s="180" t="s">
        <v>330</v>
      </c>
      <c r="C23" s="176" t="s">
        <v>382</v>
      </c>
    </row>
    <row r="24" spans="2:3" ht="31.5" x14ac:dyDescent="0.25">
      <c r="B24" s="180" t="s">
        <v>313</v>
      </c>
      <c r="C24" s="176" t="s">
        <v>314</v>
      </c>
    </row>
    <row r="25" spans="2:3" x14ac:dyDescent="0.25">
      <c r="B25" s="180" t="s">
        <v>320</v>
      </c>
      <c r="C25" s="176" t="s">
        <v>381</v>
      </c>
    </row>
    <row r="26" spans="2:3" x14ac:dyDescent="0.25">
      <c r="B26" s="180" t="s">
        <v>196</v>
      </c>
      <c r="C26" s="176" t="s">
        <v>197</v>
      </c>
    </row>
    <row r="27" spans="2:3" x14ac:dyDescent="0.25">
      <c r="B27" s="180" t="s">
        <v>682</v>
      </c>
      <c r="C27" s="176" t="s">
        <v>683</v>
      </c>
    </row>
    <row r="28" spans="2:3" x14ac:dyDescent="0.25">
      <c r="B28" s="180" t="s">
        <v>292</v>
      </c>
      <c r="C28" s="176" t="s">
        <v>596</v>
      </c>
    </row>
    <row r="29" spans="2:3" ht="31.5" x14ac:dyDescent="0.25">
      <c r="B29" s="180" t="s">
        <v>143</v>
      </c>
      <c r="C29" s="176" t="s">
        <v>144</v>
      </c>
    </row>
    <row r="30" spans="2:3" x14ac:dyDescent="0.25">
      <c r="B30" s="180" t="s">
        <v>594</v>
      </c>
      <c r="C30" s="176" t="s">
        <v>597</v>
      </c>
    </row>
    <row r="31" spans="2:3" x14ac:dyDescent="0.25">
      <c r="B31" s="180" t="s">
        <v>367</v>
      </c>
      <c r="C31" s="176" t="s">
        <v>368</v>
      </c>
    </row>
    <row r="32" spans="2:3" x14ac:dyDescent="0.25">
      <c r="B32" s="180" t="s">
        <v>101</v>
      </c>
      <c r="C32" s="176" t="s">
        <v>102</v>
      </c>
    </row>
    <row r="33" spans="2:3" x14ac:dyDescent="0.25">
      <c r="B33" s="180" t="s">
        <v>595</v>
      </c>
      <c r="C33" s="176" t="s">
        <v>598</v>
      </c>
    </row>
    <row r="34" spans="2:3" ht="31.5" x14ac:dyDescent="0.25">
      <c r="B34" s="180" t="s">
        <v>256</v>
      </c>
      <c r="C34" s="176" t="s">
        <v>377</v>
      </c>
    </row>
    <row r="35" spans="2:3" x14ac:dyDescent="0.25">
      <c r="B35" s="31"/>
      <c r="C35" s="31"/>
    </row>
    <row r="36" spans="2:3" x14ac:dyDescent="0.25">
      <c r="B36" s="31"/>
      <c r="C36" s="31"/>
    </row>
    <row r="37" spans="2:3" x14ac:dyDescent="0.25">
      <c r="B37" s="31"/>
      <c r="C37" s="31"/>
    </row>
    <row r="38" spans="2:3" hidden="1" x14ac:dyDescent="0.25">
      <c r="B38" s="31"/>
      <c r="C38" s="31"/>
    </row>
    <row r="39" spans="2:3" hidden="1" x14ac:dyDescent="0.25">
      <c r="B39" s="31"/>
      <c r="C39" s="31"/>
    </row>
    <row r="40" spans="2:3" hidden="1" x14ac:dyDescent="0.25">
      <c r="B40" s="31"/>
      <c r="C40" s="31"/>
    </row>
    <row r="41" spans="2:3" hidden="1" x14ac:dyDescent="0.25">
      <c r="B41" s="31"/>
      <c r="C41" s="31"/>
    </row>
    <row r="42" spans="2:3" hidden="1" x14ac:dyDescent="0.25">
      <c r="B42" s="31"/>
      <c r="C42" s="31"/>
    </row>
    <row r="43" spans="2:3" hidden="1" x14ac:dyDescent="0.25">
      <c r="B43" s="31"/>
      <c r="C43" s="31"/>
    </row>
    <row r="44" spans="2:3" hidden="1" x14ac:dyDescent="0.25">
      <c r="B44" s="31"/>
      <c r="C44" s="31"/>
    </row>
    <row r="45" spans="2:3" hidden="1" x14ac:dyDescent="0.25">
      <c r="B45" s="31"/>
      <c r="C45" s="31"/>
    </row>
    <row r="46" spans="2:3" hidden="1" x14ac:dyDescent="0.25">
      <c r="B46" s="31"/>
      <c r="C46" s="31"/>
    </row>
    <row r="47" spans="2:3" hidden="1" x14ac:dyDescent="0.25"/>
    <row r="48" spans="2: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sheetData>
  <sortState ref="B3:D34">
    <sortCondition ref="B3:B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57"/>
  <sheetViews>
    <sheetView zoomScale="77" zoomScaleNormal="77" zoomScaleSheetLayoutView="70" workbookViewId="0"/>
  </sheetViews>
  <sheetFormatPr defaultColWidth="0" defaultRowHeight="15.75" zeroHeight="1" x14ac:dyDescent="0.25"/>
  <cols>
    <col min="1" max="1" width="9.140625" style="4" customWidth="1"/>
    <col min="2" max="2" width="44.42578125" style="4" customWidth="1"/>
    <col min="3" max="3" width="37.28515625" style="4" customWidth="1"/>
    <col min="4" max="4" width="43.28515625" style="4" customWidth="1"/>
    <col min="5" max="5" width="58.28515625" style="4" bestFit="1" customWidth="1"/>
    <col min="6" max="6" width="44.5703125" style="4" bestFit="1" customWidth="1"/>
    <col min="7" max="7" width="25.140625" style="4" customWidth="1"/>
    <col min="8" max="8" width="17.42578125" style="4" bestFit="1" customWidth="1"/>
    <col min="9" max="9" width="40.5703125" style="4" hidden="1" customWidth="1"/>
    <col min="10" max="11" width="57.5703125" style="4" bestFit="1" customWidth="1"/>
    <col min="12" max="12" width="24.28515625" style="4" bestFit="1" customWidth="1"/>
    <col min="13" max="13" width="59.85546875" style="4" bestFit="1" customWidth="1"/>
    <col min="14" max="15" width="9.140625" style="4" customWidth="1"/>
    <col min="16" max="16384" width="9.140625" style="4" hidden="1"/>
  </cols>
  <sheetData>
    <row r="1" spans="1:14" x14ac:dyDescent="0.25">
      <c r="A1" s="5" t="s">
        <v>593</v>
      </c>
    </row>
    <row r="2" spans="1:14" x14ac:dyDescent="0.25">
      <c r="A2" s="145" t="s">
        <v>592</v>
      </c>
    </row>
    <row r="3" spans="1:14" x14ac:dyDescent="0.25">
      <c r="A3" s="162"/>
    </row>
    <row r="4" spans="1:14" x14ac:dyDescent="0.25">
      <c r="A4" s="5"/>
      <c r="B4" s="5" t="s">
        <v>590</v>
      </c>
    </row>
    <row r="5" spans="1:14" x14ac:dyDescent="0.25">
      <c r="A5" s="5"/>
      <c r="B5" s="161" t="s">
        <v>398</v>
      </c>
      <c r="C5" s="161" t="s">
        <v>591</v>
      </c>
      <c r="D5" s="161" t="s">
        <v>14</v>
      </c>
    </row>
    <row r="6" spans="1:14" x14ac:dyDescent="0.25">
      <c r="A6" s="5"/>
      <c r="B6" s="168" t="s">
        <v>590</v>
      </c>
      <c r="C6" s="160">
        <v>1.214</v>
      </c>
      <c r="D6" s="159" t="s">
        <v>175</v>
      </c>
    </row>
    <row r="7" spans="1:14" x14ac:dyDescent="0.25">
      <c r="A7" s="5"/>
      <c r="B7" s="158" t="s">
        <v>589</v>
      </c>
      <c r="C7" s="157"/>
      <c r="D7" s="156"/>
    </row>
    <row r="8" spans="1:14" x14ac:dyDescent="0.25">
      <c r="A8" s="5"/>
      <c r="B8" s="182"/>
      <c r="C8" s="183"/>
      <c r="D8" s="184"/>
    </row>
    <row r="9" spans="1:14" x14ac:dyDescent="0.25">
      <c r="B9" s="5" t="s">
        <v>720</v>
      </c>
      <c r="C9" s="155"/>
      <c r="D9" s="155"/>
      <c r="E9" s="155"/>
      <c r="F9" s="44" t="str">
        <f>"--RESULTS PER KG DRY MATTER (DM)"</f>
        <v>--RESULTS PER KG DRY MATTER (DM)</v>
      </c>
      <c r="N9" s="6"/>
    </row>
    <row r="10" spans="1:14" x14ac:dyDescent="0.25">
      <c r="B10" s="2" t="s">
        <v>587</v>
      </c>
      <c r="C10" s="2" t="s">
        <v>586</v>
      </c>
      <c r="D10" s="2" t="s">
        <v>585</v>
      </c>
      <c r="E10" s="2" t="s">
        <v>583</v>
      </c>
      <c r="F10" s="2" t="s">
        <v>14</v>
      </c>
      <c r="G10" s="2" t="s">
        <v>582</v>
      </c>
      <c r="H10" s="2" t="s">
        <v>581</v>
      </c>
      <c r="I10" s="2" t="s">
        <v>580</v>
      </c>
      <c r="J10" s="2" t="s">
        <v>579</v>
      </c>
      <c r="K10" s="13"/>
    </row>
    <row r="11" spans="1:14" s="75" customFormat="1" x14ac:dyDescent="0.25">
      <c r="B11" s="92">
        <v>1</v>
      </c>
      <c r="C11" s="92"/>
      <c r="D11" s="77" t="s">
        <v>711</v>
      </c>
      <c r="E11" s="187">
        <f>E12/'Biogas Yield'!C60*'Biogas Yield'!C59</f>
        <v>27.347459632931535</v>
      </c>
      <c r="F11" s="92" t="s">
        <v>712</v>
      </c>
      <c r="G11" s="191"/>
      <c r="H11" s="191"/>
      <c r="I11" s="92"/>
      <c r="J11" s="92"/>
      <c r="K11" s="89"/>
    </row>
    <row r="12" spans="1:14" x14ac:dyDescent="0.25">
      <c r="B12" s="92"/>
      <c r="C12" s="12">
        <v>0</v>
      </c>
      <c r="D12" s="61" t="s">
        <v>523</v>
      </c>
      <c r="E12" s="16">
        <f>'Land App. LCI Doc.'!H13*'Land App. LCI'!$C$6</f>
        <v>0.48178358699367524</v>
      </c>
      <c r="F12" s="21" t="s">
        <v>411</v>
      </c>
      <c r="G12" s="16">
        <f>MAX('Land App. LCI Doc.'!H7:H12)*'Land App. LCI'!C6</f>
        <v>0.78477177399457188</v>
      </c>
      <c r="H12" s="16">
        <f>MIN('Land App. LCI Doc.'!H7:H12)*'Land App. LCI'!C6</f>
        <v>0.23293008130081302</v>
      </c>
      <c r="I12" s="11"/>
      <c r="J12" s="11"/>
      <c r="K12" s="13"/>
    </row>
    <row r="13" spans="1:14" x14ac:dyDescent="0.25">
      <c r="B13" s="12"/>
      <c r="C13" s="12">
        <v>2</v>
      </c>
      <c r="D13" s="61" t="s">
        <v>578</v>
      </c>
      <c r="E13" s="188">
        <f>'Land App. LCI Doc.'!H18</f>
        <v>13.904609663882146</v>
      </c>
      <c r="F13" s="22" t="s">
        <v>411</v>
      </c>
      <c r="G13" s="188">
        <f>MAX('Land App. LCI Doc.'!H14:H16)</f>
        <v>16.051364365971107</v>
      </c>
      <c r="H13" s="188">
        <f>MIN('Land App. LCI Doc.'!H14:H16)</f>
        <v>10.869565217391305</v>
      </c>
      <c r="I13" s="43">
        <f t="shared" ref="I13:I40" si="0">IF(G13="","",(G13-H13)/AVERAGE(G13:H13))</f>
        <v>0.38496435515230065</v>
      </c>
      <c r="J13" s="12" t="s">
        <v>577</v>
      </c>
      <c r="K13" s="6"/>
    </row>
    <row r="14" spans="1:14" x14ac:dyDescent="0.25">
      <c r="B14" s="148"/>
      <c r="C14" s="148">
        <v>1</v>
      </c>
      <c r="D14" s="61" t="s">
        <v>2</v>
      </c>
      <c r="E14" s="154">
        <f>'Avoided Fert.'!E23</f>
        <v>6.3941872815011028E-2</v>
      </c>
      <c r="F14" s="154" t="s">
        <v>411</v>
      </c>
      <c r="G14" s="154">
        <f>'Avoided Fert.'!G23</f>
        <v>0.13519603424966201</v>
      </c>
      <c r="H14" s="154">
        <f>'Avoided Fert.'!H23</f>
        <v>1.9108280254777069E-2</v>
      </c>
      <c r="I14" s="149">
        <f t="shared" si="0"/>
        <v>1.5046598582510184</v>
      </c>
      <c r="J14" s="148"/>
      <c r="K14" s="6"/>
    </row>
    <row r="15" spans="1:14" x14ac:dyDescent="0.25">
      <c r="B15" s="148"/>
      <c r="C15" s="148">
        <v>1</v>
      </c>
      <c r="D15" s="61" t="s">
        <v>576</v>
      </c>
      <c r="E15" s="154">
        <f>'Avoided Fert.'!E24</f>
        <v>5.6838605083696883E-2</v>
      </c>
      <c r="F15" s="154" t="s">
        <v>575</v>
      </c>
      <c r="G15" s="154">
        <f>'Avoided Fert.'!G24</f>
        <v>0.17959266743229294</v>
      </c>
      <c r="H15" s="190">
        <f>'Avoided Fert.'!H24</f>
        <v>7.2940209574686686E-3</v>
      </c>
      <c r="I15" s="149">
        <f t="shared" si="0"/>
        <v>1.8438835634508837</v>
      </c>
      <c r="J15" s="148"/>
      <c r="K15" s="6"/>
    </row>
    <row r="16" spans="1:14" x14ac:dyDescent="0.25">
      <c r="B16" s="148"/>
      <c r="C16" s="148">
        <v>1</v>
      </c>
      <c r="D16" s="61" t="s">
        <v>574</v>
      </c>
      <c r="E16" s="154">
        <f>'Avoided Fert.'!E25</f>
        <v>8.2969257396390411E-2</v>
      </c>
      <c r="F16" s="154" t="s">
        <v>573</v>
      </c>
      <c r="G16" s="154">
        <f>'Avoided Fert.'!G25</f>
        <v>0.17973215743916382</v>
      </c>
      <c r="H16" s="154">
        <f>'Avoided Fert.'!H25</f>
        <v>3.1996394772420007E-2</v>
      </c>
      <c r="I16" s="149">
        <f t="shared" si="0"/>
        <v>1.395520454124761</v>
      </c>
      <c r="J16" s="148"/>
      <c r="K16" s="6"/>
    </row>
    <row r="17" spans="2:11" x14ac:dyDescent="0.25">
      <c r="B17" s="3"/>
      <c r="C17" s="148">
        <v>4</v>
      </c>
      <c r="D17" s="61" t="s">
        <v>18</v>
      </c>
      <c r="E17" s="153">
        <f>'Land App. LCI Doc.'!H23/1000</f>
        <v>1.2904609663882143E-2</v>
      </c>
      <c r="F17" s="153" t="s">
        <v>517</v>
      </c>
      <c r="G17" s="153">
        <f>MAX('Land App. LCI Doc.'!H19:H22)/1000</f>
        <v>1.5051364365971107E-2</v>
      </c>
      <c r="H17" s="189">
        <f>MIN('Land App. LCI Doc.'!H19:H22)/1000</f>
        <v>9.8695652173913032E-3</v>
      </c>
      <c r="I17" s="146">
        <f t="shared" si="0"/>
        <v>0.41585921835269352</v>
      </c>
      <c r="J17" s="3"/>
      <c r="K17" s="6"/>
    </row>
    <row r="18" spans="2:11" x14ac:dyDescent="0.25">
      <c r="B18" s="3"/>
      <c r="C18" s="148">
        <v>4</v>
      </c>
      <c r="D18" s="61" t="s">
        <v>572</v>
      </c>
      <c r="E18" s="153">
        <f>'Land App. LCI Doc.'!H44</f>
        <v>6.3941872815011028E-2</v>
      </c>
      <c r="F18" s="153" t="s">
        <v>571</v>
      </c>
      <c r="G18" s="153">
        <f>MAX('Land App. LCI Doc.'!H35:H43)</f>
        <v>0.13519603424966201</v>
      </c>
      <c r="H18" s="153">
        <f>MIN('Land App. LCI Doc.'!H35:H43)</f>
        <v>1.9108280254777069E-2</v>
      </c>
      <c r="I18" s="146">
        <f t="shared" si="0"/>
        <v>1.5046598582510184</v>
      </c>
      <c r="J18" s="3"/>
      <c r="K18" s="6"/>
    </row>
    <row r="19" spans="2:11" x14ac:dyDescent="0.25">
      <c r="B19" s="3"/>
      <c r="C19" s="148">
        <v>4</v>
      </c>
      <c r="D19" s="61" t="s">
        <v>570</v>
      </c>
      <c r="E19" s="153">
        <f>'Land App. LCI Doc.'!H34</f>
        <v>2.4816855740769059E-2</v>
      </c>
      <c r="F19" s="153" t="s">
        <v>171</v>
      </c>
      <c r="G19" s="153">
        <f>MAX('Land App. LCI Doc.'!H25:H33)</f>
        <v>7.8413699864803954E-2</v>
      </c>
      <c r="H19" s="189">
        <f>MIN('Land App. LCI Doc.'!H25:H33)</f>
        <v>3.1847133757961789E-3</v>
      </c>
      <c r="I19" s="146">
        <f t="shared" si="0"/>
        <v>1.8438835634508839</v>
      </c>
      <c r="J19" s="3"/>
      <c r="K19" s="6"/>
    </row>
    <row r="20" spans="2:11" x14ac:dyDescent="0.25">
      <c r="B20" s="3"/>
      <c r="C20" s="148">
        <v>4</v>
      </c>
      <c r="D20" s="61" t="s">
        <v>569</v>
      </c>
      <c r="E20" s="153">
        <f>'Land App. LCI Doc.'!H54</f>
        <v>4.5574662513510229E-2</v>
      </c>
      <c r="F20" s="153" t="s">
        <v>172</v>
      </c>
      <c r="G20" s="153">
        <f>MAX('Land App. LCI Doc.'!H45:H53)</f>
        <v>9.8726114649681534E-2</v>
      </c>
      <c r="H20" s="153">
        <f>MIN('Land App. LCI Doc.'!H45:H53)</f>
        <v>1.7575484452456061E-2</v>
      </c>
      <c r="I20" s="146">
        <f t="shared" si="0"/>
        <v>1.395520454124761</v>
      </c>
      <c r="J20" s="3"/>
      <c r="K20" s="6"/>
    </row>
    <row r="21" spans="2:11" x14ac:dyDescent="0.25">
      <c r="B21" s="3"/>
      <c r="C21" s="148">
        <v>4</v>
      </c>
      <c r="D21" s="61" t="s">
        <v>568</v>
      </c>
      <c r="E21" s="153">
        <f>'Land App. LCI Doc.'!H59</f>
        <v>1.2870222929936307E-2</v>
      </c>
      <c r="F21" s="153" t="s">
        <v>567</v>
      </c>
      <c r="G21" s="153">
        <f>MAX('Land App. LCI Doc.'!H55:H58)</f>
        <v>2.2229299363057328E-2</v>
      </c>
      <c r="H21" s="189">
        <f>MIN('Land App. LCI Doc.'!H55:H58)</f>
        <v>2.515923566878981E-3</v>
      </c>
      <c r="I21" s="146">
        <f t="shared" si="0"/>
        <v>1.5933075933075933</v>
      </c>
      <c r="J21" s="3"/>
      <c r="K21" s="6"/>
    </row>
    <row r="22" spans="2:11" x14ac:dyDescent="0.25">
      <c r="B22" s="3"/>
      <c r="C22" s="148">
        <v>4</v>
      </c>
      <c r="D22" s="61" t="s">
        <v>566</v>
      </c>
      <c r="E22" s="189">
        <f>'Land App. LCI Doc.'!H87</f>
        <v>1.2088448464778656E-3</v>
      </c>
      <c r="F22" s="153" t="s">
        <v>565</v>
      </c>
      <c r="G22" s="189">
        <f>MAX('Land App. LCI Doc.'!H75:H86)</f>
        <v>4.0558810274898601E-3</v>
      </c>
      <c r="H22" s="189">
        <f>MIN('Land App. LCI Doc.'!H75:H86)</f>
        <v>1.281E-4</v>
      </c>
      <c r="I22" s="146">
        <f t="shared" si="0"/>
        <v>1.8775329054712733</v>
      </c>
      <c r="J22" s="3"/>
      <c r="K22" s="6"/>
    </row>
    <row r="23" spans="2:11" x14ac:dyDescent="0.25">
      <c r="B23" s="3"/>
      <c r="C23" s="148">
        <v>4</v>
      </c>
      <c r="D23" s="77" t="s">
        <v>564</v>
      </c>
      <c r="E23" s="190">
        <v>2.1711728729081623E-3</v>
      </c>
      <c r="F23" s="154" t="s">
        <v>171</v>
      </c>
      <c r="G23" s="190">
        <v>3.4710743801652896E-3</v>
      </c>
      <c r="H23" s="190">
        <v>9.2139065507107661E-4</v>
      </c>
      <c r="I23" s="146">
        <f t="shared" si="0"/>
        <v>1.1609352400716426</v>
      </c>
      <c r="J23" s="148"/>
      <c r="K23" s="6"/>
    </row>
    <row r="24" spans="2:11" x14ac:dyDescent="0.25">
      <c r="B24" s="3"/>
      <c r="C24" s="148">
        <v>4</v>
      </c>
      <c r="D24" s="77" t="s">
        <v>563</v>
      </c>
      <c r="E24" s="154">
        <v>1.217638498287163E-2</v>
      </c>
      <c r="F24" s="154" t="s">
        <v>171</v>
      </c>
      <c r="G24" s="154">
        <v>2.2952586024420022E-2</v>
      </c>
      <c r="H24" s="190">
        <v>5.6460732595967214E-3</v>
      </c>
      <c r="I24" s="146">
        <f t="shared" si="0"/>
        <v>1.2103023846642762</v>
      </c>
      <c r="J24" s="148"/>
      <c r="K24" s="6"/>
    </row>
    <row r="25" spans="2:11" x14ac:dyDescent="0.25">
      <c r="B25" s="3"/>
      <c r="C25" s="148">
        <v>4</v>
      </c>
      <c r="D25" s="61" t="s">
        <v>562</v>
      </c>
      <c r="E25" s="153">
        <f>'Land App. LCI Doc.'!H70</f>
        <v>1.1453688352886997E-2</v>
      </c>
      <c r="F25" s="153" t="s">
        <v>561</v>
      </c>
      <c r="G25" s="153">
        <f>MAX('Land App. LCI Doc.'!H66:H69)</f>
        <v>1.964791047138708E-2</v>
      </c>
      <c r="H25" s="192">
        <f>MIN('Land App. LCI Doc.'!H66:H69)</f>
        <v>2.8737321289783232E-3</v>
      </c>
      <c r="I25" s="146">
        <f t="shared" si="0"/>
        <v>1.489605233513172</v>
      </c>
      <c r="J25" s="3"/>
      <c r="K25" s="6"/>
    </row>
    <row r="26" spans="2:11" x14ac:dyDescent="0.25">
      <c r="B26" s="3"/>
      <c r="C26" s="148">
        <v>4</v>
      </c>
      <c r="D26" s="61" t="s">
        <v>560</v>
      </c>
      <c r="E26" s="153">
        <f>'Land App. LCI Doc.'!H74</f>
        <v>4.1462646465819465E-2</v>
      </c>
      <c r="F26" s="153" t="s">
        <v>157</v>
      </c>
      <c r="G26" s="153">
        <f>MAX('Land App. LCI Doc.'!H71:H73)</f>
        <v>6.1438772822989138E-2</v>
      </c>
      <c r="H26" s="152">
        <f>MIN('Land App. LCI Doc.'!H71:H73)</f>
        <v>2.1955204489731872E-2</v>
      </c>
      <c r="I26" s="146">
        <f t="shared" si="0"/>
        <v>0.94691654255071478</v>
      </c>
      <c r="J26" s="3"/>
      <c r="K26" s="6"/>
    </row>
    <row r="27" spans="2:11" x14ac:dyDescent="0.25">
      <c r="B27" s="3"/>
      <c r="C27" s="148">
        <v>4</v>
      </c>
      <c r="D27" s="61" t="s">
        <v>559</v>
      </c>
      <c r="E27" s="189">
        <f>'Land App. LCI Doc.'!H91</f>
        <v>4.9443121097019252E-6</v>
      </c>
      <c r="F27" s="151" t="s">
        <v>558</v>
      </c>
      <c r="G27" s="189">
        <f>MAX('Land App. LCI Doc.'!H88:H90)</f>
        <v>1.0854310178330006E-5</v>
      </c>
      <c r="H27" s="192">
        <f>MIN('Land App. LCI Doc.'!H88:H90)</f>
        <v>2.9614369407068824E-7</v>
      </c>
      <c r="I27" s="146">
        <f t="shared" si="0"/>
        <v>1.8937644341801383</v>
      </c>
      <c r="J27" s="3"/>
      <c r="K27" s="6"/>
    </row>
    <row r="28" spans="2:11" x14ac:dyDescent="0.25">
      <c r="B28" s="3"/>
      <c r="C28" s="148">
        <v>4</v>
      </c>
      <c r="D28" s="61" t="s">
        <v>557</v>
      </c>
      <c r="E28" s="189">
        <f>'Land App. LCI Doc.'!H97</f>
        <v>3.00858816712805E-5</v>
      </c>
      <c r="F28" s="151" t="s">
        <v>556</v>
      </c>
      <c r="G28" s="189">
        <f>MAX('Land App. LCI Doc.'!H92:H96)</f>
        <v>1.3519603424966202E-4</v>
      </c>
      <c r="H28" s="192">
        <f>MIN('Land App. LCI Doc.'!H92:H96)</f>
        <v>1.2875812785682096E-9</v>
      </c>
      <c r="I28" s="146">
        <f t="shared" si="0"/>
        <v>1.9999619051247128</v>
      </c>
      <c r="J28" s="3"/>
      <c r="K28" s="6"/>
    </row>
    <row r="29" spans="2:11" x14ac:dyDescent="0.25">
      <c r="B29" s="3"/>
      <c r="C29" s="148">
        <v>4</v>
      </c>
      <c r="D29" s="61" t="s">
        <v>555</v>
      </c>
      <c r="E29" s="189">
        <f>'Land App. LCI Doc.'!H101</f>
        <v>3.7648876585334453E-6</v>
      </c>
      <c r="F29" s="151" t="s">
        <v>554</v>
      </c>
      <c r="G29" s="189">
        <f>MAX('Land App. LCI Doc.'!H98:H100)</f>
        <v>8.7555526942638264E-6</v>
      </c>
      <c r="H29" s="192">
        <f>MIN('Land App. LCI Doc.'!H98:H100)</f>
        <v>1.3133329041395738E-7</v>
      </c>
      <c r="I29" s="146">
        <f t="shared" si="0"/>
        <v>1.9408866995073892</v>
      </c>
      <c r="J29" s="3"/>
      <c r="K29" s="6"/>
    </row>
    <row r="30" spans="2:11" x14ac:dyDescent="0.25">
      <c r="B30" s="3"/>
      <c r="C30" s="148">
        <v>4</v>
      </c>
      <c r="D30" s="61" t="s">
        <v>553</v>
      </c>
      <c r="E30" s="189">
        <f>'Land App. LCI Doc.'!H105</f>
        <v>8.6396703791926863E-7</v>
      </c>
      <c r="F30" s="151" t="s">
        <v>552</v>
      </c>
      <c r="G30" s="189">
        <f>MAX('Land App. LCI Doc.'!H102:H104)</f>
        <v>1.9571235434236785E-6</v>
      </c>
      <c r="H30" s="192">
        <f>MIN('Land App. LCI Doc.'!H102:H104)</f>
        <v>3.8627438357046289E-9</v>
      </c>
      <c r="I30" s="146">
        <f t="shared" si="0"/>
        <v>1.9921208141825348</v>
      </c>
      <c r="J30" s="3"/>
      <c r="K30" s="6"/>
    </row>
    <row r="31" spans="2:11" x14ac:dyDescent="0.25">
      <c r="B31" s="3"/>
      <c r="C31" s="148">
        <v>4</v>
      </c>
      <c r="D31" s="61" t="s">
        <v>551</v>
      </c>
      <c r="E31" s="189">
        <f>'Land App. LCI Doc.'!H125</f>
        <v>6.3765316852292964E-6</v>
      </c>
      <c r="F31" s="151" t="s">
        <v>550</v>
      </c>
      <c r="G31" s="189">
        <f>MAX('Land App. LCI Doc.'!H122:H124)</f>
        <v>1.3648361552823022E-5</v>
      </c>
      <c r="H31" s="192">
        <f>MIN('Land App. LCI Doc.'!H122:H124)</f>
        <v>2.188888173565956E-8</v>
      </c>
      <c r="I31" s="146">
        <f t="shared" si="0"/>
        <v>1.9935951775454459</v>
      </c>
      <c r="J31" s="3"/>
      <c r="K31" s="82"/>
    </row>
    <row r="32" spans="2:11" x14ac:dyDescent="0.25">
      <c r="B32" s="3"/>
      <c r="C32" s="3">
        <v>4</v>
      </c>
      <c r="D32" s="61" t="s">
        <v>549</v>
      </c>
      <c r="E32" s="189">
        <f>'Land App. LCI Doc.'!H149</f>
        <v>3.2494323775844402E-4</v>
      </c>
      <c r="F32" s="151" t="s">
        <v>548</v>
      </c>
      <c r="G32" s="189">
        <f>MAX('Land App. LCI Doc.'!H144:H148)</f>
        <v>6.7598017124831009E-4</v>
      </c>
      <c r="H32" s="192">
        <f>MIN('Land App. LCI Doc.'!H144:H148)</f>
        <v>4.4585987261146499E-5</v>
      </c>
      <c r="I32" s="146">
        <f t="shared" si="0"/>
        <v>1.7524946919329329</v>
      </c>
      <c r="J32" s="3"/>
      <c r="K32" s="82"/>
    </row>
    <row r="33" spans="2:11" x14ac:dyDescent="0.25">
      <c r="B33" s="3"/>
      <c r="C33" s="3">
        <v>4</v>
      </c>
      <c r="D33" s="61" t="s">
        <v>547</v>
      </c>
      <c r="E33" s="189">
        <f>'Land App. LCI Doc.'!H155</f>
        <v>5.7789157335461257E-4</v>
      </c>
      <c r="F33" s="151" t="s">
        <v>546</v>
      </c>
      <c r="G33" s="189">
        <f>MAX('Land App. LCI Doc.'!H150:H154)</f>
        <v>1.013970256872465E-3</v>
      </c>
      <c r="H33" s="192">
        <f>MIN('Land App. LCI Doc.'!H150:H154)</f>
        <v>2.4522292993630577E-4</v>
      </c>
      <c r="I33" s="146">
        <f t="shared" si="0"/>
        <v>1.2210157027364956</v>
      </c>
      <c r="J33" s="3"/>
      <c r="K33" s="82"/>
    </row>
    <row r="34" spans="2:11" x14ac:dyDescent="0.25">
      <c r="B34" s="3"/>
      <c r="C34" s="3">
        <v>4</v>
      </c>
      <c r="D34" s="61" t="s">
        <v>545</v>
      </c>
      <c r="E34" s="153">
        <f>'Land App. LCI Doc.'!H137</f>
        <v>4.6458377704997091E-2</v>
      </c>
      <c r="F34" s="153" t="s">
        <v>544</v>
      </c>
      <c r="G34" s="153">
        <f>MAX('Land App. LCI Doc.'!H132:H136)</f>
        <v>0.12821656050955416</v>
      </c>
      <c r="H34" s="192">
        <f>MIN('Land App. LCI Doc.'!H132:H136)</f>
        <v>6.1146496815286631E-3</v>
      </c>
      <c r="I34" s="146">
        <f t="shared" si="0"/>
        <v>1.8179231863442389</v>
      </c>
      <c r="J34" s="3"/>
      <c r="K34" s="82"/>
    </row>
    <row r="35" spans="2:11" x14ac:dyDescent="0.25">
      <c r="B35" s="3"/>
      <c r="C35" s="3">
        <v>4</v>
      </c>
      <c r="D35" s="61" t="s">
        <v>543</v>
      </c>
      <c r="E35" s="153">
        <f>'Land App. LCI Doc.'!H131</f>
        <v>2.820524250609243E-2</v>
      </c>
      <c r="F35" s="153" t="s">
        <v>542</v>
      </c>
      <c r="G35" s="153">
        <f>MAX('Land App. LCI Doc.'!H126:H130)</f>
        <v>5.8662420382165611E-2</v>
      </c>
      <c r="H35" s="192">
        <f>MIN('Land App. LCI Doc.'!H126:H130)</f>
        <v>2.1019108280254783E-3</v>
      </c>
      <c r="I35" s="146">
        <f t="shared" si="0"/>
        <v>1.861635220125786</v>
      </c>
      <c r="J35" s="3"/>
      <c r="K35" s="82"/>
    </row>
    <row r="36" spans="2:11" x14ac:dyDescent="0.25">
      <c r="B36" s="3"/>
      <c r="C36" s="3">
        <v>4</v>
      </c>
      <c r="D36" s="61" t="s">
        <v>541</v>
      </c>
      <c r="E36" s="189">
        <f>'Land App. LCI Doc.'!H143</f>
        <v>8.4616729289316642E-3</v>
      </c>
      <c r="F36" s="153" t="s">
        <v>540</v>
      </c>
      <c r="G36" s="153">
        <f>MAX('Land App. LCI Doc.'!H138:H142)</f>
        <v>1.622352410995944E-2</v>
      </c>
      <c r="H36" s="192">
        <f>MIN('Land App. LCI Doc.'!H138:H142)</f>
        <v>9.5541401273885362E-4</v>
      </c>
      <c r="I36" s="146">
        <f t="shared" si="0"/>
        <v>1.7775382841675231</v>
      </c>
      <c r="J36" s="3"/>
      <c r="K36" s="82"/>
    </row>
    <row r="37" spans="2:11" x14ac:dyDescent="0.25">
      <c r="B37" s="3"/>
      <c r="C37" s="3">
        <v>4</v>
      </c>
      <c r="D37" s="61" t="s">
        <v>539</v>
      </c>
      <c r="E37" s="189">
        <f>'Land App. LCI Doc.'!H109</f>
        <v>4.3524416135881113E-4</v>
      </c>
      <c r="F37" s="153" t="s">
        <v>538</v>
      </c>
      <c r="G37" s="189">
        <f>MAX('Land App. LCI Doc.'!H106:H108)</f>
        <v>8.7579617834394918E-4</v>
      </c>
      <c r="H37" s="192">
        <f>MIN('Land App. LCI Doc.'!H106:H108)</f>
        <v>1.0191082802547772E-4</v>
      </c>
      <c r="I37" s="146">
        <f t="shared" si="0"/>
        <v>1.5830618892508144</v>
      </c>
      <c r="J37" s="3"/>
      <c r="K37" s="82"/>
    </row>
    <row r="38" spans="2:11" x14ac:dyDescent="0.25">
      <c r="B38" s="3"/>
      <c r="C38" s="3">
        <v>4</v>
      </c>
      <c r="D38" s="61" t="s">
        <v>537</v>
      </c>
      <c r="E38" s="153">
        <f>'Land App. LCI Doc.'!H113</f>
        <v>2.4861995753715505E-2</v>
      </c>
      <c r="F38" s="153" t="s">
        <v>536</v>
      </c>
      <c r="G38" s="153">
        <f>MAX('Land App. LCI Doc.'!H110:H112)</f>
        <v>4.5159235668789814E-2</v>
      </c>
      <c r="H38" s="152">
        <f>MIN('Land App. LCI Doc.'!H110:H112)</f>
        <v>1.1656050955414015E-2</v>
      </c>
      <c r="I38" s="146">
        <f t="shared" si="0"/>
        <v>1.1793721973094171</v>
      </c>
      <c r="J38" s="3"/>
      <c r="K38" s="82"/>
    </row>
    <row r="39" spans="2:11" x14ac:dyDescent="0.25">
      <c r="B39" s="3"/>
      <c r="C39" s="3">
        <v>4</v>
      </c>
      <c r="D39" s="61" t="s">
        <v>535</v>
      </c>
      <c r="E39" s="189">
        <f>'Land App. LCI Doc.'!H117</f>
        <v>9.2356687898089167E-5</v>
      </c>
      <c r="F39" s="151" t="s">
        <v>534</v>
      </c>
      <c r="G39" s="189">
        <f>MAX('Land App. LCI Doc.'!H114:H116)</f>
        <v>1.5286624203821655E-4</v>
      </c>
      <c r="H39" s="192">
        <f>MIN('Land App. LCI Doc.'!H114:H116)</f>
        <v>4.1401273885350318E-5</v>
      </c>
      <c r="I39" s="146">
        <f t="shared" si="0"/>
        <v>1.1475409836065573</v>
      </c>
      <c r="J39" s="3"/>
      <c r="K39" s="82"/>
    </row>
    <row r="40" spans="2:11" x14ac:dyDescent="0.25">
      <c r="B40" s="3"/>
      <c r="C40" s="3">
        <v>4</v>
      </c>
      <c r="D40" s="61" t="s">
        <v>533</v>
      </c>
      <c r="E40" s="189">
        <f>'Land App. LCI Doc.'!H121</f>
        <v>7.0063694267515934E-3</v>
      </c>
      <c r="F40" s="151" t="s">
        <v>531</v>
      </c>
      <c r="G40" s="153">
        <f>MAX('Land App. LCI Doc.'!H118:H120)</f>
        <v>1.4554140127388536E-2</v>
      </c>
      <c r="H40" s="192">
        <f>MIN('Land App. LCI Doc.'!H118:H120)</f>
        <v>1.5286624203821658E-3</v>
      </c>
      <c r="I40" s="146">
        <f t="shared" si="0"/>
        <v>1.6198019801980199</v>
      </c>
      <c r="J40" s="3"/>
      <c r="K40" s="6"/>
    </row>
    <row r="41" spans="2:11" x14ac:dyDescent="0.25"/>
    <row r="42" spans="2:11" x14ac:dyDescent="0.25"/>
    <row r="43" spans="2:11" x14ac:dyDescent="0.25">
      <c r="B43" s="5" t="s">
        <v>693</v>
      </c>
    </row>
    <row r="44" spans="2:11" x14ac:dyDescent="0.25">
      <c r="B44" s="2" t="s">
        <v>599</v>
      </c>
      <c r="C44" s="2" t="s">
        <v>658</v>
      </c>
      <c r="D44" s="2" t="s">
        <v>659</v>
      </c>
    </row>
    <row r="45" spans="2:11" s="6" customFormat="1" x14ac:dyDescent="0.25">
      <c r="B45" s="61" t="s">
        <v>708</v>
      </c>
      <c r="C45" s="43">
        <f>1</f>
        <v>1</v>
      </c>
      <c r="D45" s="43">
        <v>0</v>
      </c>
    </row>
    <row r="46" spans="2:11" x14ac:dyDescent="0.25">
      <c r="B46" s="61" t="s">
        <v>660</v>
      </c>
      <c r="C46" s="43">
        <f>G12/(G12+1)</f>
        <v>0.43970427223764391</v>
      </c>
      <c r="D46" s="43">
        <f>1-C46</f>
        <v>0.56029572776235614</v>
      </c>
    </row>
    <row r="47" spans="2:11" x14ac:dyDescent="0.25">
      <c r="B47" s="61" t="s">
        <v>661</v>
      </c>
      <c r="C47" s="185">
        <f>E12/(1+E12)</f>
        <v>0.32513761876060759</v>
      </c>
      <c r="D47" s="186">
        <f t="shared" ref="D47:D52" si="1">1-C47</f>
        <v>0.67486238123939235</v>
      </c>
    </row>
    <row r="48" spans="2:11" x14ac:dyDescent="0.25">
      <c r="B48" s="61" t="s">
        <v>662</v>
      </c>
      <c r="C48" s="43">
        <f>H12/(H12+1)</f>
        <v>0.1889239988816383</v>
      </c>
      <c r="D48" s="43">
        <f t="shared" si="1"/>
        <v>0.81107600111836176</v>
      </c>
    </row>
    <row r="49" spans="2:10" x14ac:dyDescent="0.25">
      <c r="B49" s="61" t="s">
        <v>663</v>
      </c>
      <c r="C49" s="146">
        <f>($G$12/$C$6*$C$58)/(($G$12/$C$6*$C$58)+($H$15*$F$61+$H$16*$F$62+$H$14*$F$60))</f>
        <v>0.87624839507354824</v>
      </c>
      <c r="D49" s="43">
        <f t="shared" si="1"/>
        <v>0.12375160492645176</v>
      </c>
    </row>
    <row r="50" spans="2:10" x14ac:dyDescent="0.25">
      <c r="B50" s="61" t="s">
        <v>664</v>
      </c>
      <c r="C50" s="146">
        <f>($E$12/$C$6*$C$58)/(($E$12/$C$6*$C$58)+($E$15*$F$61+$E$16*$F$62+$E$14*$F$60))</f>
        <v>0.55890286685919532</v>
      </c>
      <c r="D50" s="43">
        <f>1-C50</f>
        <v>0.44109713314080468</v>
      </c>
    </row>
    <row r="51" spans="2:10" x14ac:dyDescent="0.25">
      <c r="B51" s="61" t="s">
        <v>665</v>
      </c>
      <c r="C51" s="146">
        <f>($H$12/$C$6*$C$58)/(($H$12/$C$6*$C$58)+($G$15*$F$61+$G$16*$F$62+$G$14*$F$60))</f>
        <v>0.20065495795978291</v>
      </c>
      <c r="D51" s="43">
        <f>1-C51</f>
        <v>0.79934504204021706</v>
      </c>
    </row>
    <row r="52" spans="2:10" x14ac:dyDescent="0.25">
      <c r="B52" s="61" t="s">
        <v>666</v>
      </c>
      <c r="C52" s="186">
        <f>AVERAGE(C49:C51)</f>
        <v>0.54526873996417546</v>
      </c>
      <c r="D52" s="186">
        <f t="shared" si="1"/>
        <v>0.45473126003582454</v>
      </c>
    </row>
    <row r="53" spans="2:10" x14ac:dyDescent="0.25">
      <c r="B53" s="258" t="s">
        <v>656</v>
      </c>
      <c r="C53" s="258"/>
      <c r="D53" s="258"/>
    </row>
    <row r="54" spans="2:10" x14ac:dyDescent="0.25">
      <c r="B54" s="169"/>
      <c r="C54" s="169"/>
      <c r="D54" s="169"/>
      <c r="E54" s="6"/>
    </row>
    <row r="55" spans="2:10" x14ac:dyDescent="0.25">
      <c r="B55" s="74" t="s">
        <v>694</v>
      </c>
      <c r="C55" s="169"/>
      <c r="D55" s="169"/>
      <c r="E55" s="6"/>
    </row>
    <row r="56" spans="2:10" x14ac:dyDescent="0.25">
      <c r="B56" s="2" t="s">
        <v>649</v>
      </c>
      <c r="C56" s="2" t="s">
        <v>667</v>
      </c>
      <c r="D56" s="2" t="s">
        <v>5</v>
      </c>
      <c r="E56" s="2" t="s">
        <v>651</v>
      </c>
      <c r="F56" s="2" t="s">
        <v>653</v>
      </c>
      <c r="G56" s="2" t="s">
        <v>5</v>
      </c>
      <c r="H56" s="2" t="s">
        <v>15</v>
      </c>
      <c r="J56" s="170" t="s">
        <v>16</v>
      </c>
    </row>
    <row r="57" spans="2:10" x14ac:dyDescent="0.25">
      <c r="B57" s="61" t="s">
        <v>657</v>
      </c>
      <c r="C57" s="193">
        <v>22.5</v>
      </c>
      <c r="D57" s="3" t="s">
        <v>668</v>
      </c>
      <c r="E57" s="3" t="s">
        <v>669</v>
      </c>
      <c r="F57" s="153">
        <v>1.3026328363308536E-2</v>
      </c>
      <c r="G57" s="3" t="s">
        <v>670</v>
      </c>
      <c r="H57" s="12"/>
      <c r="J57" s="171"/>
    </row>
    <row r="58" spans="2:10" x14ac:dyDescent="0.25">
      <c r="B58" s="61" t="s">
        <v>523</v>
      </c>
      <c r="C58" s="16">
        <v>0.16175153539595577</v>
      </c>
      <c r="D58" s="12" t="s">
        <v>648</v>
      </c>
      <c r="E58" s="3" t="s">
        <v>669</v>
      </c>
      <c r="F58" s="153">
        <v>1.3026328363308536E-2</v>
      </c>
      <c r="G58" s="3" t="s">
        <v>670</v>
      </c>
      <c r="H58" s="172" t="s">
        <v>676</v>
      </c>
      <c r="J58" s="171" t="s">
        <v>677</v>
      </c>
    </row>
    <row r="59" spans="2:10" x14ac:dyDescent="0.25">
      <c r="B59" s="61" t="s">
        <v>588</v>
      </c>
      <c r="C59" s="153">
        <v>0.2</v>
      </c>
      <c r="D59" s="3" t="s">
        <v>671</v>
      </c>
      <c r="E59" s="3" t="s">
        <v>652</v>
      </c>
      <c r="F59" s="16">
        <v>0.12440850774427666</v>
      </c>
      <c r="G59" s="12" t="s">
        <v>672</v>
      </c>
      <c r="H59" s="3"/>
      <c r="J59" s="171" t="s">
        <v>678</v>
      </c>
    </row>
    <row r="60" spans="2:10" x14ac:dyDescent="0.25">
      <c r="B60" s="77" t="s">
        <v>2</v>
      </c>
      <c r="C60" s="194">
        <v>5360</v>
      </c>
      <c r="D60" s="3" t="s">
        <v>679</v>
      </c>
      <c r="E60" s="3" t="s">
        <v>652</v>
      </c>
      <c r="F60" s="153">
        <v>0.18297012398274073</v>
      </c>
      <c r="G60" s="3" t="s">
        <v>654</v>
      </c>
      <c r="H60" s="3" t="s">
        <v>655</v>
      </c>
      <c r="J60" s="171" t="s">
        <v>680</v>
      </c>
    </row>
    <row r="61" spans="2:10" x14ac:dyDescent="0.25">
      <c r="B61" s="77" t="s">
        <v>650</v>
      </c>
      <c r="C61" s="194">
        <v>4000</v>
      </c>
      <c r="D61" s="3" t="s">
        <v>679</v>
      </c>
      <c r="E61" s="3" t="s">
        <v>652</v>
      </c>
      <c r="F61" s="153">
        <v>0.25671596836120575</v>
      </c>
      <c r="G61" s="3" t="s">
        <v>654</v>
      </c>
      <c r="H61" s="3" t="s">
        <v>655</v>
      </c>
      <c r="J61" s="171" t="s">
        <v>680</v>
      </c>
    </row>
    <row r="62" spans="2:10" x14ac:dyDescent="0.25">
      <c r="B62" s="77" t="s">
        <v>673</v>
      </c>
      <c r="C62" s="147" t="s">
        <v>674</v>
      </c>
      <c r="D62" s="3" t="s">
        <v>675</v>
      </c>
      <c r="E62" s="3" t="s">
        <v>652</v>
      </c>
      <c r="F62" s="153">
        <v>0.29373354723172812</v>
      </c>
      <c r="G62" s="3" t="s">
        <v>654</v>
      </c>
      <c r="H62" s="3" t="s">
        <v>655</v>
      </c>
      <c r="J62" s="171" t="s">
        <v>680</v>
      </c>
    </row>
    <row r="63" spans="2:10" x14ac:dyDescent="0.25">
      <c r="B63" s="169"/>
      <c r="C63" s="169"/>
      <c r="D63" s="169"/>
      <c r="E63" s="6"/>
    </row>
    <row r="64" spans="2:10" x14ac:dyDescent="0.25">
      <c r="B64" s="5" t="s">
        <v>695</v>
      </c>
    </row>
    <row r="65" spans="2:10" x14ac:dyDescent="0.25">
      <c r="B65" s="2" t="s">
        <v>599</v>
      </c>
      <c r="C65" s="2" t="s">
        <v>658</v>
      </c>
      <c r="D65" s="2" t="s">
        <v>659</v>
      </c>
    </row>
    <row r="66" spans="2:10" s="6" customFormat="1" x14ac:dyDescent="0.25">
      <c r="B66" s="61" t="s">
        <v>708</v>
      </c>
      <c r="C66" s="43">
        <f>1</f>
        <v>1</v>
      </c>
      <c r="D66" s="43">
        <v>0</v>
      </c>
    </row>
    <row r="67" spans="2:10" x14ac:dyDescent="0.25">
      <c r="B67" s="61" t="s">
        <v>660</v>
      </c>
      <c r="C67" s="43">
        <f t="shared" ref="C67:D69" si="2">C46</f>
        <v>0.43970427223764391</v>
      </c>
      <c r="D67" s="43">
        <f t="shared" si="2"/>
        <v>0.56029572776235614</v>
      </c>
    </row>
    <row r="68" spans="2:10" x14ac:dyDescent="0.25">
      <c r="B68" s="61" t="s">
        <v>661</v>
      </c>
      <c r="C68" s="43">
        <f t="shared" si="2"/>
        <v>0.32513761876060759</v>
      </c>
      <c r="D68" s="43">
        <f t="shared" si="2"/>
        <v>0.67486238123939235</v>
      </c>
    </row>
    <row r="69" spans="2:10" x14ac:dyDescent="0.25">
      <c r="B69" s="61" t="s">
        <v>662</v>
      </c>
      <c r="C69" s="43">
        <f t="shared" si="2"/>
        <v>0.1889239988816383</v>
      </c>
      <c r="D69" s="43">
        <f t="shared" si="2"/>
        <v>0.81107600111836176</v>
      </c>
    </row>
    <row r="70" spans="2:10" x14ac:dyDescent="0.25">
      <c r="B70" s="61" t="s">
        <v>663</v>
      </c>
      <c r="C70" s="146">
        <f>($G$12/$C$6*$C$78)/(($G$12/$C$6*$C$78)+($H$15*$F$80+$H$16*$F$82+$H$14*$F$79))</f>
        <v>0.85385351714060498</v>
      </c>
      <c r="D70" s="43">
        <f t="shared" ref="D70:D73" si="3">1-C70</f>
        <v>0.14614648285939502</v>
      </c>
    </row>
    <row r="71" spans="2:10" x14ac:dyDescent="0.25">
      <c r="B71" s="61" t="s">
        <v>664</v>
      </c>
      <c r="C71" s="146">
        <f>($E$12/$C$6*$C$78)/(($E$12/$C$6*$C$78)+($E$15*$F$80+$E$16*$F$82+$E$14*$F$79))</f>
        <v>0.50095064920086974</v>
      </c>
      <c r="D71" s="43">
        <f>1-C71</f>
        <v>0.49904935079913026</v>
      </c>
    </row>
    <row r="72" spans="2:10" x14ac:dyDescent="0.25">
      <c r="B72" s="61" t="s">
        <v>665</v>
      </c>
      <c r="C72" s="146">
        <f>($H$12/$C$6*$C$78)/(($H$12/$C$6*$C$78)+($G$15*$F$80+$G$16*$F$82+$G$14*$F$79))</f>
        <v>0.16484420741172731</v>
      </c>
      <c r="D72" s="43">
        <f>1-C72</f>
        <v>0.83515579258827266</v>
      </c>
    </row>
    <row r="73" spans="2:10" x14ac:dyDescent="0.25">
      <c r="B73" s="61" t="s">
        <v>666</v>
      </c>
      <c r="C73" s="43">
        <f>AVERAGE(C70:C72)</f>
        <v>0.50654945791773398</v>
      </c>
      <c r="D73" s="43">
        <f t="shared" si="3"/>
        <v>0.49345054208226602</v>
      </c>
    </row>
    <row r="74" spans="2:10" x14ac:dyDescent="0.25">
      <c r="B74" s="258" t="s">
        <v>656</v>
      </c>
      <c r="C74" s="258"/>
      <c r="D74" s="258"/>
    </row>
    <row r="75" spans="2:10" x14ac:dyDescent="0.25">
      <c r="B75" s="169"/>
      <c r="C75" s="169"/>
      <c r="D75" s="169"/>
      <c r="E75" s="6"/>
    </row>
    <row r="76" spans="2:10" x14ac:dyDescent="0.25">
      <c r="B76" s="74" t="s">
        <v>724</v>
      </c>
      <c r="C76" s="169"/>
      <c r="D76" s="169"/>
      <c r="E76" s="6"/>
    </row>
    <row r="77" spans="2:10" x14ac:dyDescent="0.25">
      <c r="B77" s="2" t="s">
        <v>649</v>
      </c>
      <c r="C77" s="2" t="s">
        <v>667</v>
      </c>
      <c r="D77" s="2" t="s">
        <v>5</v>
      </c>
      <c r="E77" s="2" t="s">
        <v>651</v>
      </c>
      <c r="F77" s="2" t="s">
        <v>653</v>
      </c>
      <c r="G77" s="2" t="s">
        <v>5</v>
      </c>
      <c r="H77" s="2" t="s">
        <v>15</v>
      </c>
      <c r="J77" s="170" t="s">
        <v>16</v>
      </c>
    </row>
    <row r="78" spans="2:10" x14ac:dyDescent="0.25">
      <c r="B78" s="77" t="s">
        <v>523</v>
      </c>
      <c r="C78" s="195">
        <v>0.35301773320233898</v>
      </c>
      <c r="D78" s="92" t="s">
        <v>648</v>
      </c>
      <c r="E78" s="92" t="s">
        <v>669</v>
      </c>
      <c r="F78" s="195">
        <v>3.3571634890842632E-2</v>
      </c>
      <c r="G78" s="92" t="s">
        <v>670</v>
      </c>
      <c r="H78" s="92" t="s">
        <v>676</v>
      </c>
      <c r="J78" s="174" t="s">
        <v>696</v>
      </c>
    </row>
    <row r="79" spans="2:10" x14ac:dyDescent="0.25">
      <c r="B79" s="77" t="s">
        <v>697</v>
      </c>
      <c r="C79" s="196">
        <v>1892</v>
      </c>
      <c r="D79" s="92" t="s">
        <v>698</v>
      </c>
      <c r="E79" s="92" t="s">
        <v>652</v>
      </c>
      <c r="F79" s="195">
        <v>0.65343180424150127</v>
      </c>
      <c r="G79" s="92" t="s">
        <v>654</v>
      </c>
      <c r="H79" s="92" t="s">
        <v>676</v>
      </c>
      <c r="J79" s="173"/>
    </row>
    <row r="80" spans="2:10" x14ac:dyDescent="0.25">
      <c r="B80" s="77" t="s">
        <v>699</v>
      </c>
      <c r="C80" s="196">
        <v>2758.3333333333335</v>
      </c>
      <c r="D80" s="92" t="s">
        <v>698</v>
      </c>
      <c r="E80" s="92" t="s">
        <v>652</v>
      </c>
      <c r="F80" s="195">
        <v>0.76142365520160493</v>
      </c>
      <c r="G80" s="92" t="s">
        <v>654</v>
      </c>
      <c r="H80" s="92" t="s">
        <v>700</v>
      </c>
      <c r="J80" s="174" t="s">
        <v>701</v>
      </c>
    </row>
    <row r="81" spans="1:15" x14ac:dyDescent="0.25">
      <c r="B81" s="77" t="s">
        <v>588</v>
      </c>
      <c r="C81" s="195">
        <v>0.2</v>
      </c>
      <c r="D81" s="92" t="s">
        <v>671</v>
      </c>
      <c r="E81" s="92" t="s">
        <v>652</v>
      </c>
      <c r="F81" s="198">
        <v>2.1487871613487023E-3</v>
      </c>
      <c r="G81" s="92" t="s">
        <v>672</v>
      </c>
      <c r="H81" s="92"/>
      <c r="J81" s="173" t="s">
        <v>678</v>
      </c>
    </row>
    <row r="82" spans="1:15" x14ac:dyDescent="0.25">
      <c r="B82" s="77" t="s">
        <v>702</v>
      </c>
      <c r="C82" s="197">
        <v>400</v>
      </c>
      <c r="D82" s="92" t="s">
        <v>703</v>
      </c>
      <c r="E82" s="92" t="s">
        <v>652</v>
      </c>
      <c r="F82" s="195">
        <v>0.65693836484377433</v>
      </c>
      <c r="G82" s="92" t="s">
        <v>654</v>
      </c>
      <c r="H82" s="174" t="s">
        <v>704</v>
      </c>
      <c r="J82" s="173"/>
    </row>
    <row r="83" spans="1:15" s="9" customFormat="1" x14ac:dyDescent="0.25">
      <c r="A83" s="6"/>
      <c r="B83" s="62" t="s">
        <v>705</v>
      </c>
      <c r="C83" s="6"/>
      <c r="D83" s="6"/>
      <c r="E83" s="6"/>
      <c r="F83" s="6"/>
      <c r="G83" s="6"/>
      <c r="H83" s="6"/>
      <c r="I83" s="6"/>
      <c r="J83" s="6"/>
      <c r="K83" s="6"/>
      <c r="L83" s="6"/>
      <c r="M83" s="6"/>
      <c r="N83" s="6"/>
      <c r="O83" s="6"/>
    </row>
    <row r="84" spans="1:15" s="6" customFormat="1" x14ac:dyDescent="0.25">
      <c r="B84" s="62"/>
    </row>
    <row r="85" spans="1:15" s="6" customFormat="1" x14ac:dyDescent="0.25">
      <c r="B85" s="13" t="s">
        <v>706</v>
      </c>
    </row>
    <row r="86" spans="1:15" s="6" customFormat="1" x14ac:dyDescent="0.25">
      <c r="B86" s="62" t="s">
        <v>707</v>
      </c>
    </row>
    <row r="87" spans="1:15" x14ac:dyDescent="0.25">
      <c r="B87" s="2" t="s">
        <v>599</v>
      </c>
      <c r="C87" s="2" t="s">
        <v>658</v>
      </c>
      <c r="D87" s="2" t="s">
        <v>659</v>
      </c>
    </row>
    <row r="88" spans="1:15" s="6" customFormat="1" x14ac:dyDescent="0.25">
      <c r="B88" s="61" t="s">
        <v>661</v>
      </c>
      <c r="C88" s="43">
        <f>C68</f>
        <v>0.32513761876060759</v>
      </c>
      <c r="D88" s="43">
        <f>D68</f>
        <v>0.67486238123939235</v>
      </c>
    </row>
    <row r="89" spans="1:15" s="6" customFormat="1" x14ac:dyDescent="0.25">
      <c r="B89" s="61" t="s">
        <v>666</v>
      </c>
      <c r="C89" s="43">
        <f>AVERAGE(C73,C52)</f>
        <v>0.52590909894095472</v>
      </c>
      <c r="D89" s="43">
        <f>AVERAGE(D73,D52)</f>
        <v>0.47409090105904528</v>
      </c>
    </row>
    <row r="90" spans="1:15" s="6" customFormat="1" x14ac:dyDescent="0.25">
      <c r="B90" s="61" t="s">
        <v>708</v>
      </c>
      <c r="C90" s="43">
        <f>1</f>
        <v>1</v>
      </c>
      <c r="D90" s="43">
        <v>0</v>
      </c>
    </row>
    <row r="91" spans="1:15" s="6" customFormat="1" x14ac:dyDescent="0.25">
      <c r="B91" s="62"/>
    </row>
    <row r="92" spans="1:15" x14ac:dyDescent="0.25"/>
    <row r="93" spans="1:15" x14ac:dyDescent="0.25"/>
    <row r="94" spans="1:15" x14ac:dyDescent="0.25"/>
    <row r="95" spans="1:15" hidden="1" x14ac:dyDescent="0.25"/>
    <row r="96" spans="1:15"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x14ac:dyDescent="0.25"/>
  </sheetData>
  <mergeCells count="2">
    <mergeCell ref="B53:D53"/>
    <mergeCell ref="B74:D7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9"/>
  <sheetViews>
    <sheetView showGridLines="0" zoomScale="70" zoomScaleNormal="70" workbookViewId="0">
      <selection activeCell="D144" sqref="D144:D155"/>
    </sheetView>
  </sheetViews>
  <sheetFormatPr defaultRowHeight="15.75" zeroHeight="1" x14ac:dyDescent="0.25"/>
  <cols>
    <col min="1" max="1" width="9.140625" style="4"/>
    <col min="2" max="2" width="35.85546875" style="4" bestFit="1" customWidth="1"/>
    <col min="3" max="3" width="14.85546875" style="4" bestFit="1" customWidth="1"/>
    <col min="4" max="4" width="17.140625" style="4" bestFit="1" customWidth="1"/>
    <col min="5" max="5" width="26.28515625" style="4" bestFit="1" customWidth="1"/>
    <col min="6" max="6" width="74.85546875" style="4" bestFit="1" customWidth="1"/>
    <col min="7" max="7" width="27.28515625" style="4" bestFit="1" customWidth="1"/>
    <col min="8" max="8" width="25.7109375" style="71" bestFit="1" customWidth="1"/>
    <col min="9" max="9" width="9.140625" style="4" customWidth="1"/>
    <col min="10" max="10" width="53.7109375" style="4" customWidth="1"/>
    <col min="11" max="11" width="8.7109375" style="4" bestFit="1" customWidth="1"/>
    <col min="12" max="12" width="10" style="4" bestFit="1" customWidth="1"/>
    <col min="13" max="13" width="24.140625" style="4" bestFit="1" customWidth="1"/>
    <col min="14" max="14" width="9.140625" style="4" customWidth="1"/>
    <col min="15" max="16384" width="9.140625" style="4"/>
  </cols>
  <sheetData>
    <row r="1" spans="1:14" x14ac:dyDescent="0.25">
      <c r="A1" s="5" t="s">
        <v>530</v>
      </c>
      <c r="H1" s="4"/>
    </row>
    <row r="2" spans="1:14" x14ac:dyDescent="0.25">
      <c r="A2" s="145" t="s">
        <v>529</v>
      </c>
    </row>
    <row r="3" spans="1:14" x14ac:dyDescent="0.25"/>
    <row r="4" spans="1:14" ht="16.5" thickBot="1" x14ac:dyDescent="0.3">
      <c r="B4" s="5" t="s">
        <v>528</v>
      </c>
    </row>
    <row r="5" spans="1:14" ht="16.5" thickBot="1" x14ac:dyDescent="0.3">
      <c r="B5" s="144" t="s">
        <v>527</v>
      </c>
      <c r="C5" s="142" t="s">
        <v>104</v>
      </c>
      <c r="D5" s="142" t="s">
        <v>150</v>
      </c>
      <c r="E5" s="142" t="s">
        <v>526</v>
      </c>
      <c r="F5" s="142" t="s">
        <v>525</v>
      </c>
      <c r="G5" s="142" t="s">
        <v>15</v>
      </c>
      <c r="H5" s="143" t="s">
        <v>524</v>
      </c>
      <c r="I5" s="142" t="s">
        <v>5</v>
      </c>
      <c r="J5" s="141" t="s">
        <v>16</v>
      </c>
    </row>
    <row r="6" spans="1:14" ht="16.5" thickBot="1" x14ac:dyDescent="0.3">
      <c r="B6" s="221" t="s">
        <v>522</v>
      </c>
      <c r="C6" s="140"/>
      <c r="D6" s="140"/>
      <c r="E6" s="140"/>
      <c r="F6" s="140"/>
      <c r="G6" s="140"/>
      <c r="H6" s="139"/>
      <c r="I6" s="138"/>
      <c r="J6" s="137"/>
    </row>
    <row r="7" spans="1:14" x14ac:dyDescent="0.25">
      <c r="B7" s="222" t="s">
        <v>523</v>
      </c>
      <c r="C7" s="99" t="s">
        <v>518</v>
      </c>
      <c r="D7" s="204">
        <f>'Biogas Yield'!C65</f>
        <v>0.64643473969898835</v>
      </c>
      <c r="E7" s="107" t="s">
        <v>176</v>
      </c>
      <c r="F7" s="107" t="s">
        <v>522</v>
      </c>
      <c r="G7" s="107" t="s">
        <v>521</v>
      </c>
      <c r="H7" s="204">
        <f t="shared" ref="H7:H12" si="0">D7</f>
        <v>0.64643473969898835</v>
      </c>
      <c r="I7" s="102" t="s">
        <v>517</v>
      </c>
      <c r="J7" s="136"/>
    </row>
    <row r="8" spans="1:14" x14ac:dyDescent="0.25">
      <c r="B8" s="222"/>
      <c r="C8" s="99" t="s">
        <v>518</v>
      </c>
      <c r="D8" s="204">
        <f>'Biogas Yield'!C67</f>
        <v>0.33333333333333331</v>
      </c>
      <c r="E8" s="107" t="s">
        <v>176</v>
      </c>
      <c r="F8" s="107" t="s">
        <v>185</v>
      </c>
      <c r="G8" s="1" t="s">
        <v>182</v>
      </c>
      <c r="H8" s="204">
        <f t="shared" si="0"/>
        <v>0.33333333333333331</v>
      </c>
      <c r="I8" s="99" t="s">
        <v>517</v>
      </c>
      <c r="J8" s="135"/>
    </row>
    <row r="9" spans="1:14" x14ac:dyDescent="0.25">
      <c r="B9" s="222"/>
      <c r="C9" s="99" t="s">
        <v>518</v>
      </c>
      <c r="D9" s="204">
        <f>'Biogas Yield'!C68</f>
        <v>0.19186991869918701</v>
      </c>
      <c r="E9" s="107" t="s">
        <v>176</v>
      </c>
      <c r="F9" s="1" t="s">
        <v>259</v>
      </c>
      <c r="G9" s="107" t="s">
        <v>257</v>
      </c>
      <c r="H9" s="204">
        <f t="shared" si="0"/>
        <v>0.19186991869918701</v>
      </c>
      <c r="I9" s="99" t="s">
        <v>517</v>
      </c>
      <c r="J9" s="97" t="s">
        <v>520</v>
      </c>
      <c r="N9" s="75"/>
    </row>
    <row r="10" spans="1:14" x14ac:dyDescent="0.25">
      <c r="B10" s="222"/>
      <c r="C10" s="99" t="s">
        <v>518</v>
      </c>
      <c r="D10" s="204">
        <f>'Biogas Yield'!C73</f>
        <v>0.39083333333333331</v>
      </c>
      <c r="E10" s="107" t="s">
        <v>176</v>
      </c>
      <c r="F10" s="1" t="s">
        <v>259</v>
      </c>
      <c r="G10" s="99" t="s">
        <v>320</v>
      </c>
      <c r="H10" s="204">
        <f t="shared" si="0"/>
        <v>0.39083333333333331</v>
      </c>
      <c r="I10" s="99" t="s">
        <v>519</v>
      </c>
      <c r="J10" s="97"/>
      <c r="N10" s="75"/>
    </row>
    <row r="11" spans="1:14" x14ac:dyDescent="0.25">
      <c r="B11" s="222"/>
      <c r="C11" s="99" t="s">
        <v>518</v>
      </c>
      <c r="D11" s="204">
        <f>'Biogas Yield'!C70</f>
        <v>0.32533333333333331</v>
      </c>
      <c r="E11" s="107" t="s">
        <v>301</v>
      </c>
      <c r="F11" s="1" t="s">
        <v>199</v>
      </c>
      <c r="G11" s="107" t="s">
        <v>196</v>
      </c>
      <c r="H11" s="204">
        <f t="shared" si="0"/>
        <v>0.32533333333333331</v>
      </c>
      <c r="I11" s="99" t="s">
        <v>517</v>
      </c>
      <c r="J11" s="135"/>
    </row>
    <row r="12" spans="1:14" ht="16.5" thickBot="1" x14ac:dyDescent="0.3">
      <c r="B12" s="223"/>
      <c r="C12" s="99" t="s">
        <v>518</v>
      </c>
      <c r="D12" s="204">
        <f>'Biogas Yield'!C71</f>
        <v>0.49333333333333335</v>
      </c>
      <c r="E12" s="107" t="s">
        <v>310</v>
      </c>
      <c r="F12" s="107" t="s">
        <v>311</v>
      </c>
      <c r="G12" s="107" t="s">
        <v>313</v>
      </c>
      <c r="H12" s="204">
        <f t="shared" si="0"/>
        <v>0.49333333333333335</v>
      </c>
      <c r="I12" s="99" t="s">
        <v>517</v>
      </c>
      <c r="J12" s="135"/>
    </row>
    <row r="13" spans="1:14" s="75" customFormat="1" ht="16.5" thickBot="1" x14ac:dyDescent="0.3">
      <c r="B13" s="224"/>
      <c r="C13" s="95"/>
      <c r="D13" s="205"/>
      <c r="E13" s="134"/>
      <c r="F13" s="134"/>
      <c r="G13" s="112" t="s">
        <v>66</v>
      </c>
      <c r="H13" s="255">
        <f>AVERAGE(H7:H12)</f>
        <v>0.39685633195525144</v>
      </c>
      <c r="I13" s="96" t="s">
        <v>517</v>
      </c>
      <c r="J13" s="119"/>
    </row>
    <row r="14" spans="1:14" s="75" customFormat="1" x14ac:dyDescent="0.25">
      <c r="B14" s="225" t="s">
        <v>516</v>
      </c>
      <c r="C14" s="101" t="s">
        <v>230</v>
      </c>
      <c r="D14" s="206">
        <f>'Bioslurry Comp.'!G67</f>
        <v>10.869565217391305</v>
      </c>
      <c r="E14" s="101" t="s">
        <v>165</v>
      </c>
      <c r="F14" s="101" t="s">
        <v>494</v>
      </c>
      <c r="G14" s="101" t="s">
        <v>164</v>
      </c>
      <c r="H14" s="206">
        <f>D14</f>
        <v>10.869565217391305</v>
      </c>
      <c r="I14" s="101" t="s">
        <v>411</v>
      </c>
      <c r="J14" s="133" t="s">
        <v>515</v>
      </c>
    </row>
    <row r="15" spans="1:14" s="75" customFormat="1" x14ac:dyDescent="0.25">
      <c r="B15" s="226"/>
      <c r="C15" s="98" t="s">
        <v>230</v>
      </c>
      <c r="D15" s="207">
        <f>'Bioslurry Comp.'!L82</f>
        <v>16.051364365971107</v>
      </c>
      <c r="E15" s="98" t="s">
        <v>165</v>
      </c>
      <c r="F15" s="107" t="s">
        <v>503</v>
      </c>
      <c r="G15" s="107" t="s">
        <v>143</v>
      </c>
      <c r="H15" s="207">
        <f>D15</f>
        <v>16.051364365971107</v>
      </c>
      <c r="I15" s="98" t="s">
        <v>411</v>
      </c>
      <c r="J15" s="132"/>
    </row>
    <row r="16" spans="1:14" s="75" customFormat="1" x14ac:dyDescent="0.25">
      <c r="B16" s="226"/>
      <c r="C16" s="98" t="s">
        <v>230</v>
      </c>
      <c r="D16" s="207">
        <f>'Bioslurry Comp.'!H100</f>
        <v>14.792899408284025</v>
      </c>
      <c r="E16" s="98" t="s">
        <v>165</v>
      </c>
      <c r="F16" s="107" t="s">
        <v>501</v>
      </c>
      <c r="G16" s="107" t="s">
        <v>143</v>
      </c>
      <c r="H16" s="207">
        <f>D16</f>
        <v>14.792899408284025</v>
      </c>
      <c r="I16" s="98" t="s">
        <v>411</v>
      </c>
      <c r="J16" s="132"/>
    </row>
    <row r="17" spans="2:10" s="75" customFormat="1" ht="16.5" thickBot="1" x14ac:dyDescent="0.3">
      <c r="B17" s="226"/>
      <c r="C17" s="98" t="s">
        <v>230</v>
      </c>
      <c r="D17" s="207">
        <f>SUM('Bioslurry Comp.'!E180:E181)</f>
        <v>14.000000000000002</v>
      </c>
      <c r="E17" s="98" t="s">
        <v>514</v>
      </c>
      <c r="F17" s="99" t="s">
        <v>499</v>
      </c>
      <c r="G17" s="99" t="s">
        <v>280</v>
      </c>
      <c r="H17" s="207">
        <f>D17</f>
        <v>14.000000000000002</v>
      </c>
      <c r="I17" s="98" t="s">
        <v>411</v>
      </c>
      <c r="J17" s="132"/>
    </row>
    <row r="18" spans="2:10" s="75" customFormat="1" ht="16.5" thickBot="1" x14ac:dyDescent="0.3">
      <c r="B18" s="224"/>
      <c r="C18" s="95"/>
      <c r="D18" s="208"/>
      <c r="E18" s="95"/>
      <c r="F18" s="95"/>
      <c r="G18" s="112" t="s">
        <v>66</v>
      </c>
      <c r="H18" s="256">
        <f>AVERAGE(H14:H16)</f>
        <v>13.904609663882146</v>
      </c>
      <c r="I18" s="95" t="s">
        <v>411</v>
      </c>
      <c r="J18" s="119"/>
    </row>
    <row r="19" spans="2:10" s="75" customFormat="1" x14ac:dyDescent="0.25">
      <c r="B19" s="225" t="s">
        <v>18</v>
      </c>
      <c r="C19" s="101" t="s">
        <v>18</v>
      </c>
      <c r="D19" s="130">
        <f>'Bioslurry Comp.'!G69</f>
        <v>9.8695652173913029</v>
      </c>
      <c r="E19" s="101" t="s">
        <v>165</v>
      </c>
      <c r="F19" s="101" t="s">
        <v>494</v>
      </c>
      <c r="G19" s="101" t="s">
        <v>164</v>
      </c>
      <c r="H19" s="130">
        <f>D19</f>
        <v>9.8695652173913029</v>
      </c>
      <c r="I19" s="101" t="s">
        <v>411</v>
      </c>
      <c r="J19" s="124"/>
    </row>
    <row r="20" spans="2:10" s="75" customFormat="1" x14ac:dyDescent="0.25">
      <c r="B20" s="227"/>
      <c r="C20" s="98" t="s">
        <v>18</v>
      </c>
      <c r="D20" s="207">
        <f>'Bioslurry Comp.'!L83</f>
        <v>15.051364365971107</v>
      </c>
      <c r="E20" s="98" t="s">
        <v>165</v>
      </c>
      <c r="F20" s="107" t="s">
        <v>503</v>
      </c>
      <c r="G20" s="107" t="s">
        <v>143</v>
      </c>
      <c r="H20" s="207">
        <f>D20</f>
        <v>15.051364365971107</v>
      </c>
      <c r="I20" s="98" t="s">
        <v>411</v>
      </c>
      <c r="J20" s="122"/>
    </row>
    <row r="21" spans="2:10" s="75" customFormat="1" x14ac:dyDescent="0.25">
      <c r="B21" s="227"/>
      <c r="C21" s="98" t="s">
        <v>18</v>
      </c>
      <c r="D21" s="207">
        <f>'Bioslurry Comp.'!H102</f>
        <v>13.792899408284024</v>
      </c>
      <c r="E21" s="98" t="s">
        <v>165</v>
      </c>
      <c r="F21" s="107" t="s">
        <v>501</v>
      </c>
      <c r="G21" s="107" t="s">
        <v>143</v>
      </c>
      <c r="H21" s="207">
        <f>D21</f>
        <v>13.792899408284024</v>
      </c>
      <c r="I21" s="98" t="s">
        <v>411</v>
      </c>
      <c r="J21" s="122"/>
    </row>
    <row r="22" spans="2:10" s="75" customFormat="1" ht="16.5" thickBot="1" x14ac:dyDescent="0.3">
      <c r="B22" s="227"/>
      <c r="C22" s="98" t="s">
        <v>18</v>
      </c>
      <c r="D22" s="207">
        <f>'Bioslurry Comp.'!E180</f>
        <v>13.000000000000002</v>
      </c>
      <c r="E22" s="98" t="s">
        <v>165</v>
      </c>
      <c r="F22" s="99" t="s">
        <v>499</v>
      </c>
      <c r="G22" s="99" t="s">
        <v>280</v>
      </c>
      <c r="H22" s="207">
        <f>D22</f>
        <v>13.000000000000002</v>
      </c>
      <c r="I22" s="98" t="s">
        <v>411</v>
      </c>
      <c r="J22" s="122"/>
    </row>
    <row r="23" spans="2:10" s="75" customFormat="1" ht="16.5" thickBot="1" x14ac:dyDescent="0.3">
      <c r="B23" s="224"/>
      <c r="C23" s="95"/>
      <c r="D23" s="208"/>
      <c r="E23" s="95"/>
      <c r="F23" s="131"/>
      <c r="G23" s="112" t="s">
        <v>66</v>
      </c>
      <c r="H23" s="256">
        <f>AVERAGE(H19:H21)</f>
        <v>12.904609663882143</v>
      </c>
      <c r="I23" s="95" t="s">
        <v>411</v>
      </c>
      <c r="J23" s="119"/>
    </row>
    <row r="24" spans="2:10" s="75" customFormat="1" ht="16.5" thickBot="1" x14ac:dyDescent="0.3">
      <c r="B24" s="227" t="s">
        <v>686</v>
      </c>
      <c r="C24" s="98" t="s">
        <v>687</v>
      </c>
      <c r="D24" s="207">
        <f>'Biogas Yield'!C74</f>
        <v>20</v>
      </c>
      <c r="E24" s="98" t="s">
        <v>688</v>
      </c>
      <c r="F24" s="107" t="s">
        <v>689</v>
      </c>
      <c r="G24" s="101" t="s">
        <v>682</v>
      </c>
      <c r="H24" s="206">
        <f>D24</f>
        <v>20</v>
      </c>
      <c r="I24" s="98" t="s">
        <v>411</v>
      </c>
      <c r="J24" s="122"/>
    </row>
    <row r="25" spans="2:10" s="75" customFormat="1" x14ac:dyDescent="0.25">
      <c r="B25" s="225" t="s">
        <v>513</v>
      </c>
      <c r="C25" s="101" t="s">
        <v>513</v>
      </c>
      <c r="D25" s="210">
        <v>6.6E-3</v>
      </c>
      <c r="E25" s="101" t="s">
        <v>512</v>
      </c>
      <c r="F25" s="101" t="s">
        <v>494</v>
      </c>
      <c r="G25" s="101" t="s">
        <v>164</v>
      </c>
      <c r="H25" s="210">
        <f t="shared" ref="H25:H33" si="1">D25</f>
        <v>6.6E-3</v>
      </c>
      <c r="I25" s="101" t="s">
        <v>411</v>
      </c>
      <c r="J25" s="124"/>
    </row>
    <row r="26" spans="2:10" s="75" customFormat="1" x14ac:dyDescent="0.25">
      <c r="B26" s="227"/>
      <c r="C26" s="98" t="s">
        <v>513</v>
      </c>
      <c r="D26" s="211">
        <v>7.5651476347237141E-3</v>
      </c>
      <c r="E26" s="98" t="s">
        <v>512</v>
      </c>
      <c r="F26" s="107" t="s">
        <v>503</v>
      </c>
      <c r="G26" s="98" t="s">
        <v>143</v>
      </c>
      <c r="H26" s="211">
        <f t="shared" si="1"/>
        <v>7.5651476347237141E-3</v>
      </c>
      <c r="I26" s="98" t="s">
        <v>411</v>
      </c>
      <c r="J26" s="122"/>
    </row>
    <row r="27" spans="2:10" s="75" customFormat="1" x14ac:dyDescent="0.25">
      <c r="B27" s="227"/>
      <c r="C27" s="98" t="s">
        <v>513</v>
      </c>
      <c r="D27" s="211">
        <v>7.1011336758658805E-3</v>
      </c>
      <c r="E27" s="98" t="s">
        <v>512</v>
      </c>
      <c r="F27" s="107" t="s">
        <v>501</v>
      </c>
      <c r="G27" s="98" t="s">
        <v>143</v>
      </c>
      <c r="H27" s="211">
        <f t="shared" si="1"/>
        <v>7.1011336758658805E-3</v>
      </c>
      <c r="I27" s="98" t="s">
        <v>411</v>
      </c>
      <c r="J27" s="122"/>
    </row>
    <row r="28" spans="2:10" s="75" customFormat="1" x14ac:dyDescent="0.25">
      <c r="B28" s="227"/>
      <c r="C28" s="98" t="s">
        <v>513</v>
      </c>
      <c r="D28" s="211">
        <v>9.5541401273885346E-3</v>
      </c>
      <c r="E28" s="98" t="s">
        <v>512</v>
      </c>
      <c r="F28" s="1" t="s">
        <v>462</v>
      </c>
      <c r="G28" s="1" t="s">
        <v>332</v>
      </c>
      <c r="H28" s="211">
        <f t="shared" si="1"/>
        <v>9.5541401273885346E-3</v>
      </c>
      <c r="I28" s="98" t="s">
        <v>411</v>
      </c>
      <c r="J28" s="122"/>
    </row>
    <row r="29" spans="2:10" s="75" customFormat="1" x14ac:dyDescent="0.25">
      <c r="B29" s="227"/>
      <c r="C29" s="98" t="s">
        <v>513</v>
      </c>
      <c r="D29" s="211">
        <v>3.1847133757961789E-3</v>
      </c>
      <c r="E29" s="98" t="s">
        <v>512</v>
      </c>
      <c r="F29" s="1" t="s">
        <v>461</v>
      </c>
      <c r="G29" s="1" t="s">
        <v>332</v>
      </c>
      <c r="H29" s="211">
        <f t="shared" si="1"/>
        <v>3.1847133757961789E-3</v>
      </c>
      <c r="I29" s="98" t="s">
        <v>411</v>
      </c>
      <c r="J29" s="122"/>
    </row>
    <row r="30" spans="2:10" s="75" customFormat="1" x14ac:dyDescent="0.25">
      <c r="B30" s="227"/>
      <c r="C30" s="98" t="s">
        <v>513</v>
      </c>
      <c r="D30" s="123">
        <v>2.5477707006369432E-2</v>
      </c>
      <c r="E30" s="98" t="s">
        <v>512</v>
      </c>
      <c r="F30" s="1" t="s">
        <v>460</v>
      </c>
      <c r="G30" s="1" t="s">
        <v>332</v>
      </c>
      <c r="H30" s="123">
        <f t="shared" si="1"/>
        <v>2.5477707006369432E-2</v>
      </c>
      <c r="I30" s="98" t="s">
        <v>411</v>
      </c>
      <c r="J30" s="122"/>
    </row>
    <row r="31" spans="2:10" s="75" customFormat="1" x14ac:dyDescent="0.25">
      <c r="B31" s="227"/>
      <c r="C31" s="98" t="s">
        <v>513</v>
      </c>
      <c r="D31" s="123">
        <v>7.8413699864803954E-2</v>
      </c>
      <c r="E31" s="98" t="s">
        <v>512</v>
      </c>
      <c r="F31" s="107" t="s">
        <v>505</v>
      </c>
      <c r="G31" s="98" t="s">
        <v>256</v>
      </c>
      <c r="H31" s="123">
        <f t="shared" si="1"/>
        <v>7.8413699864803954E-2</v>
      </c>
      <c r="I31" s="98" t="s">
        <v>411</v>
      </c>
      <c r="J31" s="122" t="s">
        <v>506</v>
      </c>
    </row>
    <row r="32" spans="2:10" s="75" customFormat="1" x14ac:dyDescent="0.25">
      <c r="B32" s="227"/>
      <c r="C32" s="98" t="s">
        <v>513</v>
      </c>
      <c r="D32" s="123">
        <v>6.7598017124831003E-2</v>
      </c>
      <c r="E32" s="98" t="s">
        <v>512</v>
      </c>
      <c r="F32" s="98" t="s">
        <v>505</v>
      </c>
      <c r="G32" s="98" t="s">
        <v>256</v>
      </c>
      <c r="H32" s="123">
        <f t="shared" si="1"/>
        <v>6.7598017124831003E-2</v>
      </c>
      <c r="I32" s="98" t="s">
        <v>411</v>
      </c>
      <c r="J32" s="122" t="s">
        <v>504</v>
      </c>
    </row>
    <row r="33" spans="2:10" s="75" customFormat="1" ht="16.5" thickBot="1" x14ac:dyDescent="0.3">
      <c r="B33" s="227"/>
      <c r="C33" s="98" t="s">
        <v>513</v>
      </c>
      <c r="D33" s="123">
        <v>1.7857142857142856E-2</v>
      </c>
      <c r="E33" s="98" t="s">
        <v>512</v>
      </c>
      <c r="F33" s="1" t="s">
        <v>499</v>
      </c>
      <c r="G33" s="98" t="s">
        <v>280</v>
      </c>
      <c r="H33" s="123">
        <f t="shared" si="1"/>
        <v>1.7857142857142856E-2</v>
      </c>
      <c r="I33" s="98" t="s">
        <v>411</v>
      </c>
      <c r="J33" s="122"/>
    </row>
    <row r="34" spans="2:10" s="75" customFormat="1" ht="16.5" thickBot="1" x14ac:dyDescent="0.3">
      <c r="B34" s="224"/>
      <c r="C34" s="95"/>
      <c r="D34" s="208"/>
      <c r="E34" s="95"/>
      <c r="F34" s="95"/>
      <c r="G34" s="112" t="s">
        <v>66</v>
      </c>
      <c r="H34" s="255">
        <f>AVERAGE(H25:H33)</f>
        <v>2.4816855740769059E-2</v>
      </c>
      <c r="I34" s="95" t="s">
        <v>411</v>
      </c>
      <c r="J34" s="119"/>
    </row>
    <row r="35" spans="2:10" s="75" customFormat="1" x14ac:dyDescent="0.25">
      <c r="B35" s="225" t="s">
        <v>509</v>
      </c>
      <c r="C35" s="98" t="s">
        <v>509</v>
      </c>
      <c r="D35" s="123">
        <v>4.2699999999999995E-2</v>
      </c>
      <c r="E35" s="98" t="s">
        <v>508</v>
      </c>
      <c r="F35" s="98" t="s">
        <v>494</v>
      </c>
      <c r="G35" s="98" t="s">
        <v>164</v>
      </c>
      <c r="H35" s="123">
        <f t="shared" ref="H35:H43" si="2">D35</f>
        <v>4.2699999999999995E-2</v>
      </c>
      <c r="I35" s="101" t="s">
        <v>411</v>
      </c>
      <c r="J35" s="129"/>
    </row>
    <row r="36" spans="2:10" s="75" customFormat="1" x14ac:dyDescent="0.25">
      <c r="B36" s="227"/>
      <c r="C36" s="98" t="s">
        <v>509</v>
      </c>
      <c r="D36" s="123">
        <v>4.6548956661316206E-2</v>
      </c>
      <c r="E36" s="98" t="s">
        <v>508</v>
      </c>
      <c r="F36" s="107" t="s">
        <v>503</v>
      </c>
      <c r="G36" s="98" t="s">
        <v>143</v>
      </c>
      <c r="H36" s="123">
        <f t="shared" si="2"/>
        <v>4.6548956661316206E-2</v>
      </c>
      <c r="I36" s="98" t="s">
        <v>411</v>
      </c>
      <c r="J36" s="128"/>
    </row>
    <row r="37" spans="2:10" s="75" customFormat="1" x14ac:dyDescent="0.25">
      <c r="B37" s="227"/>
      <c r="C37" s="98" t="s">
        <v>509</v>
      </c>
      <c r="D37" s="123">
        <v>4.4378698224852076E-2</v>
      </c>
      <c r="E37" s="98" t="s">
        <v>508</v>
      </c>
      <c r="F37" s="1" t="s">
        <v>501</v>
      </c>
      <c r="G37" s="98" t="s">
        <v>143</v>
      </c>
      <c r="H37" s="123">
        <f t="shared" si="2"/>
        <v>4.4378698224852076E-2</v>
      </c>
      <c r="I37" s="98" t="s">
        <v>411</v>
      </c>
      <c r="J37" s="128"/>
    </row>
    <row r="38" spans="2:10" s="75" customFormat="1" x14ac:dyDescent="0.25">
      <c r="B38" s="227"/>
      <c r="C38" s="98" t="s">
        <v>509</v>
      </c>
      <c r="D38" s="123">
        <v>7.0301937809824244E-2</v>
      </c>
      <c r="E38" s="98" t="s">
        <v>508</v>
      </c>
      <c r="F38" s="1" t="s">
        <v>505</v>
      </c>
      <c r="G38" s="98" t="s">
        <v>256</v>
      </c>
      <c r="H38" s="123">
        <f t="shared" si="2"/>
        <v>7.0301937809824244E-2</v>
      </c>
      <c r="I38" s="98" t="s">
        <v>411</v>
      </c>
      <c r="J38" s="128" t="s">
        <v>511</v>
      </c>
    </row>
    <row r="39" spans="2:10" s="75" customFormat="1" x14ac:dyDescent="0.25">
      <c r="B39" s="227"/>
      <c r="C39" s="98" t="s">
        <v>509</v>
      </c>
      <c r="D39" s="123">
        <v>0.13519603424966201</v>
      </c>
      <c r="E39" s="98" t="s">
        <v>508</v>
      </c>
      <c r="F39" s="1" t="s">
        <v>505</v>
      </c>
      <c r="G39" s="98" t="s">
        <v>256</v>
      </c>
      <c r="H39" s="123">
        <f t="shared" si="2"/>
        <v>0.13519603424966201</v>
      </c>
      <c r="I39" s="98" t="s">
        <v>411</v>
      </c>
      <c r="J39" s="128" t="s">
        <v>510</v>
      </c>
    </row>
    <row r="40" spans="2:10" s="75" customFormat="1" x14ac:dyDescent="0.25">
      <c r="B40" s="227"/>
      <c r="C40" s="98" t="s">
        <v>509</v>
      </c>
      <c r="D40" s="123">
        <v>3.5714285714285712E-2</v>
      </c>
      <c r="E40" s="98" t="s">
        <v>508</v>
      </c>
      <c r="F40" s="1" t="s">
        <v>499</v>
      </c>
      <c r="G40" s="98" t="s">
        <v>280</v>
      </c>
      <c r="H40" s="123">
        <f t="shared" si="2"/>
        <v>3.5714285714285712E-2</v>
      </c>
      <c r="I40" s="98" t="s">
        <v>411</v>
      </c>
      <c r="J40" s="128"/>
    </row>
    <row r="41" spans="2:10" s="75" customFormat="1" x14ac:dyDescent="0.25">
      <c r="B41" s="227"/>
      <c r="C41" s="98" t="s">
        <v>509</v>
      </c>
      <c r="D41" s="123">
        <v>5.4140127388535034E-2</v>
      </c>
      <c r="E41" s="98" t="s">
        <v>508</v>
      </c>
      <c r="F41" s="1" t="s">
        <v>462</v>
      </c>
      <c r="G41" s="1" t="s">
        <v>332</v>
      </c>
      <c r="H41" s="123">
        <f t="shared" si="2"/>
        <v>5.4140127388535034E-2</v>
      </c>
      <c r="I41" s="98" t="s">
        <v>411</v>
      </c>
      <c r="J41" s="128"/>
    </row>
    <row r="42" spans="2:10" s="75" customFormat="1" x14ac:dyDescent="0.25">
      <c r="B42" s="227"/>
      <c r="C42" s="98" t="s">
        <v>509</v>
      </c>
      <c r="D42" s="123">
        <v>1.9108280254777069E-2</v>
      </c>
      <c r="E42" s="98" t="s">
        <v>508</v>
      </c>
      <c r="F42" s="1" t="s">
        <v>461</v>
      </c>
      <c r="G42" s="1" t="s">
        <v>332</v>
      </c>
      <c r="H42" s="123">
        <f t="shared" si="2"/>
        <v>1.9108280254777069E-2</v>
      </c>
      <c r="I42" s="98" t="s">
        <v>411</v>
      </c>
      <c r="J42" s="128"/>
    </row>
    <row r="43" spans="2:10" s="75" customFormat="1" ht="16.5" thickBot="1" x14ac:dyDescent="0.3">
      <c r="B43" s="227"/>
      <c r="C43" s="98" t="s">
        <v>509</v>
      </c>
      <c r="D43" s="123">
        <v>0.12738853503184699</v>
      </c>
      <c r="E43" s="98" t="s">
        <v>508</v>
      </c>
      <c r="F43" s="1" t="s">
        <v>460</v>
      </c>
      <c r="G43" s="1" t="s">
        <v>332</v>
      </c>
      <c r="H43" s="123">
        <f t="shared" si="2"/>
        <v>0.12738853503184699</v>
      </c>
      <c r="I43" s="98" t="s">
        <v>411</v>
      </c>
      <c r="J43" s="128"/>
    </row>
    <row r="44" spans="2:10" s="75" customFormat="1" ht="16.5" thickBot="1" x14ac:dyDescent="0.3">
      <c r="B44" s="224"/>
      <c r="C44" s="95"/>
      <c r="D44" s="208"/>
      <c r="E44" s="95"/>
      <c r="F44" s="95"/>
      <c r="G44" s="112" t="s">
        <v>66</v>
      </c>
      <c r="H44" s="255">
        <f>AVERAGE(H35:H43)</f>
        <v>6.3941872815011028E-2</v>
      </c>
      <c r="I44" s="95" t="s">
        <v>411</v>
      </c>
      <c r="J44" s="127" t="s">
        <v>507</v>
      </c>
    </row>
    <row r="45" spans="2:10" s="75" customFormat="1" x14ac:dyDescent="0.25">
      <c r="B45" s="225" t="s">
        <v>286</v>
      </c>
      <c r="C45" s="98" t="s">
        <v>286</v>
      </c>
      <c r="D45" s="123">
        <v>4.710000000000001E-2</v>
      </c>
      <c r="E45" s="98" t="s">
        <v>500</v>
      </c>
      <c r="F45" s="98" t="s">
        <v>494</v>
      </c>
      <c r="G45" s="98" t="s">
        <v>164</v>
      </c>
      <c r="H45" s="123">
        <f t="shared" ref="H45:H53" si="3">D45</f>
        <v>4.710000000000001E-2</v>
      </c>
      <c r="I45" s="101" t="s">
        <v>411</v>
      </c>
      <c r="J45" s="124"/>
    </row>
    <row r="46" spans="2:10" s="75" customFormat="1" x14ac:dyDescent="0.25">
      <c r="B46" s="227"/>
      <c r="C46" s="98" t="s">
        <v>286</v>
      </c>
      <c r="D46" s="123">
        <v>5.6782334384858052E-2</v>
      </c>
      <c r="E46" s="98" t="s">
        <v>500</v>
      </c>
      <c r="F46" s="98" t="s">
        <v>505</v>
      </c>
      <c r="G46" s="98" t="s">
        <v>256</v>
      </c>
      <c r="H46" s="123">
        <f t="shared" si="3"/>
        <v>5.6782334384858052E-2</v>
      </c>
      <c r="I46" s="98" t="s">
        <v>411</v>
      </c>
      <c r="J46" s="122" t="s">
        <v>506</v>
      </c>
    </row>
    <row r="47" spans="2:10" s="75" customFormat="1" x14ac:dyDescent="0.25">
      <c r="B47" s="227"/>
      <c r="C47" s="98" t="s">
        <v>286</v>
      </c>
      <c r="D47" s="123">
        <v>1.7575484452456061E-2</v>
      </c>
      <c r="E47" s="98" t="s">
        <v>500</v>
      </c>
      <c r="F47" s="98" t="s">
        <v>505</v>
      </c>
      <c r="G47" s="98" t="s">
        <v>256</v>
      </c>
      <c r="H47" s="123">
        <f t="shared" si="3"/>
        <v>1.7575484452456061E-2</v>
      </c>
      <c r="I47" s="98" t="s">
        <v>411</v>
      </c>
      <c r="J47" s="122" t="s">
        <v>504</v>
      </c>
    </row>
    <row r="48" spans="2:10" s="75" customFormat="1" x14ac:dyDescent="0.25">
      <c r="B48" s="227"/>
      <c r="C48" s="98" t="s">
        <v>286</v>
      </c>
      <c r="D48" s="123">
        <v>4.4585987261146501E-2</v>
      </c>
      <c r="E48" s="98" t="s">
        <v>500</v>
      </c>
      <c r="F48" s="1" t="s">
        <v>462</v>
      </c>
      <c r="G48" s="1" t="s">
        <v>332</v>
      </c>
      <c r="H48" s="123">
        <f t="shared" si="3"/>
        <v>4.4585987261146501E-2</v>
      </c>
      <c r="I48" s="98" t="s">
        <v>411</v>
      </c>
      <c r="J48" s="122"/>
    </row>
    <row r="49" spans="2:13" s="75" customFormat="1" x14ac:dyDescent="0.25">
      <c r="B49" s="227"/>
      <c r="C49" s="98" t="s">
        <v>286</v>
      </c>
      <c r="D49" s="123">
        <v>2.5477707006369432E-2</v>
      </c>
      <c r="E49" s="98" t="s">
        <v>500</v>
      </c>
      <c r="F49" s="1" t="s">
        <v>461</v>
      </c>
      <c r="G49" s="1" t="s">
        <v>332</v>
      </c>
      <c r="H49" s="123">
        <f t="shared" si="3"/>
        <v>2.5477707006369432E-2</v>
      </c>
      <c r="I49" s="98" t="s">
        <v>411</v>
      </c>
      <c r="J49" s="122"/>
    </row>
    <row r="50" spans="2:13" s="75" customFormat="1" x14ac:dyDescent="0.25">
      <c r="B50" s="227"/>
      <c r="C50" s="98" t="s">
        <v>286</v>
      </c>
      <c r="D50" s="123">
        <v>9.8726114649681534E-2</v>
      </c>
      <c r="E50" s="98" t="s">
        <v>500</v>
      </c>
      <c r="F50" s="1" t="s">
        <v>460</v>
      </c>
      <c r="G50" s="1" t="s">
        <v>332</v>
      </c>
      <c r="H50" s="123">
        <f t="shared" si="3"/>
        <v>9.8726114649681534E-2</v>
      </c>
      <c r="I50" s="98" t="s">
        <v>411</v>
      </c>
      <c r="J50" s="122"/>
    </row>
    <row r="51" spans="2:13" s="75" customFormat="1" x14ac:dyDescent="0.25">
      <c r="B51" s="227"/>
      <c r="C51" s="98" t="s">
        <v>286</v>
      </c>
      <c r="D51" s="123">
        <v>5.5965256327008953E-2</v>
      </c>
      <c r="E51" s="98" t="s">
        <v>500</v>
      </c>
      <c r="F51" s="107" t="s">
        <v>503</v>
      </c>
      <c r="G51" s="98" t="s">
        <v>143</v>
      </c>
      <c r="H51" s="123">
        <f t="shared" si="3"/>
        <v>5.5965256327008953E-2</v>
      </c>
      <c r="I51" s="98" t="s">
        <v>411</v>
      </c>
      <c r="J51" s="122" t="s">
        <v>502</v>
      </c>
    </row>
    <row r="52" spans="2:13" s="75" customFormat="1" x14ac:dyDescent="0.25">
      <c r="B52" s="227"/>
      <c r="C52" s="166" t="s">
        <v>286</v>
      </c>
      <c r="D52" s="123">
        <v>2.8244792825785833E-2</v>
      </c>
      <c r="E52" s="98" t="s">
        <v>500</v>
      </c>
      <c r="F52" s="1" t="s">
        <v>501</v>
      </c>
      <c r="G52" s="98" t="s">
        <v>143</v>
      </c>
      <c r="H52" s="123">
        <f t="shared" si="3"/>
        <v>2.8244792825785833E-2</v>
      </c>
      <c r="I52" s="98" t="s">
        <v>411</v>
      </c>
      <c r="J52" s="122"/>
    </row>
    <row r="53" spans="2:13" s="75" customFormat="1" ht="16.5" thickBot="1" x14ac:dyDescent="0.3">
      <c r="B53" s="227"/>
      <c r="C53" s="166" t="s">
        <v>286</v>
      </c>
      <c r="D53" s="123">
        <v>3.5714285714285712E-2</v>
      </c>
      <c r="E53" s="98" t="s">
        <v>500</v>
      </c>
      <c r="F53" s="1" t="s">
        <v>499</v>
      </c>
      <c r="G53" s="98" t="s">
        <v>280</v>
      </c>
      <c r="H53" s="123">
        <f t="shared" si="3"/>
        <v>3.5714285714285712E-2</v>
      </c>
      <c r="I53" s="98" t="s">
        <v>411</v>
      </c>
      <c r="J53" s="122"/>
    </row>
    <row r="54" spans="2:13" s="75" customFormat="1" ht="16.5" thickBot="1" x14ac:dyDescent="0.3">
      <c r="B54" s="224"/>
      <c r="C54" s="126"/>
      <c r="D54" s="208"/>
      <c r="E54" s="95"/>
      <c r="F54" s="95"/>
      <c r="G54" s="112" t="s">
        <v>66</v>
      </c>
      <c r="H54" s="255">
        <f>AVERAGE(H45:H53)</f>
        <v>4.5574662513510229E-2</v>
      </c>
      <c r="I54" s="95" t="s">
        <v>411</v>
      </c>
      <c r="J54" s="119"/>
    </row>
    <row r="55" spans="2:13" s="75" customFormat="1" x14ac:dyDescent="0.25">
      <c r="B55" s="225" t="s">
        <v>498</v>
      </c>
      <c r="C55" s="167" t="s">
        <v>498</v>
      </c>
      <c r="D55" s="110">
        <v>1.7500000000000002E-2</v>
      </c>
      <c r="E55" s="101" t="s">
        <v>497</v>
      </c>
      <c r="F55" s="101" t="s">
        <v>494</v>
      </c>
      <c r="G55" s="101" t="s">
        <v>164</v>
      </c>
      <c r="H55" s="110">
        <f>D55</f>
        <v>1.7500000000000002E-2</v>
      </c>
      <c r="I55" s="101" t="s">
        <v>411</v>
      </c>
      <c r="J55" s="124"/>
    </row>
    <row r="56" spans="2:13" s="75" customFormat="1" x14ac:dyDescent="0.25">
      <c r="B56" s="227"/>
      <c r="C56" s="166" t="s">
        <v>498</v>
      </c>
      <c r="D56" s="211">
        <v>9.2356687898089186E-3</v>
      </c>
      <c r="E56" s="98" t="s">
        <v>497</v>
      </c>
      <c r="F56" s="1" t="s">
        <v>462</v>
      </c>
      <c r="G56" s="1" t="s">
        <v>332</v>
      </c>
      <c r="H56" s="211">
        <f>D56</f>
        <v>9.2356687898089186E-3</v>
      </c>
      <c r="I56" s="98" t="s">
        <v>411</v>
      </c>
      <c r="J56" s="122"/>
    </row>
    <row r="57" spans="2:13" s="75" customFormat="1" x14ac:dyDescent="0.25">
      <c r="B57" s="227"/>
      <c r="C57" s="166" t="s">
        <v>498</v>
      </c>
      <c r="D57" s="211">
        <v>2.515923566878981E-3</v>
      </c>
      <c r="E57" s="98" t="s">
        <v>497</v>
      </c>
      <c r="F57" s="1" t="s">
        <v>461</v>
      </c>
      <c r="G57" s="1" t="s">
        <v>332</v>
      </c>
      <c r="H57" s="211">
        <f>D57</f>
        <v>2.515923566878981E-3</v>
      </c>
      <c r="I57" s="98" t="s">
        <v>411</v>
      </c>
      <c r="J57" s="122"/>
    </row>
    <row r="58" spans="2:13" s="75" customFormat="1" ht="16.5" thickBot="1" x14ac:dyDescent="0.3">
      <c r="B58" s="227"/>
      <c r="C58" s="166" t="s">
        <v>498</v>
      </c>
      <c r="D58" s="123">
        <v>2.2229299363057328E-2</v>
      </c>
      <c r="E58" s="98" t="s">
        <v>497</v>
      </c>
      <c r="F58" s="1" t="s">
        <v>460</v>
      </c>
      <c r="G58" s="1" t="s">
        <v>332</v>
      </c>
      <c r="H58" s="123">
        <f>D58</f>
        <v>2.2229299363057328E-2</v>
      </c>
      <c r="I58" s="98" t="s">
        <v>411</v>
      </c>
      <c r="J58" s="122"/>
    </row>
    <row r="59" spans="2:13" s="75" customFormat="1" ht="16.5" thickBot="1" x14ac:dyDescent="0.3">
      <c r="B59" s="224"/>
      <c r="C59" s="125"/>
      <c r="D59" s="212"/>
      <c r="E59" s="95"/>
      <c r="F59" s="95"/>
      <c r="G59" s="112" t="s">
        <v>66</v>
      </c>
      <c r="H59" s="255">
        <f>AVERAGE(H55:H58)</f>
        <v>1.2870222929936307E-2</v>
      </c>
      <c r="I59" s="95" t="s">
        <v>411</v>
      </c>
      <c r="J59" s="119"/>
    </row>
    <row r="60" spans="2:13" s="75" customFormat="1" x14ac:dyDescent="0.25">
      <c r="B60" s="225" t="s">
        <v>496</v>
      </c>
      <c r="C60" s="167" t="s">
        <v>166</v>
      </c>
      <c r="D60" s="110">
        <v>0.36199999999999999</v>
      </c>
      <c r="E60" s="101" t="s">
        <v>165</v>
      </c>
      <c r="F60" s="101" t="s">
        <v>494</v>
      </c>
      <c r="G60" s="101" t="s">
        <v>164</v>
      </c>
      <c r="H60" s="110">
        <f>D60</f>
        <v>0.36199999999999999</v>
      </c>
      <c r="I60" s="101" t="s">
        <v>411</v>
      </c>
      <c r="J60" s="124"/>
    </row>
    <row r="61" spans="2:13" s="75" customFormat="1" ht="16.5" thickBot="1" x14ac:dyDescent="0.3">
      <c r="B61" s="227"/>
      <c r="C61" s="166" t="s">
        <v>166</v>
      </c>
      <c r="D61" s="123">
        <v>0.3571428571428571</v>
      </c>
      <c r="E61" s="98" t="s">
        <v>165</v>
      </c>
      <c r="F61" s="98" t="s">
        <v>493</v>
      </c>
      <c r="G61" s="98" t="s">
        <v>280</v>
      </c>
      <c r="H61" s="123">
        <f>D61</f>
        <v>0.3571428571428571</v>
      </c>
      <c r="I61" s="98" t="s">
        <v>411</v>
      </c>
      <c r="J61" s="122"/>
    </row>
    <row r="62" spans="2:13" s="75" customFormat="1" ht="16.5" thickBot="1" x14ac:dyDescent="0.3">
      <c r="B62" s="227"/>
      <c r="C62" s="121"/>
      <c r="D62" s="209"/>
      <c r="E62" s="98"/>
      <c r="F62" s="98"/>
      <c r="G62" s="112" t="s">
        <v>66</v>
      </c>
      <c r="H62" s="255">
        <f>AVERAGE(H60:H61)</f>
        <v>0.35957142857142854</v>
      </c>
      <c r="I62" s="95" t="s">
        <v>411</v>
      </c>
      <c r="J62" s="119"/>
      <c r="K62" s="4"/>
      <c r="L62" s="4"/>
      <c r="M62" s="4"/>
    </row>
    <row r="63" spans="2:13" s="75" customFormat="1" x14ac:dyDescent="0.25">
      <c r="B63" s="225" t="s">
        <v>495</v>
      </c>
      <c r="C63" s="167" t="s">
        <v>166</v>
      </c>
      <c r="D63" s="110">
        <v>0.63800000000000001</v>
      </c>
      <c r="E63" s="101" t="s">
        <v>165</v>
      </c>
      <c r="F63" s="101" t="s">
        <v>494</v>
      </c>
      <c r="G63" s="101" t="s">
        <v>164</v>
      </c>
      <c r="H63" s="110">
        <f>D63</f>
        <v>0.63800000000000001</v>
      </c>
      <c r="I63" s="101" t="s">
        <v>411</v>
      </c>
      <c r="J63" s="124"/>
    </row>
    <row r="64" spans="2:13" s="75" customFormat="1" ht="16.5" thickBot="1" x14ac:dyDescent="0.3">
      <c r="B64" s="227"/>
      <c r="C64" s="166" t="s">
        <v>166</v>
      </c>
      <c r="D64" s="123">
        <v>0.6428571428571429</v>
      </c>
      <c r="E64" s="98" t="s">
        <v>165</v>
      </c>
      <c r="F64" s="98" t="s">
        <v>493</v>
      </c>
      <c r="G64" s="98" t="s">
        <v>280</v>
      </c>
      <c r="H64" s="123">
        <f>D64</f>
        <v>0.6428571428571429</v>
      </c>
      <c r="I64" s="98" t="s">
        <v>411</v>
      </c>
      <c r="J64" s="122"/>
    </row>
    <row r="65" spans="2:16" s="75" customFormat="1" ht="16.5" thickBot="1" x14ac:dyDescent="0.3">
      <c r="B65" s="227"/>
      <c r="C65" s="121"/>
      <c r="D65" s="209"/>
      <c r="E65" s="98"/>
      <c r="F65" s="98"/>
      <c r="G65" s="111" t="s">
        <v>66</v>
      </c>
      <c r="H65" s="120">
        <f>AVERAGE(H63:H64)</f>
        <v>0.64042857142857146</v>
      </c>
      <c r="I65" s="95" t="s">
        <v>411</v>
      </c>
      <c r="J65" s="119"/>
      <c r="K65" s="4"/>
      <c r="L65" s="4"/>
      <c r="M65" s="4"/>
    </row>
    <row r="66" spans="2:16" x14ac:dyDescent="0.25">
      <c r="B66" s="228" t="s">
        <v>492</v>
      </c>
      <c r="C66" s="118" t="s">
        <v>490</v>
      </c>
      <c r="D66" s="213">
        <f>'Field Emissions'!I39/1000/$C$164/$C$172</f>
        <v>2.8737321289783232E-3</v>
      </c>
      <c r="E66" s="102" t="s">
        <v>489</v>
      </c>
      <c r="F66" s="101" t="s">
        <v>491</v>
      </c>
      <c r="G66" s="101" t="s">
        <v>154</v>
      </c>
      <c r="H66" s="210">
        <f>D66</f>
        <v>2.8737321289783232E-3</v>
      </c>
      <c r="I66" s="101" t="s">
        <v>411</v>
      </c>
      <c r="J66" s="100"/>
      <c r="N66" s="75"/>
      <c r="O66" s="75"/>
      <c r="P66" s="75"/>
    </row>
    <row r="67" spans="2:16" x14ac:dyDescent="0.25">
      <c r="B67" s="222"/>
      <c r="C67" s="116" t="s">
        <v>490</v>
      </c>
      <c r="D67" s="103">
        <f>AVERAGE($D$35:$D$43)*'Field Emissions'!$K$33</f>
        <v>1.1646555405591293E-2</v>
      </c>
      <c r="E67" s="99" t="s">
        <v>489</v>
      </c>
      <c r="F67" s="98" t="s">
        <v>485</v>
      </c>
      <c r="G67" s="117" t="s">
        <v>156</v>
      </c>
      <c r="H67" s="123">
        <f>D67</f>
        <v>1.1646555405591293E-2</v>
      </c>
      <c r="I67" s="98" t="s">
        <v>411</v>
      </c>
      <c r="J67" s="115" t="s">
        <v>476</v>
      </c>
      <c r="N67" s="75"/>
      <c r="O67" s="75"/>
      <c r="P67" s="75"/>
    </row>
    <row r="68" spans="2:16" x14ac:dyDescent="0.25">
      <c r="B68" s="222"/>
      <c r="C68" s="116" t="s">
        <v>490</v>
      </c>
      <c r="D68" s="103">
        <f>AVERAGE(D35:D43)*'Field Emissions'!$K$33</f>
        <v>1.1646555405591293E-2</v>
      </c>
      <c r="E68" s="99" t="s">
        <v>489</v>
      </c>
      <c r="F68" s="98" t="s">
        <v>485</v>
      </c>
      <c r="G68" s="117" t="s">
        <v>156</v>
      </c>
      <c r="H68" s="123">
        <f>D68</f>
        <v>1.1646555405591293E-2</v>
      </c>
      <c r="I68" s="98" t="s">
        <v>411</v>
      </c>
      <c r="J68" s="115" t="s">
        <v>476</v>
      </c>
      <c r="N68" s="75"/>
      <c r="O68" s="75"/>
      <c r="P68" s="75"/>
    </row>
    <row r="69" spans="2:16" ht="16.5" thickBot="1" x14ac:dyDescent="0.3">
      <c r="B69" s="222"/>
      <c r="C69" s="116" t="s">
        <v>490</v>
      </c>
      <c r="D69" s="103">
        <f>AVERAGE(D35:D43)*'Field Emissions'!$K$34</f>
        <v>1.964791047138708E-2</v>
      </c>
      <c r="E69" s="99" t="s">
        <v>489</v>
      </c>
      <c r="F69" s="98" t="s">
        <v>485</v>
      </c>
      <c r="G69" s="117" t="s">
        <v>156</v>
      </c>
      <c r="H69" s="123">
        <f>D69</f>
        <v>1.964791047138708E-2</v>
      </c>
      <c r="I69" s="98" t="s">
        <v>411</v>
      </c>
      <c r="J69" s="115" t="s">
        <v>476</v>
      </c>
      <c r="N69" s="75"/>
      <c r="O69" s="75"/>
      <c r="P69" s="75"/>
    </row>
    <row r="70" spans="2:16" ht="16.5" thickBot="1" x14ac:dyDescent="0.3">
      <c r="B70" s="229"/>
      <c r="C70" s="113"/>
      <c r="D70" s="214"/>
      <c r="E70" s="96"/>
      <c r="F70" s="96"/>
      <c r="G70" s="112" t="s">
        <v>66</v>
      </c>
      <c r="H70" s="255">
        <f>AVERAGE(H66:H69)</f>
        <v>1.1453688352886997E-2</v>
      </c>
      <c r="I70" s="95" t="s">
        <v>411</v>
      </c>
      <c r="J70" s="94"/>
      <c r="N70" s="75"/>
      <c r="O70" s="75"/>
      <c r="P70" s="75"/>
    </row>
    <row r="71" spans="2:16" x14ac:dyDescent="0.25">
      <c r="B71" s="228" t="s">
        <v>488</v>
      </c>
      <c r="C71" s="116" t="s">
        <v>487</v>
      </c>
      <c r="D71" s="103">
        <f>AVERAGE($D$35:$D$43)*'Field Emissions'!E83</f>
        <v>4.0993962084737379E-2</v>
      </c>
      <c r="E71" s="99" t="s">
        <v>486</v>
      </c>
      <c r="F71" s="98"/>
      <c r="G71" s="98" t="s">
        <v>367</v>
      </c>
      <c r="H71" s="123">
        <f>D71</f>
        <v>4.0993962084737379E-2</v>
      </c>
      <c r="I71" s="98" t="s">
        <v>411</v>
      </c>
      <c r="J71" s="97"/>
      <c r="N71" s="75"/>
      <c r="O71" s="75"/>
      <c r="P71" s="75"/>
    </row>
    <row r="72" spans="2:16" x14ac:dyDescent="0.25">
      <c r="B72" s="222"/>
      <c r="C72" s="116" t="s">
        <v>487</v>
      </c>
      <c r="D72" s="103">
        <f>AVERAGE($D$35:$D$43)*'Field Emissions'!E84</f>
        <v>2.1955204489731872E-2</v>
      </c>
      <c r="E72" s="99" t="s">
        <v>486</v>
      </c>
      <c r="F72" s="98"/>
      <c r="G72" s="98" t="s">
        <v>367</v>
      </c>
      <c r="H72" s="123">
        <f>D72</f>
        <v>2.1955204489731872E-2</v>
      </c>
      <c r="I72" s="98" t="s">
        <v>411</v>
      </c>
      <c r="J72" s="97"/>
      <c r="N72" s="75"/>
      <c r="O72" s="75"/>
      <c r="P72" s="75"/>
    </row>
    <row r="73" spans="2:16" ht="16.5" thickBot="1" x14ac:dyDescent="0.3">
      <c r="B73" s="222"/>
      <c r="C73" s="116" t="s">
        <v>487</v>
      </c>
      <c r="D73" s="103">
        <f>AVERAGE($D$35:$D$43)*'Field Emissions'!E85</f>
        <v>6.1438772822989138E-2</v>
      </c>
      <c r="E73" s="99" t="s">
        <v>486</v>
      </c>
      <c r="F73" s="98"/>
      <c r="G73" s="98" t="s">
        <v>367</v>
      </c>
      <c r="H73" s="123">
        <f>D73</f>
        <v>6.1438772822989138E-2</v>
      </c>
      <c r="I73" s="98" t="s">
        <v>411</v>
      </c>
      <c r="J73" s="97"/>
      <c r="N73" s="75"/>
      <c r="O73" s="75"/>
      <c r="P73" s="75"/>
    </row>
    <row r="74" spans="2:16" ht="16.5" thickBot="1" x14ac:dyDescent="0.3">
      <c r="B74" s="229"/>
      <c r="C74" s="113"/>
      <c r="D74" s="214"/>
      <c r="E74" s="96"/>
      <c r="F74" s="96"/>
      <c r="G74" s="112" t="s">
        <v>66</v>
      </c>
      <c r="H74" s="255">
        <f>AVERAGE(H71:H73)</f>
        <v>4.1462646465819465E-2</v>
      </c>
      <c r="I74" s="95" t="s">
        <v>411</v>
      </c>
      <c r="J74" s="94"/>
      <c r="N74" s="75"/>
      <c r="O74" s="75"/>
      <c r="P74" s="75"/>
    </row>
    <row r="75" spans="2:16" x14ac:dyDescent="0.25">
      <c r="B75" s="222" t="s">
        <v>484</v>
      </c>
      <c r="C75" s="116" t="s">
        <v>483</v>
      </c>
      <c r="D75" s="215">
        <f>MIN(D35:D39)*0.01</f>
        <v>4.2699999999999997E-4</v>
      </c>
      <c r="E75" s="99" t="s">
        <v>477</v>
      </c>
      <c r="F75" s="99" t="s">
        <v>482</v>
      </c>
      <c r="G75" s="98" t="s">
        <v>316</v>
      </c>
      <c r="H75" s="211">
        <f t="shared" ref="H75:H86" si="4">D75</f>
        <v>4.2699999999999997E-4</v>
      </c>
      <c r="I75" s="98" t="s">
        <v>411</v>
      </c>
      <c r="J75" s="115" t="s">
        <v>481</v>
      </c>
      <c r="O75" s="75"/>
    </row>
    <row r="76" spans="2:16" x14ac:dyDescent="0.25">
      <c r="B76" s="230" t="s">
        <v>156</v>
      </c>
      <c r="C76" s="116" t="s">
        <v>483</v>
      </c>
      <c r="D76" s="215">
        <f>MIN(D35:D39)*0.003</f>
        <v>1.281E-4</v>
      </c>
      <c r="E76" s="99" t="s">
        <v>477</v>
      </c>
      <c r="F76" s="99" t="s">
        <v>482</v>
      </c>
      <c r="G76" s="98" t="s">
        <v>316</v>
      </c>
      <c r="H76" s="211">
        <f t="shared" si="4"/>
        <v>1.281E-4</v>
      </c>
      <c r="I76" s="98" t="s">
        <v>411</v>
      </c>
      <c r="J76" s="115" t="s">
        <v>481</v>
      </c>
      <c r="O76" s="75"/>
    </row>
    <row r="77" spans="2:16" x14ac:dyDescent="0.25">
      <c r="B77" s="230" t="s">
        <v>156</v>
      </c>
      <c r="C77" s="116" t="s">
        <v>483</v>
      </c>
      <c r="D77" s="215">
        <f>MIN(D35:D39)*0.03</f>
        <v>1.2809999999999998E-3</v>
      </c>
      <c r="E77" s="99" t="s">
        <v>477</v>
      </c>
      <c r="F77" s="99" t="s">
        <v>482</v>
      </c>
      <c r="G77" s="98" t="s">
        <v>316</v>
      </c>
      <c r="H77" s="211">
        <f t="shared" si="4"/>
        <v>1.2809999999999998E-3</v>
      </c>
      <c r="I77" s="98" t="s">
        <v>411</v>
      </c>
      <c r="J77" s="115" t="s">
        <v>481</v>
      </c>
      <c r="O77" s="75"/>
    </row>
    <row r="78" spans="2:16" x14ac:dyDescent="0.25">
      <c r="B78" s="230" t="s">
        <v>156</v>
      </c>
      <c r="C78" s="116" t="s">
        <v>483</v>
      </c>
      <c r="D78" s="215">
        <f>AVERAGE(D35:D39)*0.01</f>
        <v>6.7825125389130907E-4</v>
      </c>
      <c r="E78" s="99" t="s">
        <v>477</v>
      </c>
      <c r="F78" s="99" t="s">
        <v>482</v>
      </c>
      <c r="G78" s="98" t="s">
        <v>316</v>
      </c>
      <c r="H78" s="211">
        <f t="shared" si="4"/>
        <v>6.7825125389130907E-4</v>
      </c>
      <c r="I78" s="98" t="s">
        <v>411</v>
      </c>
      <c r="J78" s="115" t="s">
        <v>481</v>
      </c>
      <c r="O78" s="75"/>
    </row>
    <row r="79" spans="2:16" x14ac:dyDescent="0.25">
      <c r="B79" s="230" t="s">
        <v>156</v>
      </c>
      <c r="C79" s="116" t="s">
        <v>483</v>
      </c>
      <c r="D79" s="215">
        <f>AVERAGE(D35:D39)*0.003</f>
        <v>2.0347537616739273E-4</v>
      </c>
      <c r="E79" s="99" t="s">
        <v>477</v>
      </c>
      <c r="F79" s="99" t="s">
        <v>482</v>
      </c>
      <c r="G79" s="98" t="s">
        <v>316</v>
      </c>
      <c r="H79" s="211">
        <f t="shared" si="4"/>
        <v>2.0347537616739273E-4</v>
      </c>
      <c r="I79" s="98" t="s">
        <v>411</v>
      </c>
      <c r="J79" s="115" t="s">
        <v>481</v>
      </c>
      <c r="O79" s="75"/>
    </row>
    <row r="80" spans="2:16" x14ac:dyDescent="0.25">
      <c r="B80" s="230" t="s">
        <v>156</v>
      </c>
      <c r="C80" s="116" t="s">
        <v>483</v>
      </c>
      <c r="D80" s="215">
        <f>AVERAGE(D35:D39)*0.03</f>
        <v>2.0347537616739273E-3</v>
      </c>
      <c r="E80" s="99" t="s">
        <v>477</v>
      </c>
      <c r="F80" s="99" t="s">
        <v>482</v>
      </c>
      <c r="G80" s="98" t="s">
        <v>316</v>
      </c>
      <c r="H80" s="211">
        <f t="shared" si="4"/>
        <v>2.0347537616739273E-3</v>
      </c>
      <c r="I80" s="98" t="s">
        <v>411</v>
      </c>
      <c r="J80" s="115" t="s">
        <v>481</v>
      </c>
      <c r="O80" s="75"/>
    </row>
    <row r="81" spans="2:15" x14ac:dyDescent="0.25">
      <c r="B81" s="230" t="s">
        <v>156</v>
      </c>
      <c r="C81" s="116" t="s">
        <v>483</v>
      </c>
      <c r="D81" s="215">
        <f>MAX(D35:D39)*0.01</f>
        <v>1.3519603424966202E-3</v>
      </c>
      <c r="E81" s="99" t="s">
        <v>477</v>
      </c>
      <c r="F81" s="99" t="s">
        <v>482</v>
      </c>
      <c r="G81" s="98" t="s">
        <v>316</v>
      </c>
      <c r="H81" s="211">
        <f t="shared" si="4"/>
        <v>1.3519603424966202E-3</v>
      </c>
      <c r="I81" s="98" t="s">
        <v>411</v>
      </c>
      <c r="J81" s="115" t="s">
        <v>481</v>
      </c>
      <c r="O81" s="75"/>
    </row>
    <row r="82" spans="2:15" x14ac:dyDescent="0.25">
      <c r="B82" s="230" t="s">
        <v>156</v>
      </c>
      <c r="C82" s="116" t="s">
        <v>483</v>
      </c>
      <c r="D82" s="215">
        <f>MAX(D35:D39)*0.003</f>
        <v>4.0558810274898604E-4</v>
      </c>
      <c r="E82" s="99" t="s">
        <v>477</v>
      </c>
      <c r="F82" s="99" t="s">
        <v>482</v>
      </c>
      <c r="G82" s="98" t="s">
        <v>316</v>
      </c>
      <c r="H82" s="211">
        <f t="shared" si="4"/>
        <v>4.0558810274898604E-4</v>
      </c>
      <c r="I82" s="98" t="s">
        <v>411</v>
      </c>
      <c r="J82" s="115" t="s">
        <v>481</v>
      </c>
      <c r="O82" s="75"/>
    </row>
    <row r="83" spans="2:15" x14ac:dyDescent="0.25">
      <c r="B83" s="230" t="s">
        <v>156</v>
      </c>
      <c r="C83" s="116" t="s">
        <v>483</v>
      </c>
      <c r="D83" s="215">
        <f>MAX(D35:D39)*0.03</f>
        <v>4.0558810274898601E-3</v>
      </c>
      <c r="E83" s="99" t="s">
        <v>477</v>
      </c>
      <c r="F83" s="99" t="s">
        <v>482</v>
      </c>
      <c r="G83" s="98" t="s">
        <v>316</v>
      </c>
      <c r="H83" s="211">
        <f t="shared" si="4"/>
        <v>4.0558810274898601E-3</v>
      </c>
      <c r="I83" s="98" t="s">
        <v>411</v>
      </c>
      <c r="J83" s="115" t="s">
        <v>481</v>
      </c>
      <c r="O83" s="75"/>
    </row>
    <row r="84" spans="2:15" x14ac:dyDescent="0.25">
      <c r="B84" s="230" t="s">
        <v>156</v>
      </c>
      <c r="C84" s="116" t="s">
        <v>480</v>
      </c>
      <c r="D84" s="215">
        <f>AVERAGE(D35:D43)*'Field Emissions'!$E$34</f>
        <v>3.6860061879823245E-4</v>
      </c>
      <c r="E84" s="99" t="s">
        <v>477</v>
      </c>
      <c r="F84" s="99" t="s">
        <v>476</v>
      </c>
      <c r="G84" s="114" t="s">
        <v>156</v>
      </c>
      <c r="H84" s="211">
        <f t="shared" si="4"/>
        <v>3.6860061879823245E-4</v>
      </c>
      <c r="I84" s="98" t="s">
        <v>411</v>
      </c>
      <c r="J84" s="97"/>
      <c r="O84" s="75"/>
    </row>
    <row r="85" spans="2:15" x14ac:dyDescent="0.25">
      <c r="B85" s="230" t="s">
        <v>156</v>
      </c>
      <c r="C85" s="116" t="s">
        <v>479</v>
      </c>
      <c r="D85" s="215">
        <f>AVERAGE(D35:D43)*'Field Emissions'!$E$33</f>
        <v>7.8886131980087661E-4</v>
      </c>
      <c r="E85" s="99" t="s">
        <v>477</v>
      </c>
      <c r="F85" s="99" t="s">
        <v>476</v>
      </c>
      <c r="G85" s="114" t="s">
        <v>156</v>
      </c>
      <c r="H85" s="211">
        <f t="shared" si="4"/>
        <v>7.8886131980087661E-4</v>
      </c>
      <c r="I85" s="98" t="s">
        <v>411</v>
      </c>
      <c r="J85" s="97"/>
      <c r="O85" s="75"/>
    </row>
    <row r="86" spans="2:15" ht="16.5" thickBot="1" x14ac:dyDescent="0.3">
      <c r="B86" s="230" t="s">
        <v>156</v>
      </c>
      <c r="C86" s="116" t="s">
        <v>478</v>
      </c>
      <c r="D86" s="215">
        <f>AVERAGE(D35:D43)*'Field Emissions'!$E$35</f>
        <v>2.7826663546671828E-3</v>
      </c>
      <c r="E86" s="99" t="s">
        <v>477</v>
      </c>
      <c r="F86" s="99" t="s">
        <v>476</v>
      </c>
      <c r="G86" s="114" t="s">
        <v>156</v>
      </c>
      <c r="H86" s="211">
        <f t="shared" si="4"/>
        <v>2.7826663546671828E-3</v>
      </c>
      <c r="I86" s="98" t="s">
        <v>411</v>
      </c>
      <c r="J86" s="97"/>
      <c r="O86" s="75"/>
    </row>
    <row r="87" spans="2:15" ht="16.5" thickBot="1" x14ac:dyDescent="0.3">
      <c r="B87" s="231"/>
      <c r="C87" s="113"/>
      <c r="D87" s="214"/>
      <c r="E87" s="96"/>
      <c r="F87" s="96"/>
      <c r="G87" s="112" t="s">
        <v>66</v>
      </c>
      <c r="H87" s="220">
        <f>AVERAGE(H75:H86)</f>
        <v>1.2088448464778656E-3</v>
      </c>
      <c r="I87" s="95" t="s">
        <v>411</v>
      </c>
      <c r="J87" s="94"/>
      <c r="O87" s="75"/>
    </row>
    <row r="88" spans="2:15" x14ac:dyDescent="0.25">
      <c r="B88" s="222" t="s">
        <v>475</v>
      </c>
      <c r="C88" s="99" t="s">
        <v>108</v>
      </c>
      <c r="D88" s="216">
        <f>'Bioslurry Comp.'!$M$48</f>
        <v>3.6824824567050789E-6</v>
      </c>
      <c r="E88" s="106" t="s">
        <v>165</v>
      </c>
      <c r="F88" s="1" t="s">
        <v>463</v>
      </c>
      <c r="G88" s="107" t="s">
        <v>117</v>
      </c>
      <c r="H88" s="215">
        <f>D88</f>
        <v>3.6824824567050789E-6</v>
      </c>
      <c r="I88" s="98" t="s">
        <v>411</v>
      </c>
      <c r="J88" s="97" t="s">
        <v>474</v>
      </c>
    </row>
    <row r="89" spans="2:15" x14ac:dyDescent="0.25">
      <c r="B89" s="222"/>
      <c r="C89" s="99" t="s">
        <v>108</v>
      </c>
      <c r="D89" s="216">
        <f>'Bioslurry Comp.'!$N$48</f>
        <v>2.9614369407068824E-7</v>
      </c>
      <c r="E89" s="106" t="s">
        <v>165</v>
      </c>
      <c r="F89" s="106" t="s">
        <v>463</v>
      </c>
      <c r="G89" s="1" t="s">
        <v>117</v>
      </c>
      <c r="H89" s="215">
        <f>D89</f>
        <v>2.9614369407068824E-7</v>
      </c>
      <c r="I89" s="98" t="s">
        <v>411</v>
      </c>
      <c r="J89" s="97" t="s">
        <v>504</v>
      </c>
    </row>
    <row r="90" spans="2:15" ht="16.5" thickBot="1" x14ac:dyDescent="0.3">
      <c r="B90" s="222"/>
      <c r="C90" s="99" t="s">
        <v>108</v>
      </c>
      <c r="D90" s="216">
        <f>'Bioslurry Comp.'!$O$48</f>
        <v>1.0854310178330006E-5</v>
      </c>
      <c r="E90" s="106" t="s">
        <v>165</v>
      </c>
      <c r="F90" s="106" t="s">
        <v>463</v>
      </c>
      <c r="G90" s="106" t="s">
        <v>117</v>
      </c>
      <c r="H90" s="215">
        <f>D90</f>
        <v>1.0854310178330006E-5</v>
      </c>
      <c r="I90" s="98" t="s">
        <v>411</v>
      </c>
      <c r="J90" s="97" t="s">
        <v>506</v>
      </c>
    </row>
    <row r="91" spans="2:15" ht="16.5" thickBot="1" x14ac:dyDescent="0.3">
      <c r="B91" s="222"/>
      <c r="C91" s="99"/>
      <c r="D91" s="217"/>
      <c r="E91" s="106"/>
      <c r="F91" s="106"/>
      <c r="G91" s="112" t="s">
        <v>66</v>
      </c>
      <c r="H91" s="220">
        <f>AVERAGE(H88:H90)</f>
        <v>4.9443121097019252E-6</v>
      </c>
      <c r="I91" s="95" t="s">
        <v>411</v>
      </c>
      <c r="J91" s="94"/>
    </row>
    <row r="92" spans="2:15" x14ac:dyDescent="0.25">
      <c r="B92" s="228" t="s">
        <v>243</v>
      </c>
      <c r="C92" s="102" t="s">
        <v>109</v>
      </c>
      <c r="D92" s="218">
        <f>'Bioslurry Comp.'!$M$49</f>
        <v>3.6052275799909865E-7</v>
      </c>
      <c r="E92" s="109" t="s">
        <v>165</v>
      </c>
      <c r="F92" s="108" t="s">
        <v>463</v>
      </c>
      <c r="G92" s="107" t="s">
        <v>117</v>
      </c>
      <c r="H92" s="215">
        <f>D92</f>
        <v>3.6052275799909865E-7</v>
      </c>
      <c r="I92" s="101" t="s">
        <v>411</v>
      </c>
      <c r="J92" s="100"/>
    </row>
    <row r="93" spans="2:15" x14ac:dyDescent="0.25">
      <c r="B93" s="222"/>
      <c r="C93" s="99" t="s">
        <v>109</v>
      </c>
      <c r="D93" s="215">
        <f>'Bioslurry Comp.'!$N$49</f>
        <v>1.2875812785682096E-9</v>
      </c>
      <c r="E93" s="106" t="s">
        <v>165</v>
      </c>
      <c r="F93" s="106" t="s">
        <v>463</v>
      </c>
      <c r="G93" s="107" t="s">
        <v>117</v>
      </c>
      <c r="H93" s="215">
        <f>D93</f>
        <v>1.2875812785682096E-9</v>
      </c>
      <c r="I93" s="98" t="s">
        <v>411</v>
      </c>
      <c r="J93" s="97"/>
    </row>
    <row r="94" spans="2:15" x14ac:dyDescent="0.25">
      <c r="B94" s="222"/>
      <c r="C94" s="99" t="s">
        <v>109</v>
      </c>
      <c r="D94" s="215">
        <f>'Bioslurry Comp.'!$O$49</f>
        <v>1.3519603424966201E-6</v>
      </c>
      <c r="E94" s="106" t="s">
        <v>165</v>
      </c>
      <c r="F94" s="106" t="s">
        <v>463</v>
      </c>
      <c r="G94" s="106" t="s">
        <v>117</v>
      </c>
      <c r="H94" s="215">
        <f>D94</f>
        <v>1.3519603424966201E-6</v>
      </c>
      <c r="I94" s="98" t="s">
        <v>411</v>
      </c>
      <c r="J94" s="97"/>
    </row>
    <row r="95" spans="2:15" x14ac:dyDescent="0.25">
      <c r="B95" s="222"/>
      <c r="C95" s="99" t="s">
        <v>109</v>
      </c>
      <c r="D95" s="215">
        <f>'Bioslurry Comp.'!$I$152</f>
        <v>1.3519603424966201E-5</v>
      </c>
      <c r="E95" s="106" t="s">
        <v>165</v>
      </c>
      <c r="F95" s="106" t="s">
        <v>473</v>
      </c>
      <c r="G95" s="106" t="s">
        <v>256</v>
      </c>
      <c r="H95" s="215">
        <f>D95</f>
        <v>1.3519603424966201E-5</v>
      </c>
      <c r="I95" s="98" t="s">
        <v>411</v>
      </c>
      <c r="J95" s="97"/>
    </row>
    <row r="96" spans="2:15" ht="16.5" thickBot="1" x14ac:dyDescent="0.3">
      <c r="B96" s="222"/>
      <c r="C96" s="99" t="s">
        <v>109</v>
      </c>
      <c r="D96" s="216">
        <f>'Bioslurry Comp.'!$G$152</f>
        <v>1.3519603424966202E-4</v>
      </c>
      <c r="E96" s="106" t="s">
        <v>165</v>
      </c>
      <c r="F96" s="106" t="s">
        <v>473</v>
      </c>
      <c r="G96" s="106" t="s">
        <v>256</v>
      </c>
      <c r="H96" s="215">
        <f>D96</f>
        <v>1.3519603424966202E-4</v>
      </c>
      <c r="I96" s="98" t="s">
        <v>411</v>
      </c>
      <c r="J96" s="97"/>
    </row>
    <row r="97" spans="2:10" ht="16.5" thickBot="1" x14ac:dyDescent="0.3">
      <c r="B97" s="229"/>
      <c r="C97" s="96"/>
      <c r="D97" s="219"/>
      <c r="E97" s="105"/>
      <c r="F97" s="105"/>
      <c r="G97" s="112" t="s">
        <v>66</v>
      </c>
      <c r="H97" s="220">
        <f>AVERAGE(H92:H96)</f>
        <v>3.00858816712805E-5</v>
      </c>
      <c r="I97" s="95" t="s">
        <v>411</v>
      </c>
      <c r="J97" s="94"/>
    </row>
    <row r="98" spans="2:10" x14ac:dyDescent="0.25">
      <c r="B98" s="228" t="s">
        <v>472</v>
      </c>
      <c r="C98" s="102" t="s">
        <v>110</v>
      </c>
      <c r="D98" s="218">
        <v>2.4077769909225517E-6</v>
      </c>
      <c r="E98" s="109" t="s">
        <v>165</v>
      </c>
      <c r="F98" s="108" t="s">
        <v>463</v>
      </c>
      <c r="G98" s="108" t="s">
        <v>117</v>
      </c>
      <c r="H98" s="213">
        <f>D98</f>
        <v>2.4077769909225517E-6</v>
      </c>
      <c r="I98" s="101" t="s">
        <v>411</v>
      </c>
      <c r="J98" s="100"/>
    </row>
    <row r="99" spans="2:10" x14ac:dyDescent="0.25">
      <c r="B99" s="222"/>
      <c r="C99" s="99" t="s">
        <v>110</v>
      </c>
      <c r="D99" s="215">
        <v>1.3133329041395738E-7</v>
      </c>
      <c r="E99" s="106" t="s">
        <v>165</v>
      </c>
      <c r="F99" s="106" t="s">
        <v>463</v>
      </c>
      <c r="G99" s="107" t="s">
        <v>117</v>
      </c>
      <c r="H99" s="215">
        <f>D99</f>
        <v>1.3133329041395738E-7</v>
      </c>
      <c r="I99" s="98" t="s">
        <v>411</v>
      </c>
      <c r="J99" s="97"/>
    </row>
    <row r="100" spans="2:10" ht="16.5" thickBot="1" x14ac:dyDescent="0.3">
      <c r="B100" s="222"/>
      <c r="C100" s="99" t="s">
        <v>110</v>
      </c>
      <c r="D100" s="216">
        <v>8.7555526942638264E-6</v>
      </c>
      <c r="E100" s="106" t="s">
        <v>165</v>
      </c>
      <c r="F100" s="106" t="s">
        <v>463</v>
      </c>
      <c r="G100" s="106" t="s">
        <v>117</v>
      </c>
      <c r="H100" s="215">
        <f>D100</f>
        <v>8.7555526942638264E-6</v>
      </c>
      <c r="I100" s="98" t="s">
        <v>411</v>
      </c>
      <c r="J100" s="97"/>
    </row>
    <row r="101" spans="2:10" ht="16.5" thickBot="1" x14ac:dyDescent="0.3">
      <c r="B101" s="229"/>
      <c r="C101" s="96"/>
      <c r="D101" s="219"/>
      <c r="E101" s="105"/>
      <c r="F101" s="105"/>
      <c r="G101" s="112" t="s">
        <v>66</v>
      </c>
      <c r="H101" s="220">
        <f>AVERAGE(H98:H100)</f>
        <v>3.7648876585334453E-6</v>
      </c>
      <c r="I101" s="95" t="s">
        <v>411</v>
      </c>
      <c r="J101" s="94"/>
    </row>
    <row r="102" spans="2:10" x14ac:dyDescent="0.25">
      <c r="B102" s="228" t="s">
        <v>471</v>
      </c>
      <c r="C102" s="102" t="s">
        <v>111</v>
      </c>
      <c r="D102" s="218">
        <v>6.3091482649842273E-7</v>
      </c>
      <c r="E102" s="109" t="s">
        <v>165</v>
      </c>
      <c r="F102" s="108" t="s">
        <v>463</v>
      </c>
      <c r="G102" s="108" t="s">
        <v>117</v>
      </c>
      <c r="H102" s="213">
        <f>D102</f>
        <v>6.3091482649842273E-7</v>
      </c>
      <c r="I102" s="101" t="s">
        <v>411</v>
      </c>
      <c r="J102" s="100"/>
    </row>
    <row r="103" spans="2:10" x14ac:dyDescent="0.25">
      <c r="B103" s="222"/>
      <c r="C103" s="99" t="s">
        <v>111</v>
      </c>
      <c r="D103" s="216">
        <v>3.8627438357046289E-9</v>
      </c>
      <c r="E103" s="106" t="s">
        <v>165</v>
      </c>
      <c r="F103" s="106" t="s">
        <v>463</v>
      </c>
      <c r="G103" s="107" t="s">
        <v>117</v>
      </c>
      <c r="H103" s="215">
        <f>D103</f>
        <v>3.8627438357046289E-9</v>
      </c>
      <c r="I103" s="98" t="s">
        <v>411</v>
      </c>
      <c r="J103" s="97"/>
    </row>
    <row r="104" spans="2:10" ht="16.5" thickBot="1" x14ac:dyDescent="0.3">
      <c r="B104" s="222"/>
      <c r="C104" s="99" t="s">
        <v>111</v>
      </c>
      <c r="D104" s="216">
        <v>1.9571235434236785E-6</v>
      </c>
      <c r="E104" s="106" t="s">
        <v>165</v>
      </c>
      <c r="F104" s="106" t="s">
        <v>463</v>
      </c>
      <c r="G104" s="106" t="s">
        <v>117</v>
      </c>
      <c r="H104" s="215">
        <f>D104</f>
        <v>1.9571235434236785E-6</v>
      </c>
      <c r="I104" s="98" t="s">
        <v>411</v>
      </c>
      <c r="J104" s="97"/>
    </row>
    <row r="105" spans="2:10" ht="16.5" thickBot="1" x14ac:dyDescent="0.3">
      <c r="B105" s="229"/>
      <c r="C105" s="96"/>
      <c r="D105" s="219"/>
      <c r="E105" s="105"/>
      <c r="F105" s="105"/>
      <c r="G105" s="112" t="s">
        <v>66</v>
      </c>
      <c r="H105" s="220">
        <f>AVERAGE(H102:H104)</f>
        <v>8.6396703791926863E-7</v>
      </c>
      <c r="I105" s="95" t="s">
        <v>411</v>
      </c>
      <c r="J105" s="94"/>
    </row>
    <row r="106" spans="2:10" x14ac:dyDescent="0.25">
      <c r="B106" s="228" t="s">
        <v>470</v>
      </c>
      <c r="C106" s="102" t="s">
        <v>270</v>
      </c>
      <c r="D106" s="210">
        <v>3.2802547770700646E-4</v>
      </c>
      <c r="E106" s="109" t="s">
        <v>165</v>
      </c>
      <c r="F106" s="1" t="s">
        <v>462</v>
      </c>
      <c r="G106" s="1" t="s">
        <v>332</v>
      </c>
      <c r="H106" s="211">
        <f>D106</f>
        <v>3.2802547770700646E-4</v>
      </c>
      <c r="I106" s="101" t="s">
        <v>411</v>
      </c>
      <c r="J106" s="100"/>
    </row>
    <row r="107" spans="2:10" x14ac:dyDescent="0.25">
      <c r="B107" s="222"/>
      <c r="C107" s="99" t="s">
        <v>270</v>
      </c>
      <c r="D107" s="215">
        <v>1.0191082802547772E-4</v>
      </c>
      <c r="E107" s="106" t="s">
        <v>165</v>
      </c>
      <c r="F107" s="1" t="s">
        <v>461</v>
      </c>
      <c r="G107" s="1" t="s">
        <v>332</v>
      </c>
      <c r="H107" s="211">
        <f>D107</f>
        <v>1.0191082802547772E-4</v>
      </c>
      <c r="I107" s="98" t="s">
        <v>411</v>
      </c>
      <c r="J107" s="97"/>
    </row>
    <row r="108" spans="2:10" ht="16.5" thickBot="1" x14ac:dyDescent="0.3">
      <c r="B108" s="222"/>
      <c r="C108" s="99" t="s">
        <v>270</v>
      </c>
      <c r="D108" s="215">
        <v>8.7579617834394918E-4</v>
      </c>
      <c r="E108" s="106" t="s">
        <v>165</v>
      </c>
      <c r="F108" s="1" t="s">
        <v>460</v>
      </c>
      <c r="G108" s="1" t="s">
        <v>332</v>
      </c>
      <c r="H108" s="211">
        <f>D108</f>
        <v>8.7579617834394918E-4</v>
      </c>
      <c r="I108" s="98" t="s">
        <v>411</v>
      </c>
      <c r="J108" s="97"/>
    </row>
    <row r="109" spans="2:10" ht="16.5" thickBot="1" x14ac:dyDescent="0.3">
      <c r="B109" s="229"/>
      <c r="C109" s="96"/>
      <c r="D109" s="214"/>
      <c r="E109" s="96"/>
      <c r="F109" s="96"/>
      <c r="G109" s="112" t="s">
        <v>66</v>
      </c>
      <c r="H109" s="220">
        <f>AVERAGE(H106:H108)</f>
        <v>4.3524416135881113E-4</v>
      </c>
      <c r="I109" s="95" t="s">
        <v>411</v>
      </c>
      <c r="J109" s="94"/>
    </row>
    <row r="110" spans="2:10" x14ac:dyDescent="0.25">
      <c r="B110" s="228" t="s">
        <v>469</v>
      </c>
      <c r="C110" s="102" t="s">
        <v>337</v>
      </c>
      <c r="D110" s="110">
        <v>1.7770700636942676E-2</v>
      </c>
      <c r="E110" s="109" t="s">
        <v>165</v>
      </c>
      <c r="F110" s="1" t="s">
        <v>462</v>
      </c>
      <c r="G110" s="1" t="s">
        <v>332</v>
      </c>
      <c r="H110" s="123">
        <f>D110</f>
        <v>1.7770700636942676E-2</v>
      </c>
      <c r="I110" s="101" t="s">
        <v>411</v>
      </c>
      <c r="J110" s="100"/>
    </row>
    <row r="111" spans="2:10" x14ac:dyDescent="0.25">
      <c r="B111" s="222"/>
      <c r="C111" s="99" t="s">
        <v>337</v>
      </c>
      <c r="D111" s="103">
        <v>1.1656050955414015E-2</v>
      </c>
      <c r="E111" s="106" t="s">
        <v>165</v>
      </c>
      <c r="F111" s="1" t="s">
        <v>461</v>
      </c>
      <c r="G111" s="1" t="s">
        <v>332</v>
      </c>
      <c r="H111" s="123">
        <f>D111</f>
        <v>1.1656050955414015E-2</v>
      </c>
      <c r="I111" s="98" t="s">
        <v>411</v>
      </c>
      <c r="J111" s="97"/>
    </row>
    <row r="112" spans="2:10" ht="16.5" thickBot="1" x14ac:dyDescent="0.3">
      <c r="B112" s="222"/>
      <c r="C112" s="99" t="s">
        <v>337</v>
      </c>
      <c r="D112" s="103">
        <v>4.5159235668789814E-2</v>
      </c>
      <c r="E112" s="106" t="s">
        <v>165</v>
      </c>
      <c r="F112" s="1" t="s">
        <v>460</v>
      </c>
      <c r="G112" s="1" t="s">
        <v>332</v>
      </c>
      <c r="H112" s="123">
        <f>D112</f>
        <v>4.5159235668789814E-2</v>
      </c>
      <c r="I112" s="98" t="s">
        <v>411</v>
      </c>
      <c r="J112" s="97"/>
    </row>
    <row r="113" spans="2:10" ht="16.5" thickBot="1" x14ac:dyDescent="0.3">
      <c r="B113" s="229"/>
      <c r="C113" s="96"/>
      <c r="D113" s="214"/>
      <c r="E113" s="96"/>
      <c r="F113" s="96"/>
      <c r="G113" s="112" t="s">
        <v>66</v>
      </c>
      <c r="H113" s="255">
        <f>AVERAGE(H110:H112)</f>
        <v>2.4861995753715505E-2</v>
      </c>
      <c r="I113" s="95" t="s">
        <v>411</v>
      </c>
      <c r="J113" s="94"/>
    </row>
    <row r="114" spans="2:10" x14ac:dyDescent="0.25">
      <c r="B114" s="228" t="s">
        <v>468</v>
      </c>
      <c r="C114" s="102" t="s">
        <v>339</v>
      </c>
      <c r="D114" s="210">
        <v>8.2802547770700636E-5</v>
      </c>
      <c r="E114" s="109" t="s">
        <v>165</v>
      </c>
      <c r="F114" s="1" t="s">
        <v>462</v>
      </c>
      <c r="G114" s="1" t="s">
        <v>332</v>
      </c>
      <c r="H114" s="211">
        <f>D114</f>
        <v>8.2802547770700636E-5</v>
      </c>
      <c r="I114" s="101" t="s">
        <v>411</v>
      </c>
      <c r="J114" s="100"/>
    </row>
    <row r="115" spans="2:10" x14ac:dyDescent="0.25">
      <c r="B115" s="222"/>
      <c r="C115" s="99" t="s">
        <v>339</v>
      </c>
      <c r="D115" s="215">
        <v>4.1401273885350318E-5</v>
      </c>
      <c r="E115" s="106" t="s">
        <v>165</v>
      </c>
      <c r="F115" s="1" t="s">
        <v>461</v>
      </c>
      <c r="G115" s="1" t="s">
        <v>332</v>
      </c>
      <c r="H115" s="211">
        <f>D115</f>
        <v>4.1401273885350318E-5</v>
      </c>
      <c r="I115" s="98" t="s">
        <v>411</v>
      </c>
      <c r="J115" s="97"/>
    </row>
    <row r="116" spans="2:10" ht="16.5" thickBot="1" x14ac:dyDescent="0.3">
      <c r="B116" s="222"/>
      <c r="C116" s="99" t="s">
        <v>339</v>
      </c>
      <c r="D116" s="215">
        <v>1.5286624203821655E-4</v>
      </c>
      <c r="E116" s="106" t="s">
        <v>165</v>
      </c>
      <c r="F116" s="1" t="s">
        <v>460</v>
      </c>
      <c r="G116" s="1" t="s">
        <v>332</v>
      </c>
      <c r="H116" s="211">
        <f>D116</f>
        <v>1.5286624203821655E-4</v>
      </c>
      <c r="I116" s="98" t="s">
        <v>411</v>
      </c>
      <c r="J116" s="97"/>
    </row>
    <row r="117" spans="2:10" ht="16.5" thickBot="1" x14ac:dyDescent="0.3">
      <c r="B117" s="229"/>
      <c r="C117" s="96"/>
      <c r="D117" s="214"/>
      <c r="E117" s="96"/>
      <c r="F117" s="96"/>
      <c r="G117" s="112" t="s">
        <v>66</v>
      </c>
      <c r="H117" s="220">
        <f>AVERAGE(H114:H116)</f>
        <v>9.2356687898089167E-5</v>
      </c>
      <c r="I117" s="95" t="s">
        <v>411</v>
      </c>
      <c r="J117" s="94"/>
    </row>
    <row r="118" spans="2:10" x14ac:dyDescent="0.25">
      <c r="B118" s="228" t="s">
        <v>467</v>
      </c>
      <c r="C118" s="102" t="s">
        <v>271</v>
      </c>
      <c r="D118" s="210">
        <v>4.9363057324840762E-3</v>
      </c>
      <c r="E118" s="109" t="s">
        <v>165</v>
      </c>
      <c r="F118" s="1" t="s">
        <v>462</v>
      </c>
      <c r="G118" s="1" t="s">
        <v>332</v>
      </c>
      <c r="H118" s="211">
        <f>D118</f>
        <v>4.9363057324840762E-3</v>
      </c>
      <c r="I118" s="101" t="s">
        <v>411</v>
      </c>
      <c r="J118" s="100"/>
    </row>
    <row r="119" spans="2:10" x14ac:dyDescent="0.25">
      <c r="B119" s="222"/>
      <c r="C119" s="99" t="s">
        <v>271</v>
      </c>
      <c r="D119" s="215">
        <v>1.5286624203821658E-3</v>
      </c>
      <c r="E119" s="106" t="s">
        <v>165</v>
      </c>
      <c r="F119" s="1" t="s">
        <v>461</v>
      </c>
      <c r="G119" s="1" t="s">
        <v>332</v>
      </c>
      <c r="H119" s="211">
        <f>D119</f>
        <v>1.5286624203821658E-3</v>
      </c>
      <c r="I119" s="98" t="s">
        <v>411</v>
      </c>
      <c r="J119" s="97"/>
    </row>
    <row r="120" spans="2:10" ht="16.5" thickBot="1" x14ac:dyDescent="0.3">
      <c r="B120" s="222"/>
      <c r="C120" s="99" t="s">
        <v>271</v>
      </c>
      <c r="D120" s="103">
        <v>1.4554140127388536E-2</v>
      </c>
      <c r="E120" s="106" t="s">
        <v>165</v>
      </c>
      <c r="F120" s="1" t="s">
        <v>460</v>
      </c>
      <c r="G120" s="1" t="s">
        <v>332</v>
      </c>
      <c r="H120" s="123">
        <f>D120</f>
        <v>1.4554140127388536E-2</v>
      </c>
      <c r="I120" s="98" t="s">
        <v>411</v>
      </c>
      <c r="J120" s="97"/>
    </row>
    <row r="121" spans="2:10" ht="16.5" thickBot="1" x14ac:dyDescent="0.3">
      <c r="B121" s="229"/>
      <c r="C121" s="96"/>
      <c r="D121" s="214"/>
      <c r="E121" s="96"/>
      <c r="F121" s="96"/>
      <c r="G121" s="112" t="s">
        <v>66</v>
      </c>
      <c r="H121" s="220">
        <f>AVERAGE(H118:H120)</f>
        <v>7.0063694267515934E-3</v>
      </c>
      <c r="I121" s="95" t="s">
        <v>411</v>
      </c>
      <c r="J121" s="94"/>
    </row>
    <row r="122" spans="2:10" x14ac:dyDescent="0.25">
      <c r="B122" s="228" t="s">
        <v>466</v>
      </c>
      <c r="C122" s="102" t="s">
        <v>112</v>
      </c>
      <c r="D122" s="210">
        <v>5.4593446211292085E-6</v>
      </c>
      <c r="E122" s="109" t="s">
        <v>165</v>
      </c>
      <c r="F122" s="108" t="s">
        <v>463</v>
      </c>
      <c r="G122" s="108" t="s">
        <v>117</v>
      </c>
      <c r="H122" s="210">
        <f>D122</f>
        <v>5.4593446211292085E-6</v>
      </c>
      <c r="I122" s="101" t="s">
        <v>411</v>
      </c>
      <c r="J122" s="100"/>
    </row>
    <row r="123" spans="2:10" x14ac:dyDescent="0.25">
      <c r="B123" s="222"/>
      <c r="C123" s="99" t="s">
        <v>112</v>
      </c>
      <c r="D123" s="215">
        <v>2.188888173565956E-8</v>
      </c>
      <c r="E123" s="106" t="s">
        <v>165</v>
      </c>
      <c r="F123" s="106" t="s">
        <v>463</v>
      </c>
      <c r="G123" s="107" t="s">
        <v>117</v>
      </c>
      <c r="H123" s="215">
        <f>D123</f>
        <v>2.188888173565956E-8</v>
      </c>
      <c r="I123" s="98" t="s">
        <v>411</v>
      </c>
      <c r="J123" s="97"/>
    </row>
    <row r="124" spans="2:10" ht="16.5" thickBot="1" x14ac:dyDescent="0.3">
      <c r="B124" s="222"/>
      <c r="C124" s="99" t="s">
        <v>112</v>
      </c>
      <c r="D124" s="215">
        <v>1.3648361552823022E-5</v>
      </c>
      <c r="E124" s="106" t="s">
        <v>165</v>
      </c>
      <c r="F124" s="106" t="s">
        <v>463</v>
      </c>
      <c r="G124" s="106" t="s">
        <v>117</v>
      </c>
      <c r="H124" s="215">
        <f>D124</f>
        <v>1.3648361552823022E-5</v>
      </c>
      <c r="I124" s="98" t="s">
        <v>411</v>
      </c>
      <c r="J124" s="97"/>
    </row>
    <row r="125" spans="2:10" ht="16.5" thickBot="1" x14ac:dyDescent="0.3">
      <c r="B125" s="229"/>
      <c r="C125" s="96"/>
      <c r="D125" s="214"/>
      <c r="E125" s="96"/>
      <c r="F125" s="96"/>
      <c r="G125" s="112" t="s">
        <v>66</v>
      </c>
      <c r="H125" s="220">
        <f>AVERAGE(H122:H124)</f>
        <v>6.3765316852292964E-6</v>
      </c>
      <c r="I125" s="95" t="s">
        <v>411</v>
      </c>
      <c r="J125" s="94"/>
    </row>
    <row r="126" spans="2:10" x14ac:dyDescent="0.25">
      <c r="B126" s="222" t="s">
        <v>465</v>
      </c>
      <c r="C126" s="99" t="s">
        <v>272</v>
      </c>
      <c r="D126" s="103">
        <v>3.7854889589905363E-2</v>
      </c>
      <c r="E126" s="106" t="s">
        <v>165</v>
      </c>
      <c r="F126" s="106" t="s">
        <v>463</v>
      </c>
      <c r="G126" s="99" t="s">
        <v>256</v>
      </c>
      <c r="H126" s="103">
        <f>D126</f>
        <v>3.7854889589905363E-2</v>
      </c>
      <c r="I126" s="101" t="s">
        <v>411</v>
      </c>
      <c r="J126" s="100"/>
    </row>
    <row r="127" spans="2:10" x14ac:dyDescent="0.25">
      <c r="B127" s="222"/>
      <c r="C127" s="99" t="s">
        <v>272</v>
      </c>
      <c r="D127" s="103">
        <v>2.5687246507435781E-2</v>
      </c>
      <c r="E127" s="99" t="s">
        <v>165</v>
      </c>
      <c r="F127" s="106" t="s">
        <v>463</v>
      </c>
      <c r="G127" s="99" t="s">
        <v>256</v>
      </c>
      <c r="H127" s="103">
        <f>D127</f>
        <v>2.5687246507435781E-2</v>
      </c>
      <c r="I127" s="98" t="s">
        <v>411</v>
      </c>
      <c r="J127" s="97"/>
    </row>
    <row r="128" spans="2:10" x14ac:dyDescent="0.25">
      <c r="B128" s="222"/>
      <c r="C128" s="99" t="s">
        <v>272</v>
      </c>
      <c r="D128" s="103">
        <v>1.6719745222929936E-2</v>
      </c>
      <c r="E128" s="99" t="s">
        <v>165</v>
      </c>
      <c r="F128" s="1" t="s">
        <v>462</v>
      </c>
      <c r="G128" s="1" t="s">
        <v>332</v>
      </c>
      <c r="H128" s="123">
        <f>D128</f>
        <v>1.6719745222929936E-2</v>
      </c>
      <c r="I128" s="98" t="s">
        <v>411</v>
      </c>
      <c r="J128" s="97"/>
    </row>
    <row r="129" spans="2:10" x14ac:dyDescent="0.25">
      <c r="B129" s="222"/>
      <c r="C129" s="99" t="s">
        <v>272</v>
      </c>
      <c r="D129" s="215">
        <v>2.1019108280254783E-3</v>
      </c>
      <c r="E129" s="99" t="s">
        <v>165</v>
      </c>
      <c r="F129" s="1" t="s">
        <v>461</v>
      </c>
      <c r="G129" s="1" t="s">
        <v>332</v>
      </c>
      <c r="H129" s="211">
        <f>D129</f>
        <v>2.1019108280254783E-3</v>
      </c>
      <c r="I129" s="98" t="s">
        <v>411</v>
      </c>
      <c r="J129" s="97"/>
    </row>
    <row r="130" spans="2:10" ht="16.5" thickBot="1" x14ac:dyDescent="0.3">
      <c r="B130" s="222"/>
      <c r="C130" s="99" t="s">
        <v>272</v>
      </c>
      <c r="D130" s="103">
        <v>5.8662420382165611E-2</v>
      </c>
      <c r="E130" s="99" t="s">
        <v>165</v>
      </c>
      <c r="F130" s="1" t="s">
        <v>460</v>
      </c>
      <c r="G130" s="1" t="s">
        <v>332</v>
      </c>
      <c r="H130" s="123">
        <f>D130</f>
        <v>5.8662420382165611E-2</v>
      </c>
      <c r="I130" s="98" t="s">
        <v>411</v>
      </c>
      <c r="J130" s="97"/>
    </row>
    <row r="131" spans="2:10" ht="16.5" thickBot="1" x14ac:dyDescent="0.3">
      <c r="B131" s="229"/>
      <c r="C131" s="96"/>
      <c r="D131" s="214"/>
      <c r="E131" s="96"/>
      <c r="F131" s="105"/>
      <c r="G131" s="112" t="s">
        <v>66</v>
      </c>
      <c r="H131" s="255">
        <f>AVERAGE(H126:H130)</f>
        <v>2.820524250609243E-2</v>
      </c>
      <c r="I131" s="95" t="s">
        <v>411</v>
      </c>
      <c r="J131" s="94"/>
    </row>
    <row r="132" spans="2:10" x14ac:dyDescent="0.25">
      <c r="B132" s="228" t="s">
        <v>464</v>
      </c>
      <c r="C132" s="102" t="s">
        <v>267</v>
      </c>
      <c r="D132" s="104">
        <v>4.0558810274898605E-2</v>
      </c>
      <c r="E132" s="102" t="s">
        <v>165</v>
      </c>
      <c r="F132" s="102" t="s">
        <v>463</v>
      </c>
      <c r="G132" s="102" t="s">
        <v>256</v>
      </c>
      <c r="H132" s="104">
        <f>D132</f>
        <v>4.0558810274898605E-2</v>
      </c>
      <c r="I132" s="101" t="s">
        <v>411</v>
      </c>
      <c r="J132" s="100"/>
    </row>
    <row r="133" spans="2:10" x14ac:dyDescent="0.25">
      <c r="B133" s="222"/>
      <c r="C133" s="99" t="s">
        <v>267</v>
      </c>
      <c r="D133" s="103">
        <v>1.622352410995944E-2</v>
      </c>
      <c r="E133" s="99" t="s">
        <v>165</v>
      </c>
      <c r="F133" s="99" t="s">
        <v>463</v>
      </c>
      <c r="G133" s="99" t="s">
        <v>256</v>
      </c>
      <c r="H133" s="103">
        <f>D133</f>
        <v>1.622352410995944E-2</v>
      </c>
      <c r="I133" s="98" t="s">
        <v>411</v>
      </c>
      <c r="J133" s="97"/>
    </row>
    <row r="134" spans="2:10" x14ac:dyDescent="0.25">
      <c r="B134" s="222"/>
      <c r="C134" s="99" t="s">
        <v>267</v>
      </c>
      <c r="D134" s="103">
        <v>4.1178343949044592E-2</v>
      </c>
      <c r="E134" s="99" t="s">
        <v>165</v>
      </c>
      <c r="F134" s="1" t="s">
        <v>462</v>
      </c>
      <c r="G134" s="1" t="s">
        <v>332</v>
      </c>
      <c r="H134" s="123">
        <f>D134</f>
        <v>4.1178343949044592E-2</v>
      </c>
      <c r="I134" s="98" t="s">
        <v>411</v>
      </c>
      <c r="J134" s="97"/>
    </row>
    <row r="135" spans="2:10" x14ac:dyDescent="0.25">
      <c r="B135" s="222"/>
      <c r="C135" s="99" t="s">
        <v>267</v>
      </c>
      <c r="D135" s="215">
        <v>6.1146496815286631E-3</v>
      </c>
      <c r="E135" s="99" t="s">
        <v>165</v>
      </c>
      <c r="F135" s="1" t="s">
        <v>461</v>
      </c>
      <c r="G135" s="1" t="s">
        <v>332</v>
      </c>
      <c r="H135" s="211">
        <f>D135</f>
        <v>6.1146496815286631E-3</v>
      </c>
      <c r="I135" s="98" t="s">
        <v>411</v>
      </c>
      <c r="J135" s="97"/>
    </row>
    <row r="136" spans="2:10" ht="16.5" thickBot="1" x14ac:dyDescent="0.3">
      <c r="B136" s="222"/>
      <c r="C136" s="99" t="s">
        <v>267</v>
      </c>
      <c r="D136" s="103">
        <v>0.12821656050955416</v>
      </c>
      <c r="E136" s="99" t="s">
        <v>165</v>
      </c>
      <c r="F136" s="1" t="s">
        <v>460</v>
      </c>
      <c r="G136" s="1" t="s">
        <v>332</v>
      </c>
      <c r="H136" s="123">
        <f>D136</f>
        <v>0.12821656050955416</v>
      </c>
      <c r="I136" s="98" t="s">
        <v>411</v>
      </c>
      <c r="J136" s="97"/>
    </row>
    <row r="137" spans="2:10" ht="16.5" thickBot="1" x14ac:dyDescent="0.3">
      <c r="B137" s="229"/>
      <c r="C137" s="96"/>
      <c r="D137" s="214"/>
      <c r="E137" s="96"/>
      <c r="F137" s="96"/>
      <c r="G137" s="112" t="s">
        <v>66</v>
      </c>
      <c r="H137" s="255">
        <f>AVERAGE(H132:H136)</f>
        <v>4.6458377704997091E-2</v>
      </c>
      <c r="I137" s="98" t="s">
        <v>411</v>
      </c>
      <c r="J137" s="97"/>
    </row>
    <row r="138" spans="2:10" x14ac:dyDescent="0.25">
      <c r="B138" s="228" t="s">
        <v>252</v>
      </c>
      <c r="C138" s="102" t="s">
        <v>338</v>
      </c>
      <c r="D138" s="104">
        <v>1.622352410995944E-2</v>
      </c>
      <c r="E138" s="102" t="s">
        <v>165</v>
      </c>
      <c r="F138" s="102" t="s">
        <v>463</v>
      </c>
      <c r="G138" s="102" t="s">
        <v>256</v>
      </c>
      <c r="H138" s="104">
        <f>D138</f>
        <v>1.622352410995944E-2</v>
      </c>
      <c r="I138" s="101" t="s">
        <v>411</v>
      </c>
      <c r="J138" s="100"/>
    </row>
    <row r="139" spans="2:10" x14ac:dyDescent="0.25">
      <c r="B139" s="222"/>
      <c r="C139" s="99" t="s">
        <v>338</v>
      </c>
      <c r="D139" s="103">
        <v>1.216764308246958E-2</v>
      </c>
      <c r="E139" s="99" t="s">
        <v>165</v>
      </c>
      <c r="F139" s="99" t="s">
        <v>463</v>
      </c>
      <c r="G139" s="99" t="s">
        <v>256</v>
      </c>
      <c r="H139" s="103">
        <f>D139</f>
        <v>1.216764308246958E-2</v>
      </c>
      <c r="I139" s="98" t="s">
        <v>411</v>
      </c>
      <c r="J139" s="97"/>
    </row>
    <row r="140" spans="2:10" x14ac:dyDescent="0.25">
      <c r="B140" s="222"/>
      <c r="C140" s="99" t="s">
        <v>338</v>
      </c>
      <c r="D140" s="215">
        <v>3.3757961783439493E-3</v>
      </c>
      <c r="E140" s="99" t="s">
        <v>165</v>
      </c>
      <c r="F140" s="1" t="s">
        <v>462</v>
      </c>
      <c r="G140" s="1" t="s">
        <v>332</v>
      </c>
      <c r="H140" s="211">
        <f>D140</f>
        <v>3.3757961783439493E-3</v>
      </c>
      <c r="I140" s="98" t="s">
        <v>411</v>
      </c>
      <c r="J140" s="97"/>
    </row>
    <row r="141" spans="2:10" x14ac:dyDescent="0.25">
      <c r="B141" s="222"/>
      <c r="C141" s="99" t="s">
        <v>338</v>
      </c>
      <c r="D141" s="215">
        <v>9.5541401273885362E-4</v>
      </c>
      <c r="E141" s="99" t="s">
        <v>165</v>
      </c>
      <c r="F141" s="1" t="s">
        <v>461</v>
      </c>
      <c r="G141" s="1" t="s">
        <v>332</v>
      </c>
      <c r="H141" s="211">
        <f>D141</f>
        <v>9.5541401273885362E-4</v>
      </c>
      <c r="I141" s="98" t="s">
        <v>411</v>
      </c>
      <c r="J141" s="97"/>
    </row>
    <row r="142" spans="2:10" ht="16.5" thickBot="1" x14ac:dyDescent="0.3">
      <c r="B142" s="222"/>
      <c r="C142" s="99" t="s">
        <v>338</v>
      </c>
      <c r="D142" s="215">
        <v>9.5859872611464975E-3</v>
      </c>
      <c r="E142" s="99" t="s">
        <v>165</v>
      </c>
      <c r="F142" s="1" t="s">
        <v>460</v>
      </c>
      <c r="G142" s="1" t="s">
        <v>332</v>
      </c>
      <c r="H142" s="211">
        <f>D142</f>
        <v>9.5859872611464975E-3</v>
      </c>
      <c r="I142" s="98" t="s">
        <v>411</v>
      </c>
      <c r="J142" s="97"/>
    </row>
    <row r="143" spans="2:10" ht="16.5" thickBot="1" x14ac:dyDescent="0.3">
      <c r="B143" s="229"/>
      <c r="C143" s="96"/>
      <c r="D143" s="214"/>
      <c r="E143" s="96"/>
      <c r="F143" s="96"/>
      <c r="G143" s="112" t="s">
        <v>66</v>
      </c>
      <c r="H143" s="220">
        <f>AVERAGE(H138:H142)</f>
        <v>8.4616729289316642E-3</v>
      </c>
      <c r="I143" s="95" t="s">
        <v>411</v>
      </c>
      <c r="J143" s="94"/>
    </row>
    <row r="144" spans="2:10" x14ac:dyDescent="0.25">
      <c r="B144" s="228" t="s">
        <v>253</v>
      </c>
      <c r="C144" s="102" t="s">
        <v>269</v>
      </c>
      <c r="D144" s="213">
        <v>6.7598017124831009E-4</v>
      </c>
      <c r="E144" s="102" t="s">
        <v>165</v>
      </c>
      <c r="F144" s="102" t="s">
        <v>463</v>
      </c>
      <c r="G144" s="102" t="s">
        <v>256</v>
      </c>
      <c r="H144" s="213">
        <f>D144</f>
        <v>6.7598017124831009E-4</v>
      </c>
      <c r="I144" s="101" t="s">
        <v>411</v>
      </c>
      <c r="J144" s="100"/>
    </row>
    <row r="145" spans="2:10" x14ac:dyDescent="0.25">
      <c r="B145" s="222"/>
      <c r="C145" s="99" t="s">
        <v>269</v>
      </c>
      <c r="D145" s="215">
        <v>2.7039206849932405E-4</v>
      </c>
      <c r="E145" s="99" t="s">
        <v>165</v>
      </c>
      <c r="F145" s="99" t="s">
        <v>463</v>
      </c>
      <c r="G145" s="99" t="s">
        <v>256</v>
      </c>
      <c r="H145" s="215">
        <f>D145</f>
        <v>2.7039206849932405E-4</v>
      </c>
      <c r="I145" s="98" t="s">
        <v>411</v>
      </c>
      <c r="J145" s="97"/>
    </row>
    <row r="146" spans="2:10" x14ac:dyDescent="0.25">
      <c r="B146" s="222"/>
      <c r="C146" s="99" t="s">
        <v>269</v>
      </c>
      <c r="D146" s="215">
        <v>2.1974522292993634E-4</v>
      </c>
      <c r="E146" s="99" t="s">
        <v>165</v>
      </c>
      <c r="F146" s="1" t="s">
        <v>462</v>
      </c>
      <c r="G146" s="1" t="s">
        <v>332</v>
      </c>
      <c r="H146" s="211">
        <f>D146</f>
        <v>2.1974522292993634E-4</v>
      </c>
      <c r="I146" s="98" t="s">
        <v>411</v>
      </c>
      <c r="J146" s="97"/>
    </row>
    <row r="147" spans="2:10" x14ac:dyDescent="0.25">
      <c r="B147" s="222"/>
      <c r="C147" s="99" t="s">
        <v>269</v>
      </c>
      <c r="D147" s="215">
        <v>4.4585987261146499E-5</v>
      </c>
      <c r="E147" s="99" t="s">
        <v>165</v>
      </c>
      <c r="F147" s="1" t="s">
        <v>461</v>
      </c>
      <c r="G147" s="1" t="s">
        <v>332</v>
      </c>
      <c r="H147" s="211">
        <f>D147</f>
        <v>4.4585987261146499E-5</v>
      </c>
      <c r="I147" s="98" t="s">
        <v>411</v>
      </c>
      <c r="J147" s="97"/>
    </row>
    <row r="148" spans="2:10" ht="16.5" thickBot="1" x14ac:dyDescent="0.3">
      <c r="B148" s="222"/>
      <c r="C148" s="99" t="s">
        <v>269</v>
      </c>
      <c r="D148" s="215">
        <v>4.1401273885350323E-4</v>
      </c>
      <c r="E148" s="99" t="s">
        <v>165</v>
      </c>
      <c r="F148" s="1" t="s">
        <v>460</v>
      </c>
      <c r="G148" s="1" t="s">
        <v>332</v>
      </c>
      <c r="H148" s="211">
        <f>D148</f>
        <v>4.1401273885350323E-4</v>
      </c>
      <c r="I148" s="98" t="s">
        <v>411</v>
      </c>
      <c r="J148" s="97"/>
    </row>
    <row r="149" spans="2:10" ht="16.5" thickBot="1" x14ac:dyDescent="0.3">
      <c r="B149" s="229"/>
      <c r="C149" s="96"/>
      <c r="D149" s="214"/>
      <c r="E149" s="96"/>
      <c r="F149" s="96"/>
      <c r="G149" s="112" t="s">
        <v>66</v>
      </c>
      <c r="H149" s="220">
        <f>AVERAGE(H144:H148)</f>
        <v>3.2494323775844402E-4</v>
      </c>
      <c r="I149" s="95" t="s">
        <v>411</v>
      </c>
      <c r="J149" s="94"/>
    </row>
    <row r="150" spans="2:10" x14ac:dyDescent="0.25">
      <c r="B150" s="228" t="s">
        <v>254</v>
      </c>
      <c r="C150" s="102" t="s">
        <v>268</v>
      </c>
      <c r="D150" s="213">
        <v>1.013970256872465E-3</v>
      </c>
      <c r="E150" s="102" t="s">
        <v>165</v>
      </c>
      <c r="F150" s="102" t="s">
        <v>463</v>
      </c>
      <c r="G150" s="102" t="s">
        <v>256</v>
      </c>
      <c r="H150" s="213">
        <f>D150</f>
        <v>1.013970256872465E-3</v>
      </c>
      <c r="I150" s="101" t="s">
        <v>411</v>
      </c>
      <c r="J150" s="100"/>
    </row>
    <row r="151" spans="2:10" x14ac:dyDescent="0.25">
      <c r="B151" s="222"/>
      <c r="C151" s="99" t="s">
        <v>268</v>
      </c>
      <c r="D151" s="215">
        <v>2.7039206849932405E-4</v>
      </c>
      <c r="E151" s="99" t="s">
        <v>165</v>
      </c>
      <c r="F151" s="99" t="s">
        <v>463</v>
      </c>
      <c r="G151" s="99" t="s">
        <v>256</v>
      </c>
      <c r="H151" s="215">
        <f>D151</f>
        <v>2.7039206849932405E-4</v>
      </c>
      <c r="I151" s="98" t="s">
        <v>411</v>
      </c>
      <c r="J151" s="97"/>
    </row>
    <row r="152" spans="2:10" x14ac:dyDescent="0.25">
      <c r="B152" s="222"/>
      <c r="C152" s="99" t="s">
        <v>268</v>
      </c>
      <c r="D152" s="215">
        <v>4.5859872611464975E-4</v>
      </c>
      <c r="E152" s="99" t="s">
        <v>165</v>
      </c>
      <c r="F152" s="1" t="s">
        <v>462</v>
      </c>
      <c r="G152" s="1" t="s">
        <v>332</v>
      </c>
      <c r="H152" s="211">
        <f>D152</f>
        <v>4.5859872611464975E-4</v>
      </c>
      <c r="I152" s="98" t="s">
        <v>411</v>
      </c>
      <c r="J152" s="97"/>
    </row>
    <row r="153" spans="2:10" x14ac:dyDescent="0.25">
      <c r="B153" s="222"/>
      <c r="C153" s="99" t="s">
        <v>268</v>
      </c>
      <c r="D153" s="215">
        <v>2.4522292993630577E-4</v>
      </c>
      <c r="E153" s="99" t="s">
        <v>165</v>
      </c>
      <c r="F153" s="1" t="s">
        <v>461</v>
      </c>
      <c r="G153" s="1" t="s">
        <v>332</v>
      </c>
      <c r="H153" s="211">
        <f>D153</f>
        <v>2.4522292993630577E-4</v>
      </c>
      <c r="I153" s="98" t="s">
        <v>411</v>
      </c>
      <c r="J153" s="97"/>
    </row>
    <row r="154" spans="2:10" ht="16.5" thickBot="1" x14ac:dyDescent="0.3">
      <c r="B154" s="222"/>
      <c r="C154" s="99" t="s">
        <v>268</v>
      </c>
      <c r="D154" s="215">
        <v>9.0127388535031852E-4</v>
      </c>
      <c r="E154" s="99" t="s">
        <v>165</v>
      </c>
      <c r="F154" s="1" t="s">
        <v>460</v>
      </c>
      <c r="G154" s="1" t="s">
        <v>332</v>
      </c>
      <c r="H154" s="211">
        <f>D154</f>
        <v>9.0127388535031852E-4</v>
      </c>
      <c r="I154" s="98" t="s">
        <v>411</v>
      </c>
      <c r="J154" s="97"/>
    </row>
    <row r="155" spans="2:10" ht="16.5" thickBot="1" x14ac:dyDescent="0.3">
      <c r="B155" s="229"/>
      <c r="C155" s="96"/>
      <c r="D155" s="96"/>
      <c r="E155" s="96"/>
      <c r="F155" s="96"/>
      <c r="G155" s="112" t="s">
        <v>66</v>
      </c>
      <c r="H155" s="220">
        <f>AVERAGE(H150:H154)</f>
        <v>5.7789157335461257E-4</v>
      </c>
      <c r="I155" s="95" t="s">
        <v>411</v>
      </c>
      <c r="J155" s="94"/>
    </row>
    <row r="156" spans="2:10" x14ac:dyDescent="0.25">
      <c r="B156" s="6"/>
      <c r="C156" s="91"/>
      <c r="D156" s="91"/>
      <c r="E156" s="91"/>
      <c r="F156" s="91"/>
      <c r="G156" s="91"/>
      <c r="H156" s="90"/>
      <c r="I156" s="6"/>
      <c r="J156" s="6"/>
    </row>
    <row r="157" spans="2:10" x14ac:dyDescent="0.25">
      <c r="B157" s="75"/>
      <c r="C157" s="75"/>
      <c r="D157" s="75"/>
      <c r="E157" s="75"/>
      <c r="F157" s="6"/>
      <c r="G157" s="6"/>
      <c r="H157" s="85"/>
      <c r="I157" s="6"/>
      <c r="J157" s="6"/>
    </row>
    <row r="158" spans="2:10" x14ac:dyDescent="0.25">
      <c r="B158" s="93" t="s">
        <v>727</v>
      </c>
      <c r="C158" s="75"/>
      <c r="D158" s="75"/>
      <c r="E158" s="75"/>
      <c r="F158" s="6"/>
      <c r="G158" s="6"/>
      <c r="H158" s="85"/>
      <c r="I158" s="6"/>
      <c r="J158" s="6"/>
    </row>
    <row r="159" spans="2:10" x14ac:dyDescent="0.25">
      <c r="B159" s="2" t="s">
        <v>398</v>
      </c>
      <c r="C159" s="2" t="s">
        <v>390</v>
      </c>
      <c r="D159" s="2" t="s">
        <v>5</v>
      </c>
      <c r="E159" s="2" t="s">
        <v>16</v>
      </c>
      <c r="F159" s="6"/>
      <c r="G159" s="6"/>
      <c r="H159" s="85"/>
      <c r="I159" s="6"/>
      <c r="J159" s="6"/>
    </row>
    <row r="160" spans="2:10" x14ac:dyDescent="0.25">
      <c r="B160" s="76" t="s">
        <v>459</v>
      </c>
      <c r="C160" s="80">
        <v>1.05</v>
      </c>
      <c r="D160" s="76" t="s">
        <v>119</v>
      </c>
      <c r="E160" s="76"/>
      <c r="F160" s="6"/>
      <c r="G160" s="6"/>
      <c r="H160" s="85"/>
      <c r="I160" s="6"/>
      <c r="J160" s="6"/>
    </row>
    <row r="161" spans="2:10" x14ac:dyDescent="0.25">
      <c r="B161" s="76" t="s">
        <v>459</v>
      </c>
      <c r="C161" s="202">
        <f>C160*1000</f>
        <v>1050</v>
      </c>
      <c r="D161" s="76" t="s">
        <v>175</v>
      </c>
      <c r="E161" s="76"/>
      <c r="F161" s="6"/>
      <c r="G161" s="6"/>
      <c r="H161" s="85"/>
      <c r="I161" s="6"/>
      <c r="J161" s="6"/>
    </row>
    <row r="162" spans="2:10" x14ac:dyDescent="0.25">
      <c r="B162" s="76" t="s">
        <v>459</v>
      </c>
      <c r="C162" s="80">
        <v>1.02</v>
      </c>
      <c r="D162" s="76" t="s">
        <v>119</v>
      </c>
      <c r="E162" s="76" t="s">
        <v>241</v>
      </c>
      <c r="F162" s="6"/>
      <c r="G162" s="6"/>
      <c r="H162" s="85"/>
      <c r="I162" s="6"/>
      <c r="J162" s="6"/>
    </row>
    <row r="163" spans="2:10" x14ac:dyDescent="0.25">
      <c r="B163" s="76" t="s">
        <v>459</v>
      </c>
      <c r="C163" s="202">
        <f>1020</f>
        <v>1020</v>
      </c>
      <c r="D163" s="76" t="s">
        <v>175</v>
      </c>
      <c r="E163" s="76" t="s">
        <v>241</v>
      </c>
      <c r="F163" s="6"/>
      <c r="G163" s="6"/>
      <c r="H163" s="84"/>
      <c r="I163" s="6"/>
      <c r="J163" s="6"/>
    </row>
    <row r="164" spans="2:10" x14ac:dyDescent="0.25">
      <c r="B164" s="87" t="s">
        <v>66</v>
      </c>
      <c r="C164" s="203">
        <f>AVERAGE(C161,C163)</f>
        <v>1035</v>
      </c>
      <c r="D164" s="92" t="s">
        <v>175</v>
      </c>
      <c r="E164" s="75"/>
      <c r="F164" s="6"/>
      <c r="G164" s="6"/>
      <c r="H164" s="82"/>
      <c r="I164" s="6"/>
      <c r="J164" s="6"/>
    </row>
    <row r="165" spans="2:10" x14ac:dyDescent="0.25">
      <c r="B165" s="56" t="s">
        <v>458</v>
      </c>
      <c r="C165" s="88"/>
      <c r="D165" s="75"/>
      <c r="E165" s="75"/>
      <c r="F165" s="91"/>
      <c r="G165" s="91"/>
      <c r="H165" s="90"/>
      <c r="I165" s="6"/>
      <c r="J165" s="6"/>
    </row>
    <row r="166" spans="2:10" x14ac:dyDescent="0.25">
      <c r="B166" s="89"/>
      <c r="C166" s="88"/>
      <c r="D166" s="75"/>
      <c r="E166" s="75"/>
      <c r="F166" s="6"/>
      <c r="G166" s="6"/>
      <c r="H166" s="82"/>
      <c r="I166" s="6"/>
      <c r="J166" s="6"/>
    </row>
    <row r="167" spans="2:10" x14ac:dyDescent="0.25">
      <c r="B167" s="74" t="s">
        <v>728</v>
      </c>
      <c r="C167" s="75"/>
      <c r="D167" s="75"/>
      <c r="E167" s="75"/>
      <c r="F167" s="6"/>
      <c r="G167" s="6"/>
      <c r="H167" s="82"/>
      <c r="I167" s="6"/>
      <c r="J167" s="6"/>
    </row>
    <row r="168" spans="2:10" x14ac:dyDescent="0.25">
      <c r="B168" s="2" t="s">
        <v>398</v>
      </c>
      <c r="C168" s="2" t="s">
        <v>390</v>
      </c>
      <c r="D168" s="2" t="s">
        <v>5</v>
      </c>
      <c r="E168" s="2" t="s">
        <v>15</v>
      </c>
      <c r="F168" s="6"/>
      <c r="G168" s="6"/>
      <c r="H168" s="82"/>
      <c r="I168" s="6"/>
      <c r="J168" s="6"/>
    </row>
    <row r="169" spans="2:10" x14ac:dyDescent="0.25">
      <c r="B169" s="76" t="s">
        <v>340</v>
      </c>
      <c r="C169" s="200">
        <v>9.1999999999999998E-2</v>
      </c>
      <c r="D169" s="76" t="s">
        <v>432</v>
      </c>
      <c r="E169" s="76" t="s">
        <v>164</v>
      </c>
      <c r="F169" s="6"/>
      <c r="G169" s="6"/>
      <c r="H169" s="82"/>
      <c r="I169" s="6"/>
      <c r="J169" s="6"/>
    </row>
    <row r="170" spans="2:10" x14ac:dyDescent="0.25">
      <c r="B170" s="76" t="s">
        <v>340</v>
      </c>
      <c r="C170" s="200">
        <v>6.2300000000000001E-2</v>
      </c>
      <c r="D170" s="76" t="s">
        <v>432</v>
      </c>
      <c r="E170" s="76" t="s">
        <v>143</v>
      </c>
      <c r="F170" s="6"/>
      <c r="G170" s="6"/>
      <c r="H170" s="82"/>
      <c r="I170" s="6"/>
      <c r="J170" s="6"/>
    </row>
    <row r="171" spans="2:10" x14ac:dyDescent="0.25">
      <c r="B171" s="76" t="s">
        <v>340</v>
      </c>
      <c r="C171" s="200">
        <v>6.7599999999999993E-2</v>
      </c>
      <c r="D171" s="76" t="s">
        <v>432</v>
      </c>
      <c r="E171" s="76" t="s">
        <v>143</v>
      </c>
      <c r="F171" s="6"/>
      <c r="G171" s="6"/>
      <c r="H171" s="82"/>
      <c r="I171" s="6"/>
      <c r="J171" s="6"/>
    </row>
    <row r="172" spans="2:10" x14ac:dyDescent="0.25">
      <c r="B172" s="87" t="s">
        <v>66</v>
      </c>
      <c r="C172" s="201">
        <f>AVERAGE(C169:C171)</f>
        <v>7.3966666666666667E-2</v>
      </c>
      <c r="D172" s="75"/>
      <c r="E172" s="75"/>
      <c r="F172" s="6"/>
      <c r="G172" s="6"/>
      <c r="H172" s="85"/>
      <c r="I172" s="6"/>
      <c r="J172" s="6"/>
    </row>
    <row r="173" spans="2:10" x14ac:dyDescent="0.25">
      <c r="B173" s="86"/>
      <c r="C173" s="6"/>
      <c r="D173" s="83"/>
      <c r="E173" s="6"/>
      <c r="F173" s="6"/>
      <c r="G173" s="6"/>
      <c r="H173" s="85"/>
      <c r="I173" s="6"/>
      <c r="J173" s="6"/>
    </row>
    <row r="174" spans="2:10" x14ac:dyDescent="0.25">
      <c r="B174" s="86"/>
      <c r="C174" s="6"/>
      <c r="D174" s="83"/>
      <c r="E174" s="6"/>
      <c r="F174" s="6"/>
      <c r="G174" s="6"/>
      <c r="H174" s="85"/>
      <c r="I174" s="6"/>
      <c r="J174" s="6"/>
    </row>
    <row r="175" spans="2:10" hidden="1" x14ac:dyDescent="0.25">
      <c r="B175" s="86"/>
      <c r="C175" s="6"/>
      <c r="D175" s="83"/>
      <c r="E175" s="6"/>
      <c r="F175" s="6"/>
      <c r="G175" s="6"/>
      <c r="H175" s="85"/>
      <c r="I175" s="6"/>
      <c r="J175" s="6"/>
    </row>
    <row r="176" spans="2:10" hidden="1" x14ac:dyDescent="0.25">
      <c r="B176" s="86"/>
      <c r="C176" s="6"/>
      <c r="D176" s="83"/>
      <c r="E176" s="6"/>
      <c r="F176" s="6"/>
      <c r="G176" s="6"/>
      <c r="H176" s="85"/>
      <c r="I176" s="6"/>
      <c r="J176" s="6"/>
    </row>
    <row r="177" spans="2:10" hidden="1" x14ac:dyDescent="0.25">
      <c r="B177" s="86"/>
      <c r="C177" s="6"/>
      <c r="D177" s="83"/>
      <c r="E177" s="6"/>
      <c r="F177" s="6"/>
      <c r="G177" s="6"/>
      <c r="H177" s="85"/>
      <c r="I177" s="6"/>
      <c r="J177" s="6"/>
    </row>
    <row r="178" spans="2:10" hidden="1" x14ac:dyDescent="0.25">
      <c r="B178" s="86"/>
      <c r="C178" s="6"/>
      <c r="D178" s="83"/>
      <c r="E178" s="6"/>
      <c r="F178" s="6"/>
      <c r="G178" s="6"/>
      <c r="H178" s="85"/>
      <c r="I178" s="6"/>
      <c r="J178" s="6"/>
    </row>
    <row r="179" spans="2:10" hidden="1" x14ac:dyDescent="0.25">
      <c r="B179" s="86"/>
      <c r="C179" s="6"/>
      <c r="D179" s="83"/>
      <c r="E179" s="6"/>
      <c r="F179" s="199"/>
      <c r="G179" s="6"/>
      <c r="H179" s="85"/>
      <c r="I179" s="6"/>
      <c r="J179" s="6"/>
    </row>
    <row r="180" spans="2:10" hidden="1" x14ac:dyDescent="0.25">
      <c r="B180" s="6"/>
      <c r="C180" s="6"/>
      <c r="D180" s="83"/>
      <c r="E180" s="6"/>
      <c r="F180" s="6"/>
      <c r="G180" s="6"/>
      <c r="H180" s="82"/>
      <c r="I180" s="6"/>
      <c r="J180" s="6"/>
    </row>
    <row r="181" spans="2:10" hidden="1" x14ac:dyDescent="0.25">
      <c r="B181" s="6"/>
      <c r="C181" s="6"/>
      <c r="D181" s="6"/>
      <c r="E181" s="6"/>
      <c r="F181" s="6"/>
      <c r="G181" s="6"/>
      <c r="H181" s="82"/>
      <c r="I181" s="6"/>
      <c r="J181" s="6"/>
    </row>
    <row r="182" spans="2:10" hidden="1" x14ac:dyDescent="0.25">
      <c r="B182" s="6"/>
      <c r="C182" s="6"/>
      <c r="D182" s="6"/>
      <c r="E182" s="6"/>
      <c r="F182" s="6"/>
      <c r="G182" s="6"/>
      <c r="H182" s="82"/>
      <c r="I182" s="6"/>
      <c r="J182" s="6"/>
    </row>
    <row r="183" spans="2:10" hidden="1" x14ac:dyDescent="0.25">
      <c r="B183" s="6"/>
      <c r="C183" s="6"/>
      <c r="D183" s="6"/>
      <c r="E183" s="6"/>
      <c r="F183" s="6"/>
      <c r="G183" s="6"/>
      <c r="H183" s="85"/>
      <c r="I183" s="6"/>
      <c r="J183" s="6"/>
    </row>
    <row r="184" spans="2:10" hidden="1" x14ac:dyDescent="0.25">
      <c r="B184" s="6"/>
      <c r="C184" s="6"/>
      <c r="D184" s="83"/>
      <c r="E184" s="6"/>
      <c r="F184" s="6"/>
      <c r="G184" s="6"/>
      <c r="H184" s="84"/>
      <c r="I184" s="6"/>
      <c r="J184" s="6"/>
    </row>
    <row r="185" spans="2:10" hidden="1" x14ac:dyDescent="0.25">
      <c r="B185" s="6"/>
      <c r="C185" s="6"/>
      <c r="D185" s="6"/>
      <c r="E185" s="6"/>
      <c r="F185" s="6"/>
      <c r="G185" s="6"/>
      <c r="H185" s="84"/>
      <c r="I185" s="6"/>
      <c r="J185" s="6"/>
    </row>
    <row r="186" spans="2:10" hidden="1" x14ac:dyDescent="0.25">
      <c r="B186" s="6"/>
      <c r="C186" s="6"/>
      <c r="D186" s="6"/>
      <c r="E186" s="6"/>
      <c r="F186" s="6"/>
      <c r="G186" s="6"/>
      <c r="H186" s="84"/>
      <c r="I186" s="6"/>
      <c r="J186" s="6"/>
    </row>
    <row r="187" spans="2:10" hidden="1" x14ac:dyDescent="0.25">
      <c r="B187" s="6"/>
      <c r="C187" s="6"/>
      <c r="D187" s="6"/>
      <c r="E187" s="6"/>
      <c r="F187" s="6"/>
      <c r="G187" s="6"/>
      <c r="H187" s="84"/>
      <c r="I187" s="6"/>
      <c r="J187" s="6"/>
    </row>
    <row r="188" spans="2:10" hidden="1" x14ac:dyDescent="0.25">
      <c r="B188" s="6"/>
      <c r="C188" s="6"/>
      <c r="D188" s="6"/>
      <c r="E188" s="6"/>
      <c r="F188" s="6"/>
      <c r="G188" s="6"/>
      <c r="H188" s="84"/>
      <c r="I188" s="6"/>
      <c r="J188" s="6"/>
    </row>
    <row r="189" spans="2:10" hidden="1" x14ac:dyDescent="0.25">
      <c r="B189" s="6"/>
      <c r="C189" s="6"/>
      <c r="D189" s="6"/>
      <c r="E189" s="6"/>
      <c r="F189" s="6"/>
      <c r="G189" s="6"/>
      <c r="H189" s="84"/>
      <c r="I189" s="6"/>
      <c r="J189" s="6"/>
    </row>
    <row r="190" spans="2:10" hidden="1" x14ac:dyDescent="0.25">
      <c r="B190" s="6"/>
      <c r="C190" s="6"/>
      <c r="D190" s="6"/>
      <c r="E190" s="6"/>
      <c r="F190" s="6"/>
      <c r="G190" s="6"/>
      <c r="H190" s="82"/>
      <c r="I190" s="6"/>
      <c r="J190" s="6"/>
    </row>
    <row r="191" spans="2:10" hidden="1" x14ac:dyDescent="0.25">
      <c r="B191" s="6"/>
      <c r="C191" s="6"/>
      <c r="D191" s="83"/>
      <c r="E191" s="6"/>
      <c r="F191" s="6"/>
      <c r="G191" s="6"/>
      <c r="H191" s="82"/>
      <c r="I191" s="6"/>
      <c r="J191" s="6"/>
    </row>
    <row r="192" spans="2:10" hidden="1" x14ac:dyDescent="0.25">
      <c r="B192" s="6"/>
      <c r="C192" s="6"/>
      <c r="D192" s="6"/>
      <c r="E192" s="6"/>
      <c r="F192" s="6"/>
      <c r="G192" s="6"/>
      <c r="H192" s="82"/>
      <c r="I192" s="6"/>
      <c r="J192" s="6"/>
    </row>
    <row r="193" spans="2:10" hidden="1" x14ac:dyDescent="0.25">
      <c r="B193" s="6"/>
      <c r="C193" s="6"/>
      <c r="D193" s="6"/>
      <c r="E193" s="6"/>
      <c r="F193" s="6"/>
      <c r="G193" s="6"/>
      <c r="H193" s="82"/>
      <c r="I193" s="6"/>
      <c r="J193" s="6"/>
    </row>
    <row r="194" spans="2:10" hidden="1" x14ac:dyDescent="0.25">
      <c r="B194" s="6"/>
      <c r="C194" s="6"/>
      <c r="D194" s="6"/>
      <c r="E194" s="6"/>
      <c r="F194" s="6"/>
      <c r="G194" s="6"/>
      <c r="H194" s="82"/>
      <c r="I194" s="6"/>
      <c r="J194" s="6"/>
    </row>
    <row r="195" spans="2:10" hidden="1" x14ac:dyDescent="0.25">
      <c r="B195" s="6"/>
      <c r="C195" s="6"/>
      <c r="D195" s="6"/>
      <c r="E195" s="6"/>
      <c r="F195" s="6"/>
      <c r="G195" s="6"/>
      <c r="H195" s="82"/>
      <c r="I195" s="6"/>
      <c r="J195" s="6"/>
    </row>
    <row r="196" spans="2:10" hidden="1" x14ac:dyDescent="0.25">
      <c r="B196" s="6"/>
      <c r="C196" s="6"/>
      <c r="D196" s="6"/>
      <c r="E196" s="6"/>
      <c r="F196" s="6"/>
      <c r="G196" s="6"/>
      <c r="H196" s="82"/>
      <c r="I196" s="6"/>
      <c r="J196" s="6"/>
    </row>
    <row r="197" spans="2:10" hidden="1" x14ac:dyDescent="0.25">
      <c r="B197" s="6"/>
      <c r="C197" s="6"/>
      <c r="D197" s="6"/>
      <c r="E197" s="6"/>
      <c r="F197" s="6"/>
      <c r="G197" s="6"/>
      <c r="H197" s="82"/>
      <c r="I197" s="6"/>
      <c r="J197" s="6"/>
    </row>
    <row r="198" spans="2:10" hidden="1" x14ac:dyDescent="0.25"/>
    <row r="199" spans="2:10" x14ac:dyDescent="0.25"/>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261"/>
  <sheetViews>
    <sheetView zoomScale="60" zoomScaleNormal="60" workbookViewId="0">
      <selection activeCell="J130" sqref="J130:J135"/>
    </sheetView>
  </sheetViews>
  <sheetFormatPr defaultColWidth="0" defaultRowHeight="15.75" zeroHeight="1" outlineLevelRow="1" x14ac:dyDescent="0.25"/>
  <cols>
    <col min="1" max="1" width="9.140625" style="6" customWidth="1"/>
    <col min="2" max="2" width="37.85546875" style="4" customWidth="1"/>
    <col min="3" max="3" width="22.42578125" style="4" customWidth="1"/>
    <col min="4" max="4" width="27.140625" style="4" customWidth="1"/>
    <col min="5" max="5" width="27.85546875" style="4" bestFit="1" customWidth="1"/>
    <col min="6" max="6" width="19.85546875" style="4" customWidth="1"/>
    <col min="7" max="7" width="23" style="4" bestFit="1" customWidth="1"/>
    <col min="8" max="8" width="32.85546875" style="4" customWidth="1"/>
    <col min="9" max="9" width="36.42578125" style="4" bestFit="1" customWidth="1"/>
    <col min="10" max="10" width="29.28515625" style="4" bestFit="1" customWidth="1"/>
    <col min="11" max="11" width="29.85546875" style="4" bestFit="1" customWidth="1"/>
    <col min="12" max="12" width="24.7109375" style="4" bestFit="1" customWidth="1"/>
    <col min="13" max="13" width="31.7109375" style="4" customWidth="1"/>
    <col min="14" max="14" width="31.5703125" style="4" bestFit="1" customWidth="1"/>
    <col min="15" max="15" width="29.7109375" style="4" bestFit="1" customWidth="1"/>
    <col min="16" max="16" width="21.5703125" style="4" bestFit="1" customWidth="1"/>
    <col min="17" max="17" width="9.140625" style="6" hidden="1" customWidth="1"/>
    <col min="18" max="16384" width="0" style="6" hidden="1"/>
  </cols>
  <sheetData>
    <row r="1" spans="1:13" x14ac:dyDescent="0.25">
      <c r="A1" s="5" t="s">
        <v>391</v>
      </c>
    </row>
    <row r="2" spans="1:13" x14ac:dyDescent="0.25"/>
    <row r="3" spans="1:13" x14ac:dyDescent="0.25"/>
    <row r="4" spans="1:13" x14ac:dyDescent="0.25"/>
    <row r="5" spans="1:13" x14ac:dyDescent="0.25"/>
    <row r="6" spans="1:13" x14ac:dyDescent="0.25">
      <c r="B6" s="26" t="s">
        <v>11</v>
      </c>
      <c r="C6" s="9"/>
      <c r="D6" s="9"/>
      <c r="E6" s="9"/>
      <c r="F6" s="9"/>
      <c r="G6" s="9"/>
      <c r="H6" s="9"/>
      <c r="I6" s="9"/>
      <c r="J6" s="9"/>
      <c r="K6" s="9"/>
      <c r="L6" s="9"/>
      <c r="M6" s="9"/>
    </row>
    <row r="7" spans="1:13" x14ac:dyDescent="0.25">
      <c r="B7" s="8" t="s">
        <v>12</v>
      </c>
      <c r="C7" s="4" t="s">
        <v>726</v>
      </c>
    </row>
    <row r="8" spans="1:13" x14ac:dyDescent="0.25">
      <c r="B8" s="8" t="s">
        <v>12</v>
      </c>
      <c r="C8" s="4" t="s">
        <v>105</v>
      </c>
    </row>
    <row r="9" spans="1:13" x14ac:dyDescent="0.25">
      <c r="B9" s="8" t="s">
        <v>12</v>
      </c>
      <c r="C9" s="4" t="s">
        <v>214</v>
      </c>
    </row>
    <row r="10" spans="1:13" x14ac:dyDescent="0.25">
      <c r="B10" s="8" t="s">
        <v>12</v>
      </c>
      <c r="C10" s="4" t="s">
        <v>216</v>
      </c>
    </row>
    <row r="11" spans="1:13" x14ac:dyDescent="0.25">
      <c r="B11" s="8" t="s">
        <v>12</v>
      </c>
      <c r="C11" s="4" t="s">
        <v>274</v>
      </c>
    </row>
    <row r="12" spans="1:13" x14ac:dyDescent="0.25">
      <c r="B12" s="8" t="s">
        <v>12</v>
      </c>
      <c r="C12" s="4" t="s">
        <v>279</v>
      </c>
    </row>
    <row r="13" spans="1:13" x14ac:dyDescent="0.25">
      <c r="B13" s="8" t="s">
        <v>12</v>
      </c>
      <c r="C13" s="4" t="s">
        <v>289</v>
      </c>
    </row>
    <row r="14" spans="1:13" x14ac:dyDescent="0.25">
      <c r="B14" s="8" t="s">
        <v>12</v>
      </c>
      <c r="C14" s="4" t="s">
        <v>290</v>
      </c>
    </row>
    <row r="15" spans="1:13" x14ac:dyDescent="0.25"/>
    <row r="16" spans="1:13" x14ac:dyDescent="0.25">
      <c r="B16" s="74" t="s">
        <v>433</v>
      </c>
      <c r="C16" s="75"/>
      <c r="D16" s="75"/>
      <c r="E16" s="75"/>
    </row>
    <row r="17" spans="1:16" x14ac:dyDescent="0.25">
      <c r="B17" s="2" t="s">
        <v>398</v>
      </c>
      <c r="C17" s="2" t="s">
        <v>390</v>
      </c>
      <c r="D17" s="2" t="s">
        <v>5</v>
      </c>
      <c r="E17" s="2" t="s">
        <v>15</v>
      </c>
    </row>
    <row r="18" spans="1:16" x14ac:dyDescent="0.25">
      <c r="B18" s="77" t="s">
        <v>340</v>
      </c>
      <c r="C18" s="80">
        <f>E68</f>
        <v>9.1999999999999998E-2</v>
      </c>
      <c r="D18" s="76" t="s">
        <v>432</v>
      </c>
      <c r="E18" s="76" t="s">
        <v>164</v>
      </c>
    </row>
    <row r="19" spans="1:16" x14ac:dyDescent="0.25">
      <c r="B19" s="77" t="s">
        <v>340</v>
      </c>
      <c r="C19" s="80">
        <f>J84</f>
        <v>6.2300000000000001E-2</v>
      </c>
      <c r="D19" s="76" t="s">
        <v>432</v>
      </c>
      <c r="E19" s="76" t="s">
        <v>143</v>
      </c>
    </row>
    <row r="20" spans="1:16" x14ac:dyDescent="0.25">
      <c r="B20" s="77" t="s">
        <v>340</v>
      </c>
      <c r="C20" s="80">
        <f>F103</f>
        <v>6.7599999999999993E-2</v>
      </c>
      <c r="D20" s="76" t="s">
        <v>432</v>
      </c>
      <c r="E20" s="76" t="s">
        <v>143</v>
      </c>
    </row>
    <row r="21" spans="1:16" x14ac:dyDescent="0.25">
      <c r="B21" s="78" t="s">
        <v>66</v>
      </c>
      <c r="C21" s="79">
        <v>7.3966666666666667E-2</v>
      </c>
      <c r="D21" s="75"/>
      <c r="E21" s="75"/>
    </row>
    <row r="22" spans="1:16" x14ac:dyDescent="0.25">
      <c r="B22" s="259" t="s">
        <v>434</v>
      </c>
      <c r="C22" s="259"/>
      <c r="D22" s="259"/>
      <c r="E22" s="259"/>
    </row>
    <row r="23" spans="1:16" x14ac:dyDescent="0.25">
      <c r="B23" s="259"/>
      <c r="C23" s="259"/>
      <c r="D23" s="259"/>
      <c r="E23" s="259"/>
    </row>
    <row r="24" spans="1:16" x14ac:dyDescent="0.25"/>
    <row r="25" spans="1:16" x14ac:dyDescent="0.25"/>
    <row r="26" spans="1:16" x14ac:dyDescent="0.25"/>
    <row r="27" spans="1:16" x14ac:dyDescent="0.25"/>
    <row r="28" spans="1:16" x14ac:dyDescent="0.25">
      <c r="A28" s="9"/>
      <c r="B28" s="9"/>
      <c r="C28" s="9"/>
      <c r="D28" s="9"/>
      <c r="E28" s="9"/>
      <c r="F28" s="9"/>
      <c r="G28" s="9"/>
      <c r="H28" s="9"/>
      <c r="I28" s="9"/>
      <c r="J28" s="9"/>
      <c r="K28" s="9"/>
      <c r="L28" s="9"/>
      <c r="M28" s="9"/>
      <c r="N28" s="9"/>
      <c r="O28" s="9"/>
      <c r="P28" s="9"/>
    </row>
    <row r="29" spans="1:16" x14ac:dyDescent="0.25">
      <c r="A29" s="13" t="s">
        <v>427</v>
      </c>
      <c r="B29" s="6"/>
      <c r="C29" s="6"/>
      <c r="D29" s="6"/>
      <c r="E29" s="6"/>
      <c r="F29" s="6"/>
      <c r="G29" s="6"/>
      <c r="H29" s="6"/>
      <c r="I29" s="6"/>
      <c r="J29" s="6"/>
      <c r="K29" s="6"/>
      <c r="L29" s="6"/>
      <c r="M29" s="6"/>
      <c r="N29" s="6"/>
      <c r="O29" s="6"/>
      <c r="P29" s="6"/>
    </row>
    <row r="30" spans="1:16" x14ac:dyDescent="0.25">
      <c r="B30" s="6"/>
      <c r="C30" s="6"/>
      <c r="D30" s="6"/>
      <c r="E30" s="6"/>
      <c r="F30" s="6"/>
      <c r="G30" s="6"/>
      <c r="H30" s="6"/>
      <c r="I30" s="6"/>
      <c r="J30" s="6"/>
      <c r="K30" s="6"/>
      <c r="L30" s="6"/>
      <c r="M30" s="6"/>
      <c r="N30" s="6"/>
      <c r="O30" s="6"/>
      <c r="P30" s="6"/>
    </row>
    <row r="31" spans="1:16" x14ac:dyDescent="0.25">
      <c r="B31" s="5" t="s">
        <v>396</v>
      </c>
      <c r="E31" s="10" t="s">
        <v>156</v>
      </c>
      <c r="J31" s="6"/>
      <c r="K31" s="6"/>
      <c r="L31" s="6"/>
    </row>
    <row r="32" spans="1:16" s="13" customFormat="1" x14ac:dyDescent="0.25">
      <c r="B32" s="2" t="s">
        <v>13</v>
      </c>
      <c r="C32" s="2" t="s">
        <v>4</v>
      </c>
      <c r="D32" s="28" t="s">
        <v>14</v>
      </c>
      <c r="E32" s="2" t="s">
        <v>435</v>
      </c>
      <c r="F32" s="2" t="s">
        <v>436</v>
      </c>
      <c r="G32" s="2" t="s">
        <v>165</v>
      </c>
      <c r="H32" s="5"/>
      <c r="I32" s="2" t="s">
        <v>398</v>
      </c>
      <c r="J32" s="2" t="s">
        <v>390</v>
      </c>
      <c r="K32" s="2" t="s">
        <v>14</v>
      </c>
      <c r="M32" s="5"/>
      <c r="N32" s="5"/>
      <c r="O32" s="5"/>
      <c r="P32" s="5"/>
    </row>
    <row r="33" spans="1:16" x14ac:dyDescent="0.25">
      <c r="B33" s="61" t="s">
        <v>17</v>
      </c>
      <c r="C33" s="12">
        <v>7.8</v>
      </c>
      <c r="D33" s="18" t="s">
        <v>23</v>
      </c>
      <c r="E33" s="7"/>
      <c r="F33" s="7"/>
      <c r="G33" s="7"/>
      <c r="I33" s="61" t="s">
        <v>118</v>
      </c>
      <c r="J33" s="21">
        <v>1.05</v>
      </c>
      <c r="K33" s="12" t="s">
        <v>119</v>
      </c>
      <c r="L33" s="6"/>
    </row>
    <row r="34" spans="1:16" x14ac:dyDescent="0.25">
      <c r="B34" s="61" t="s">
        <v>18</v>
      </c>
      <c r="C34" s="12">
        <v>86.2</v>
      </c>
      <c r="D34" s="18" t="s">
        <v>23</v>
      </c>
      <c r="E34" s="16">
        <f>C34/100</f>
        <v>0.86199999999999999</v>
      </c>
      <c r="F34" s="232"/>
      <c r="G34" s="21">
        <f t="shared" ref="G34:G39" si="0">E34/$E$35</f>
        <v>6.2463768115942022</v>
      </c>
      <c r="J34" s="6"/>
      <c r="K34" s="6"/>
      <c r="L34" s="6"/>
    </row>
    <row r="35" spans="1:16" x14ac:dyDescent="0.25">
      <c r="B35" s="61" t="s">
        <v>19</v>
      </c>
      <c r="C35" s="12">
        <v>13.8</v>
      </c>
      <c r="D35" s="18" t="s">
        <v>23</v>
      </c>
      <c r="E35" s="16">
        <f>C35/100</f>
        <v>0.13800000000000001</v>
      </c>
      <c r="F35" s="232"/>
      <c r="G35" s="21">
        <f t="shared" si="0"/>
        <v>1</v>
      </c>
      <c r="J35" s="6"/>
      <c r="K35" s="6"/>
      <c r="L35" s="6"/>
    </row>
    <row r="36" spans="1:16" x14ac:dyDescent="0.25">
      <c r="B36" s="61" t="s">
        <v>161</v>
      </c>
      <c r="C36" s="12"/>
      <c r="D36" s="18"/>
      <c r="E36" s="16">
        <f>E35-SUM(E37:E39)</f>
        <v>0.12870000000000001</v>
      </c>
      <c r="F36" s="232"/>
      <c r="G36" s="16">
        <f t="shared" si="0"/>
        <v>0.93260869565217386</v>
      </c>
      <c r="J36" s="6"/>
      <c r="K36" s="6"/>
      <c r="L36" s="6"/>
    </row>
    <row r="37" spans="1:16" x14ac:dyDescent="0.25">
      <c r="B37" s="61" t="s">
        <v>20</v>
      </c>
      <c r="C37" s="12">
        <v>0.37</v>
      </c>
      <c r="D37" s="18" t="s">
        <v>23</v>
      </c>
      <c r="E37" s="233">
        <f>C37/100</f>
        <v>3.7000000000000002E-3</v>
      </c>
      <c r="F37" s="233">
        <f>E37*1000000</f>
        <v>3700</v>
      </c>
      <c r="G37" s="16">
        <f t="shared" si="0"/>
        <v>2.681159420289855E-2</v>
      </c>
      <c r="J37" s="6"/>
      <c r="K37" s="6"/>
      <c r="L37" s="6"/>
    </row>
    <row r="38" spans="1:16" x14ac:dyDescent="0.25">
      <c r="B38" s="61" t="s">
        <v>21</v>
      </c>
      <c r="C38" s="12">
        <v>0.35</v>
      </c>
      <c r="D38" s="18" t="s">
        <v>23</v>
      </c>
      <c r="E38" s="233">
        <f>C38/100</f>
        <v>3.4999999999999996E-3</v>
      </c>
      <c r="F38" s="233">
        <f t="shared" ref="F38:F39" si="1">E38*1000000</f>
        <v>3499.9999999999995</v>
      </c>
      <c r="G38" s="16">
        <f t="shared" si="0"/>
        <v>2.5362318840579705E-2</v>
      </c>
      <c r="J38" s="6"/>
      <c r="K38" s="6"/>
      <c r="L38" s="6"/>
    </row>
    <row r="39" spans="1:16" x14ac:dyDescent="0.25">
      <c r="B39" s="61" t="s">
        <v>22</v>
      </c>
      <c r="C39" s="12">
        <v>0.21</v>
      </c>
      <c r="D39" s="18" t="s">
        <v>23</v>
      </c>
      <c r="E39" s="233">
        <f>C39/100</f>
        <v>2.0999999999999999E-3</v>
      </c>
      <c r="F39" s="233">
        <f t="shared" si="1"/>
        <v>2100</v>
      </c>
      <c r="G39" s="16">
        <f t="shared" si="0"/>
        <v>1.5217391304347823E-2</v>
      </c>
      <c r="J39" s="6"/>
      <c r="K39" s="6"/>
      <c r="L39" s="6"/>
    </row>
    <row r="40" spans="1:16" x14ac:dyDescent="0.25">
      <c r="B40" s="27" t="s">
        <v>397</v>
      </c>
    </row>
    <row r="41" spans="1:16" x14ac:dyDescent="0.25">
      <c r="E41" s="6"/>
      <c r="F41" s="6"/>
      <c r="G41" s="6"/>
    </row>
    <row r="42" spans="1:16" x14ac:dyDescent="0.25">
      <c r="E42" s="6"/>
      <c r="F42" s="6"/>
      <c r="G42" s="6"/>
    </row>
    <row r="43" spans="1:16" x14ac:dyDescent="0.25">
      <c r="A43" s="9"/>
      <c r="B43" s="9"/>
      <c r="C43" s="9"/>
      <c r="D43" s="9"/>
      <c r="E43" s="9"/>
      <c r="F43" s="9"/>
      <c r="G43" s="9"/>
      <c r="H43" s="9"/>
      <c r="I43" s="9"/>
      <c r="J43" s="9"/>
      <c r="K43" s="9"/>
      <c r="L43" s="9"/>
      <c r="M43" s="9"/>
      <c r="N43" s="9"/>
      <c r="O43" s="9"/>
      <c r="P43" s="9"/>
    </row>
    <row r="44" spans="1:16" x14ac:dyDescent="0.25">
      <c r="A44" s="13" t="s">
        <v>426</v>
      </c>
      <c r="B44" s="6"/>
      <c r="C44" s="6"/>
      <c r="D44" s="6"/>
      <c r="E44" s="6"/>
      <c r="F44" s="6"/>
      <c r="G44" s="6"/>
      <c r="H44" s="6"/>
      <c r="I44" s="6"/>
      <c r="J44" s="6"/>
      <c r="K44" s="6"/>
      <c r="L44" s="6"/>
      <c r="M44" s="6"/>
      <c r="N44" s="6"/>
      <c r="O44" s="6"/>
      <c r="P44" s="6"/>
    </row>
    <row r="45" spans="1:16" x14ac:dyDescent="0.25">
      <c r="B45" s="6"/>
      <c r="C45" s="6"/>
      <c r="D45" s="6"/>
      <c r="E45" s="6"/>
      <c r="F45" s="6"/>
      <c r="G45" s="6"/>
      <c r="H45" s="6"/>
      <c r="I45" s="6"/>
      <c r="J45" s="6"/>
      <c r="K45" s="6"/>
      <c r="L45" s="6"/>
      <c r="M45" s="6"/>
      <c r="N45" s="6"/>
      <c r="O45" s="6"/>
      <c r="P45" s="6"/>
    </row>
    <row r="46" spans="1:16" x14ac:dyDescent="0.25">
      <c r="B46" s="13" t="s">
        <v>395</v>
      </c>
      <c r="C46" s="6"/>
      <c r="D46" s="6"/>
      <c r="E46" s="6"/>
      <c r="F46" s="6"/>
      <c r="G46" s="6"/>
      <c r="H46" s="6"/>
      <c r="I46" s="13" t="s">
        <v>437</v>
      </c>
      <c r="J46" s="6"/>
      <c r="K46" s="6"/>
      <c r="L46" s="6"/>
      <c r="M46" s="13" t="s">
        <v>387</v>
      </c>
      <c r="N46" s="6"/>
      <c r="O46" s="6"/>
      <c r="P46" s="6"/>
    </row>
    <row r="47" spans="1:16" x14ac:dyDescent="0.25">
      <c r="B47" s="2" t="s">
        <v>13</v>
      </c>
      <c r="C47" s="2" t="s">
        <v>425</v>
      </c>
      <c r="D47" s="2" t="s">
        <v>115</v>
      </c>
      <c r="E47" s="2" t="s">
        <v>114</v>
      </c>
      <c r="F47" s="2" t="s">
        <v>14</v>
      </c>
      <c r="G47" s="2" t="s">
        <v>116</v>
      </c>
      <c r="H47" s="14"/>
      <c r="I47" s="2" t="s">
        <v>120</v>
      </c>
      <c r="J47" s="2" t="s">
        <v>121</v>
      </c>
      <c r="K47" s="2" t="s">
        <v>122</v>
      </c>
      <c r="L47" s="15"/>
      <c r="M47" s="2" t="s">
        <v>120</v>
      </c>
      <c r="N47" s="2" t="s">
        <v>121</v>
      </c>
      <c r="O47" s="2" t="s">
        <v>122</v>
      </c>
    </row>
    <row r="48" spans="1:16" x14ac:dyDescent="0.25">
      <c r="B48" s="77" t="s">
        <v>108</v>
      </c>
      <c r="C48" s="16">
        <v>0.28599999999999998</v>
      </c>
      <c r="D48" s="16">
        <v>2.3E-2</v>
      </c>
      <c r="E48" s="16">
        <v>0.84299999999999997</v>
      </c>
      <c r="F48" s="12" t="s">
        <v>124</v>
      </c>
      <c r="G48" s="12">
        <v>36</v>
      </c>
      <c r="H48" s="15"/>
      <c r="I48" s="233">
        <f t="shared" ref="I48:K52" si="2">(C48/1000000)/$J$33</f>
        <v>2.7238095238095235E-7</v>
      </c>
      <c r="J48" s="233">
        <f t="shared" si="2"/>
        <v>2.1904761904761905E-8</v>
      </c>
      <c r="K48" s="233">
        <f t="shared" si="2"/>
        <v>8.0285714285714285E-7</v>
      </c>
      <c r="L48" s="15"/>
      <c r="M48" s="233">
        <v>3.6824824567050789E-6</v>
      </c>
      <c r="N48" s="233">
        <v>2.9614369407068824E-7</v>
      </c>
      <c r="O48" s="233">
        <v>1.0854310178330006E-5</v>
      </c>
    </row>
    <row r="49" spans="1:16" x14ac:dyDescent="0.25">
      <c r="B49" s="77" t="s">
        <v>109</v>
      </c>
      <c r="C49" s="16">
        <v>2.8000000000000001E-2</v>
      </c>
      <c r="D49" s="233">
        <v>1E-4</v>
      </c>
      <c r="E49" s="16">
        <v>0.105</v>
      </c>
      <c r="F49" s="12" t="s">
        <v>124</v>
      </c>
      <c r="G49" s="12">
        <v>36</v>
      </c>
      <c r="H49" s="15"/>
      <c r="I49" s="233">
        <f t="shared" si="2"/>
        <v>2.6666666666666664E-8</v>
      </c>
      <c r="J49" s="233">
        <f t="shared" si="2"/>
        <v>9.5238095238095232E-11</v>
      </c>
      <c r="K49" s="233">
        <f t="shared" si="2"/>
        <v>9.9999999999999995E-8</v>
      </c>
      <c r="L49" s="15"/>
      <c r="M49" s="233">
        <v>3.6052275799909865E-7</v>
      </c>
      <c r="N49" s="233">
        <v>1.2875812785682096E-9</v>
      </c>
      <c r="O49" s="233">
        <v>1.3519603424966201E-6</v>
      </c>
    </row>
    <row r="50" spans="1:16" x14ac:dyDescent="0.25">
      <c r="B50" s="77" t="s">
        <v>110</v>
      </c>
      <c r="C50" s="16">
        <v>0.187</v>
      </c>
      <c r="D50" s="16">
        <v>1.0200000000000001E-2</v>
      </c>
      <c r="E50" s="16">
        <v>0.68</v>
      </c>
      <c r="F50" s="12" t="s">
        <v>124</v>
      </c>
      <c r="G50" s="12">
        <v>34</v>
      </c>
      <c r="H50" s="15"/>
      <c r="I50" s="233">
        <f t="shared" si="2"/>
        <v>1.7809523809523808E-7</v>
      </c>
      <c r="J50" s="233">
        <f t="shared" si="2"/>
        <v>9.7142857142857138E-9</v>
      </c>
      <c r="K50" s="233">
        <f t="shared" si="2"/>
        <v>6.4761904761904769E-7</v>
      </c>
      <c r="L50" s="15"/>
      <c r="M50" s="233">
        <v>2.4077769909225517E-6</v>
      </c>
      <c r="N50" s="233">
        <v>1.3133329041395738E-7</v>
      </c>
      <c r="O50" s="233">
        <v>8.7555526942638264E-6</v>
      </c>
    </row>
    <row r="51" spans="1:16" x14ac:dyDescent="0.25">
      <c r="B51" s="77" t="s">
        <v>111</v>
      </c>
      <c r="C51" s="16">
        <v>4.9000000000000002E-2</v>
      </c>
      <c r="D51" s="233">
        <v>2.9999999999999997E-4</v>
      </c>
      <c r="E51" s="16">
        <v>0.152</v>
      </c>
      <c r="F51" s="12" t="s">
        <v>124</v>
      </c>
      <c r="G51" s="12">
        <v>35</v>
      </c>
      <c r="H51" s="15"/>
      <c r="I51" s="233">
        <f t="shared" si="2"/>
        <v>4.6666666666666668E-8</v>
      </c>
      <c r="J51" s="233">
        <f t="shared" si="2"/>
        <v>2.8571428571428571E-10</v>
      </c>
      <c r="K51" s="233">
        <f t="shared" si="2"/>
        <v>1.4476190476190474E-7</v>
      </c>
      <c r="L51" s="15"/>
      <c r="M51" s="233">
        <v>6.3091482649842273E-7</v>
      </c>
      <c r="N51" s="233">
        <v>3.8627438357046289E-9</v>
      </c>
      <c r="O51" s="233">
        <v>1.9571235434236785E-6</v>
      </c>
    </row>
    <row r="52" spans="1:16" x14ac:dyDescent="0.25">
      <c r="B52" s="77" t="s">
        <v>112</v>
      </c>
      <c r="C52" s="16">
        <v>0.42399999999999999</v>
      </c>
      <c r="D52" s="233">
        <v>1.6999999999999999E-3</v>
      </c>
      <c r="E52" s="21">
        <v>1.06</v>
      </c>
      <c r="F52" s="12" t="s">
        <v>124</v>
      </c>
      <c r="G52" s="12">
        <v>34</v>
      </c>
      <c r="H52" s="15"/>
      <c r="I52" s="233">
        <f t="shared" si="2"/>
        <v>4.0380952380952377E-7</v>
      </c>
      <c r="J52" s="233">
        <f t="shared" si="2"/>
        <v>1.6190476190476188E-9</v>
      </c>
      <c r="K52" s="233">
        <f t="shared" si="2"/>
        <v>1.0095238095238095E-6</v>
      </c>
      <c r="L52" s="15"/>
      <c r="M52" s="233">
        <v>5.4593446211292085E-6</v>
      </c>
      <c r="N52" s="233">
        <v>2.188888173565956E-8</v>
      </c>
      <c r="O52" s="233">
        <v>1.3648361552823022E-5</v>
      </c>
    </row>
    <row r="53" spans="1:16" x14ac:dyDescent="0.25">
      <c r="M53" s="71"/>
      <c r="N53" s="71"/>
      <c r="O53" s="71"/>
    </row>
    <row r="54" spans="1:16" x14ac:dyDescent="0.25">
      <c r="B54" s="5" t="s">
        <v>394</v>
      </c>
      <c r="I54" s="5" t="s">
        <v>437</v>
      </c>
      <c r="M54" s="72" t="s">
        <v>386</v>
      </c>
      <c r="N54" s="71"/>
      <c r="O54" s="71"/>
    </row>
    <row r="55" spans="1:16" x14ac:dyDescent="0.25">
      <c r="B55" s="2" t="s">
        <v>13</v>
      </c>
      <c r="C55" s="2" t="s">
        <v>425</v>
      </c>
      <c r="D55" s="2" t="s">
        <v>115</v>
      </c>
      <c r="E55" s="2" t="s">
        <v>114</v>
      </c>
      <c r="F55" s="2" t="s">
        <v>14</v>
      </c>
      <c r="G55" s="2" t="s">
        <v>116</v>
      </c>
      <c r="H55" s="14"/>
      <c r="I55" s="2" t="s">
        <v>120</v>
      </c>
      <c r="J55" s="2" t="s">
        <v>121</v>
      </c>
      <c r="K55" s="2" t="s">
        <v>122</v>
      </c>
      <c r="M55" s="73" t="s">
        <v>120</v>
      </c>
      <c r="N55" s="73" t="s">
        <v>121</v>
      </c>
      <c r="O55" s="73" t="s">
        <v>122</v>
      </c>
    </row>
    <row r="56" spans="1:16" x14ac:dyDescent="0.25">
      <c r="B56" s="77" t="s">
        <v>108</v>
      </c>
      <c r="C56" s="16">
        <v>0.46500000000000002</v>
      </c>
      <c r="D56" s="16">
        <v>1.7999999999999999E-2</v>
      </c>
      <c r="E56" s="21">
        <v>3.82</v>
      </c>
      <c r="F56" s="12" t="s">
        <v>124</v>
      </c>
      <c r="G56" s="12">
        <v>10</v>
      </c>
      <c r="H56" s="15"/>
      <c r="I56" s="233">
        <f t="shared" ref="I56:K60" si="3">(C56/1000000)/$J$33</f>
        <v>4.4285714285714286E-7</v>
      </c>
      <c r="J56" s="233">
        <f t="shared" si="3"/>
        <v>1.714285714285714E-8</v>
      </c>
      <c r="K56" s="233">
        <f t="shared" si="3"/>
        <v>3.6380952380952377E-6</v>
      </c>
      <c r="M56" s="233">
        <v>5.9872529453421743E-6</v>
      </c>
      <c r="N56" s="233">
        <v>2.3176463014227768E-7</v>
      </c>
      <c r="O56" s="233">
        <v>4.9185604841305605E-5</v>
      </c>
    </row>
    <row r="57" spans="1:16" x14ac:dyDescent="0.25">
      <c r="B57" s="77" t="s">
        <v>109</v>
      </c>
      <c r="C57" s="16">
        <v>0.68700000000000006</v>
      </c>
      <c r="D57" s="233">
        <v>9.5000000000000005E-5</v>
      </c>
      <c r="E57" s="21">
        <v>7.51</v>
      </c>
      <c r="F57" s="12" t="s">
        <v>124</v>
      </c>
      <c r="G57" s="12">
        <v>12</v>
      </c>
      <c r="H57" s="15"/>
      <c r="I57" s="233">
        <f t="shared" si="3"/>
        <v>6.5428571428571436E-7</v>
      </c>
      <c r="J57" s="233">
        <f t="shared" si="3"/>
        <v>9.0476190476190474E-11</v>
      </c>
      <c r="K57" s="233">
        <f t="shared" si="3"/>
        <v>7.1523809523809521E-6</v>
      </c>
      <c r="M57" s="233">
        <v>8.8456833837636005E-6</v>
      </c>
      <c r="N57" s="233">
        <v>1.2232022146397992E-9</v>
      </c>
      <c r="O57" s="233">
        <v>9.6697354020472537E-5</v>
      </c>
    </row>
    <row r="58" spans="1:16" x14ac:dyDescent="0.25">
      <c r="B58" s="77" t="s">
        <v>110</v>
      </c>
      <c r="C58" s="21">
        <v>2.0470000000000002</v>
      </c>
      <c r="D58" s="233">
        <v>2.5000000000000001E-3</v>
      </c>
      <c r="E58" s="188">
        <v>15.32</v>
      </c>
      <c r="F58" s="12" t="s">
        <v>124</v>
      </c>
      <c r="G58" s="12">
        <v>10</v>
      </c>
      <c r="H58" s="15"/>
      <c r="I58" s="233">
        <f t="shared" si="3"/>
        <v>1.9495238095238094E-6</v>
      </c>
      <c r="J58" s="233">
        <f t="shared" si="3"/>
        <v>2.380952380952381E-9</v>
      </c>
      <c r="K58" s="233">
        <f t="shared" si="3"/>
        <v>1.4590476190476188E-5</v>
      </c>
      <c r="M58" s="233">
        <v>2.635678877229125E-5</v>
      </c>
      <c r="N58" s="233">
        <v>3.2189531964205243E-8</v>
      </c>
      <c r="O58" s="233">
        <v>1.9725745187664968E-4</v>
      </c>
    </row>
    <row r="59" spans="1:16" x14ac:dyDescent="0.25">
      <c r="B59" s="77" t="s">
        <v>111</v>
      </c>
      <c r="C59" s="16">
        <v>0.01</v>
      </c>
      <c r="D59" s="233">
        <v>1.4999999999999999E-4</v>
      </c>
      <c r="E59" s="16">
        <v>3.2000000000000001E-2</v>
      </c>
      <c r="F59" s="12" t="s">
        <v>124</v>
      </c>
      <c r="G59" s="12">
        <v>6</v>
      </c>
      <c r="H59" s="15"/>
      <c r="I59" s="233">
        <f t="shared" si="3"/>
        <v>9.523809523809524E-9</v>
      </c>
      <c r="J59" s="233">
        <f t="shared" si="3"/>
        <v>1.4285714285714285E-10</v>
      </c>
      <c r="K59" s="233">
        <f t="shared" si="3"/>
        <v>3.0476190476190477E-8</v>
      </c>
      <c r="M59" s="233">
        <v>1.2875812785682097E-7</v>
      </c>
      <c r="N59" s="233">
        <v>1.9313719178523145E-9</v>
      </c>
      <c r="O59" s="233">
        <v>4.1202600914182708E-7</v>
      </c>
    </row>
    <row r="60" spans="1:16" x14ac:dyDescent="0.25">
      <c r="B60" s="77" t="s">
        <v>112</v>
      </c>
      <c r="C60" s="16">
        <v>0.99299999999999999</v>
      </c>
      <c r="D60" s="233">
        <v>5.3E-3</v>
      </c>
      <c r="E60" s="21">
        <v>9.5399999999999991</v>
      </c>
      <c r="F60" s="12" t="s">
        <v>124</v>
      </c>
      <c r="G60" s="12">
        <v>12</v>
      </c>
      <c r="H60" s="15"/>
      <c r="I60" s="233">
        <f t="shared" si="3"/>
        <v>9.4571428571428578E-7</v>
      </c>
      <c r="J60" s="233">
        <f t="shared" si="3"/>
        <v>5.0476190476190476E-9</v>
      </c>
      <c r="K60" s="233">
        <f t="shared" si="3"/>
        <v>9.0857142857142844E-6</v>
      </c>
      <c r="M60" s="233">
        <v>1.2785682096182322E-5</v>
      </c>
      <c r="N60" s="233">
        <v>6.8241807764115103E-8</v>
      </c>
      <c r="O60" s="233">
        <v>1.2283525397540718E-4</v>
      </c>
    </row>
    <row r="61" spans="1:16" x14ac:dyDescent="0.25">
      <c r="B61" s="27" t="s">
        <v>401</v>
      </c>
    </row>
    <row r="62" spans="1:16" x14ac:dyDescent="0.25">
      <c r="A62" s="9"/>
      <c r="B62" s="9"/>
      <c r="C62" s="9"/>
      <c r="D62" s="9"/>
      <c r="E62" s="9"/>
      <c r="F62" s="9"/>
      <c r="G62" s="9"/>
      <c r="H62" s="9"/>
      <c r="I62" s="9"/>
      <c r="J62" s="9"/>
      <c r="K62" s="9"/>
      <c r="L62" s="9"/>
      <c r="M62" s="9"/>
      <c r="N62" s="9"/>
      <c r="O62" s="9"/>
      <c r="P62" s="9"/>
    </row>
    <row r="63" spans="1:16" x14ac:dyDescent="0.25">
      <c r="A63" s="13" t="s">
        <v>427</v>
      </c>
      <c r="B63" s="6"/>
      <c r="C63" s="6"/>
      <c r="D63" s="6"/>
      <c r="E63" s="6"/>
      <c r="F63" s="6"/>
      <c r="G63" s="6"/>
      <c r="H63" s="6"/>
      <c r="I63" s="6"/>
      <c r="J63" s="6"/>
      <c r="K63" s="6"/>
      <c r="L63" s="6"/>
      <c r="M63" s="6"/>
      <c r="N63" s="6"/>
      <c r="O63" s="6"/>
      <c r="P63" s="6"/>
    </row>
    <row r="64" spans="1:16" x14ac:dyDescent="0.25">
      <c r="B64" s="6"/>
      <c r="C64" s="6"/>
      <c r="D64" s="6"/>
      <c r="E64" s="6"/>
      <c r="F64" s="6"/>
      <c r="G64" s="6"/>
      <c r="H64" s="6"/>
      <c r="I64" s="6"/>
      <c r="J64" s="6"/>
      <c r="K64" s="6"/>
      <c r="L64" s="6"/>
      <c r="M64" s="6"/>
      <c r="N64" s="6"/>
      <c r="O64" s="6"/>
      <c r="P64" s="6"/>
    </row>
    <row r="65" spans="1:16" x14ac:dyDescent="0.25">
      <c r="B65" s="5" t="s">
        <v>393</v>
      </c>
      <c r="E65" s="10" t="s">
        <v>156</v>
      </c>
      <c r="H65" s="6"/>
      <c r="I65" s="6"/>
      <c r="J65" s="6"/>
      <c r="O65" s="6"/>
      <c r="P65" s="6"/>
    </row>
    <row r="66" spans="1:16" x14ac:dyDescent="0.25">
      <c r="B66" s="2" t="s">
        <v>13</v>
      </c>
      <c r="C66" s="2" t="s">
        <v>113</v>
      </c>
      <c r="D66" s="2" t="s">
        <v>14</v>
      </c>
      <c r="E66" s="2" t="s">
        <v>435</v>
      </c>
      <c r="F66" s="2" t="s">
        <v>436</v>
      </c>
      <c r="G66" s="2" t="s">
        <v>165</v>
      </c>
      <c r="H66" s="6"/>
      <c r="I66" s="6"/>
      <c r="J66" s="6"/>
      <c r="O66" s="6"/>
      <c r="P66" s="6"/>
    </row>
    <row r="67" spans="1:16" x14ac:dyDescent="0.25">
      <c r="B67" s="77" t="s">
        <v>230</v>
      </c>
      <c r="C67" s="232"/>
      <c r="D67" s="12"/>
      <c r="E67" s="232"/>
      <c r="F67" s="234"/>
      <c r="G67" s="188">
        <f>1/E68</f>
        <v>10.869565217391305</v>
      </c>
      <c r="H67" s="6"/>
      <c r="I67" s="6"/>
      <c r="J67" s="6"/>
      <c r="O67" s="6"/>
      <c r="P67" s="6"/>
    </row>
    <row r="68" spans="1:16" x14ac:dyDescent="0.25">
      <c r="B68" s="77" t="s">
        <v>163</v>
      </c>
      <c r="C68" s="21">
        <v>9.1999999999999993</v>
      </c>
      <c r="D68" s="12" t="s">
        <v>162</v>
      </c>
      <c r="E68" s="16">
        <f>C68/100</f>
        <v>9.1999999999999998E-2</v>
      </c>
      <c r="F68" s="235"/>
      <c r="G68" s="21">
        <f t="shared" ref="G68:G75" si="4">E68/$E$68</f>
        <v>1</v>
      </c>
      <c r="H68" s="6"/>
      <c r="I68" s="6"/>
      <c r="J68" s="6"/>
      <c r="O68" s="6"/>
      <c r="P68" s="6"/>
    </row>
    <row r="69" spans="1:16" x14ac:dyDescent="0.25">
      <c r="B69" s="77" t="s">
        <v>18</v>
      </c>
      <c r="C69" s="188">
        <f>100-C68</f>
        <v>90.8</v>
      </c>
      <c r="D69" s="12" t="s">
        <v>162</v>
      </c>
      <c r="E69" s="16">
        <f>C69/100</f>
        <v>0.90799999999999992</v>
      </c>
      <c r="F69" s="234"/>
      <c r="G69" s="21">
        <f t="shared" si="4"/>
        <v>9.8695652173913029</v>
      </c>
      <c r="H69" s="6"/>
      <c r="I69" s="6"/>
      <c r="J69" s="6"/>
      <c r="O69" s="6"/>
      <c r="P69" s="6"/>
    </row>
    <row r="70" spans="1:16" x14ac:dyDescent="0.25">
      <c r="B70" s="77" t="s">
        <v>167</v>
      </c>
      <c r="C70" s="21">
        <v>1.75</v>
      </c>
      <c r="D70" s="12" t="s">
        <v>130</v>
      </c>
      <c r="E70" s="233">
        <f>(C70/100)*E68</f>
        <v>1.6100000000000001E-3</v>
      </c>
      <c r="F70" s="236">
        <f>E70*1000000</f>
        <v>1610</v>
      </c>
      <c r="G70" s="16">
        <f t="shared" si="4"/>
        <v>1.7500000000000002E-2</v>
      </c>
      <c r="H70" s="6"/>
      <c r="I70" s="6"/>
      <c r="J70" s="6"/>
      <c r="O70" s="6"/>
      <c r="P70" s="6"/>
    </row>
    <row r="71" spans="1:16" x14ac:dyDescent="0.25">
      <c r="B71" s="77" t="s">
        <v>166</v>
      </c>
      <c r="C71" s="188">
        <v>63.8</v>
      </c>
      <c r="D71" s="12" t="s">
        <v>130</v>
      </c>
      <c r="E71" s="16">
        <f>(C71/100)*E68</f>
        <v>5.8695999999999998E-2</v>
      </c>
      <c r="F71" s="234"/>
      <c r="G71" s="16">
        <f t="shared" si="4"/>
        <v>0.63800000000000001</v>
      </c>
      <c r="H71" s="6"/>
      <c r="I71" s="6"/>
      <c r="J71" s="6"/>
      <c r="O71" s="6"/>
      <c r="P71" s="6"/>
    </row>
    <row r="72" spans="1:16" x14ac:dyDescent="0.25">
      <c r="B72" s="77" t="s">
        <v>126</v>
      </c>
      <c r="C72" s="21">
        <v>4.2699999999999996</v>
      </c>
      <c r="D72" s="12" t="s">
        <v>130</v>
      </c>
      <c r="E72" s="233">
        <f>(C72/100)*E68</f>
        <v>3.9283999999999994E-3</v>
      </c>
      <c r="F72" s="236">
        <f>E72*1000000</f>
        <v>3928.3999999999996</v>
      </c>
      <c r="G72" s="16">
        <f t="shared" si="4"/>
        <v>4.2699999999999995E-2</v>
      </c>
      <c r="H72" s="6"/>
      <c r="I72" s="6"/>
      <c r="J72" s="6"/>
      <c r="O72" s="6"/>
      <c r="P72" s="6"/>
    </row>
    <row r="73" spans="1:16" x14ac:dyDescent="0.25">
      <c r="B73" s="77" t="s">
        <v>127</v>
      </c>
      <c r="C73" s="188">
        <v>52.9</v>
      </c>
      <c r="D73" s="12" t="s">
        <v>131</v>
      </c>
      <c r="E73" s="233">
        <f>(C73/100)*E72</f>
        <v>2.0781235999999996E-3</v>
      </c>
      <c r="F73" s="236">
        <f t="shared" ref="F73:F75" si="5">E73*1000000</f>
        <v>2078.1235999999994</v>
      </c>
      <c r="G73" s="16">
        <f t="shared" si="4"/>
        <v>2.2588299999999995E-2</v>
      </c>
      <c r="H73" s="6"/>
      <c r="I73" s="6"/>
      <c r="J73" s="6"/>
      <c r="O73" s="6"/>
      <c r="P73" s="6"/>
    </row>
    <row r="74" spans="1:16" x14ac:dyDescent="0.25">
      <c r="B74" s="77" t="s">
        <v>128</v>
      </c>
      <c r="C74" s="16">
        <v>0.66</v>
      </c>
      <c r="D74" s="12" t="s">
        <v>130</v>
      </c>
      <c r="E74" s="233">
        <f>(C74/100)*E68</f>
        <v>6.0720000000000001E-4</v>
      </c>
      <c r="F74" s="237">
        <f t="shared" si="5"/>
        <v>607.20000000000005</v>
      </c>
      <c r="G74" s="233">
        <f t="shared" si="4"/>
        <v>6.6E-3</v>
      </c>
      <c r="H74" s="6"/>
      <c r="I74" s="6"/>
      <c r="J74" s="6"/>
      <c r="O74" s="6"/>
      <c r="P74" s="6"/>
    </row>
    <row r="75" spans="1:16" x14ac:dyDescent="0.25">
      <c r="B75" s="77" t="s">
        <v>129</v>
      </c>
      <c r="C75" s="21">
        <v>4.71</v>
      </c>
      <c r="D75" s="12" t="s">
        <v>130</v>
      </c>
      <c r="E75" s="233">
        <f>(C75/100)*E68</f>
        <v>4.3332000000000006E-3</v>
      </c>
      <c r="F75" s="236">
        <f t="shared" si="5"/>
        <v>4333.2000000000007</v>
      </c>
      <c r="G75" s="16">
        <f t="shared" si="4"/>
        <v>4.710000000000001E-2</v>
      </c>
      <c r="H75" s="6"/>
      <c r="I75" s="6"/>
      <c r="J75" s="6"/>
      <c r="O75" s="6"/>
      <c r="P75" s="6"/>
    </row>
    <row r="76" spans="1:16" x14ac:dyDescent="0.25">
      <c r="B76" s="25" t="s">
        <v>392</v>
      </c>
      <c r="C76" s="23"/>
      <c r="D76" s="23"/>
      <c r="H76" s="6"/>
      <c r="I76" s="6"/>
      <c r="J76" s="37"/>
      <c r="O76" s="6"/>
      <c r="P76" s="6"/>
    </row>
    <row r="77" spans="1:16" x14ac:dyDescent="0.25">
      <c r="A77" s="9"/>
      <c r="B77" s="9"/>
      <c r="C77" s="9"/>
      <c r="D77" s="9"/>
      <c r="E77" s="9"/>
      <c r="F77" s="9"/>
      <c r="G77" s="9"/>
      <c r="H77" s="9"/>
      <c r="I77" s="9"/>
      <c r="J77" s="9"/>
      <c r="K77" s="9"/>
      <c r="L77" s="9"/>
      <c r="M77" s="9"/>
      <c r="N77" s="9"/>
      <c r="O77" s="6"/>
      <c r="P77" s="6"/>
    </row>
    <row r="78" spans="1:16" x14ac:dyDescent="0.25">
      <c r="A78" s="13" t="s">
        <v>427</v>
      </c>
      <c r="B78" s="6"/>
      <c r="C78" s="6"/>
      <c r="D78" s="6"/>
      <c r="E78" s="6"/>
      <c r="F78" s="6"/>
      <c r="G78" s="6"/>
      <c r="H78" s="6"/>
      <c r="I78" s="6"/>
      <c r="J78" s="6"/>
      <c r="K78" s="6"/>
      <c r="L78" s="6"/>
      <c r="M78" s="6"/>
      <c r="N78" s="6"/>
      <c r="O78" s="6"/>
      <c r="P78" s="6"/>
    </row>
    <row r="79" spans="1:16" x14ac:dyDescent="0.25">
      <c r="B79" s="6"/>
      <c r="C79" s="6"/>
      <c r="D79" s="6"/>
      <c r="E79" s="6"/>
      <c r="F79" s="6"/>
      <c r="G79" s="6"/>
      <c r="H79" s="6"/>
      <c r="I79" s="6"/>
      <c r="J79" s="6"/>
      <c r="K79" s="6"/>
      <c r="L79" s="6"/>
      <c r="M79" s="6"/>
      <c r="N79" s="6"/>
      <c r="O79" s="6"/>
      <c r="P79" s="6"/>
    </row>
    <row r="80" spans="1:16" x14ac:dyDescent="0.25">
      <c r="B80" s="5" t="s">
        <v>136</v>
      </c>
      <c r="C80" s="4" t="s">
        <v>439</v>
      </c>
      <c r="K80" s="10" t="s">
        <v>156</v>
      </c>
      <c r="N80" s="5" t="s">
        <v>168</v>
      </c>
    </row>
    <row r="81" spans="1:16" x14ac:dyDescent="0.25">
      <c r="B81" s="2" t="s">
        <v>13</v>
      </c>
      <c r="C81" s="2" t="s">
        <v>4</v>
      </c>
      <c r="D81" s="2" t="s">
        <v>14</v>
      </c>
      <c r="E81" s="29"/>
      <c r="I81" s="2" t="s">
        <v>13</v>
      </c>
      <c r="J81" s="2" t="s">
        <v>435</v>
      </c>
      <c r="K81" s="2" t="s">
        <v>16</v>
      </c>
      <c r="L81" s="2" t="s">
        <v>165</v>
      </c>
    </row>
    <row r="82" spans="1:16" x14ac:dyDescent="0.25">
      <c r="B82" s="77" t="s">
        <v>17</v>
      </c>
      <c r="C82" s="21">
        <v>7.84</v>
      </c>
      <c r="D82" s="12" t="s">
        <v>103</v>
      </c>
      <c r="E82" s="13"/>
      <c r="I82" s="77" t="s">
        <v>445</v>
      </c>
      <c r="J82" s="238"/>
      <c r="K82" s="12"/>
      <c r="L82" s="188">
        <f>1/J84</f>
        <v>16.051364365971107</v>
      </c>
    </row>
    <row r="83" spans="1:16" x14ac:dyDescent="0.25">
      <c r="B83" s="77" t="s">
        <v>18</v>
      </c>
      <c r="C83" s="188">
        <f>100-C84</f>
        <v>93.77</v>
      </c>
      <c r="D83" s="12" t="s">
        <v>162</v>
      </c>
      <c r="E83" s="6"/>
      <c r="I83" s="77" t="s">
        <v>18</v>
      </c>
      <c r="J83" s="16">
        <f>(100-6.23)/100</f>
        <v>0.93769999999999998</v>
      </c>
      <c r="K83" s="12"/>
      <c r="L83" s="188">
        <f t="shared" ref="L83:L91" si="6">J83/$J$84</f>
        <v>15.051364365971107</v>
      </c>
    </row>
    <row r="84" spans="1:16" x14ac:dyDescent="0.25">
      <c r="B84" s="77" t="s">
        <v>19</v>
      </c>
      <c r="C84" s="21">
        <v>6.23</v>
      </c>
      <c r="D84" s="12" t="s">
        <v>162</v>
      </c>
      <c r="E84" s="6"/>
      <c r="I84" s="77" t="s">
        <v>19</v>
      </c>
      <c r="J84" s="16">
        <f>6.23/100</f>
        <v>6.2300000000000001E-2</v>
      </c>
      <c r="K84" s="12"/>
      <c r="L84" s="21">
        <f t="shared" si="6"/>
        <v>1</v>
      </c>
    </row>
    <row r="85" spans="1:16" x14ac:dyDescent="0.25">
      <c r="B85" s="77" t="s">
        <v>139</v>
      </c>
      <c r="C85" s="16">
        <v>0.28999999999999998</v>
      </c>
      <c r="D85" s="12" t="s">
        <v>162</v>
      </c>
      <c r="E85" s="6"/>
      <c r="F85" s="2" t="s">
        <v>13</v>
      </c>
      <c r="G85" s="2" t="s">
        <v>173</v>
      </c>
      <c r="I85" s="77" t="s">
        <v>139</v>
      </c>
      <c r="J85" s="233">
        <f>0.29/100</f>
        <v>2.8999999999999998E-3</v>
      </c>
      <c r="K85" s="12"/>
      <c r="L85" s="16">
        <f t="shared" si="6"/>
        <v>4.6548956661316206E-2</v>
      </c>
    </row>
    <row r="86" spans="1:16" x14ac:dyDescent="0.25">
      <c r="B86" s="77" t="s">
        <v>141</v>
      </c>
      <c r="C86" s="16">
        <v>0.03</v>
      </c>
      <c r="D86" s="12" t="s">
        <v>162</v>
      </c>
      <c r="E86" s="6"/>
      <c r="F86" s="77" t="s">
        <v>139</v>
      </c>
      <c r="G86" s="43">
        <f>C85/$C$85</f>
        <v>1</v>
      </c>
      <c r="H86" s="6"/>
      <c r="I86" s="77" t="s">
        <v>141</v>
      </c>
      <c r="J86" s="233">
        <f>0.03/100*(62/14)</f>
        <v>1.3285714285714285E-3</v>
      </c>
      <c r="K86" s="12" t="s">
        <v>441</v>
      </c>
      <c r="L86" s="16">
        <f t="shared" si="6"/>
        <v>2.1325384086218757E-2</v>
      </c>
    </row>
    <row r="87" spans="1:16" outlineLevel="1" x14ac:dyDescent="0.25">
      <c r="B87" s="77" t="s">
        <v>127</v>
      </c>
      <c r="C87" s="16">
        <v>0.13</v>
      </c>
      <c r="D87" s="12" t="s">
        <v>162</v>
      </c>
      <c r="E87" s="6"/>
      <c r="F87" s="77" t="s">
        <v>141</v>
      </c>
      <c r="G87" s="43">
        <f>C86/$C$85</f>
        <v>0.10344827586206896</v>
      </c>
      <c r="H87" s="6"/>
      <c r="I87" s="77" t="s">
        <v>127</v>
      </c>
      <c r="J87" s="233">
        <f>0.13/100*(18/14)</f>
        <v>1.6714285714285715E-3</v>
      </c>
      <c r="K87" s="12" t="s">
        <v>442</v>
      </c>
      <c r="L87" s="16">
        <f t="shared" si="6"/>
        <v>2.6828709011694568E-2</v>
      </c>
    </row>
    <row r="88" spans="1:16" outlineLevel="1" x14ac:dyDescent="0.25">
      <c r="B88" s="77" t="s">
        <v>138</v>
      </c>
      <c r="C88" s="16">
        <v>0.108</v>
      </c>
      <c r="D88" s="12" t="s">
        <v>162</v>
      </c>
      <c r="E88" s="6"/>
      <c r="F88" s="77" t="s">
        <v>127</v>
      </c>
      <c r="G88" s="43">
        <f>C87/$C$85</f>
        <v>0.44827586206896558</v>
      </c>
      <c r="H88" s="6"/>
      <c r="I88" s="77" t="s">
        <v>138</v>
      </c>
      <c r="J88" s="233">
        <f>0.108/100*((2*30.97)/((2*30.97)+(5*15.999)))</f>
        <v>4.7130869764328741E-4</v>
      </c>
      <c r="K88" s="12" t="s">
        <v>443</v>
      </c>
      <c r="L88" s="233">
        <f t="shared" si="6"/>
        <v>7.5651476347237141E-3</v>
      </c>
    </row>
    <row r="89" spans="1:16" x14ac:dyDescent="0.25">
      <c r="B89" s="77" t="s">
        <v>140</v>
      </c>
      <c r="C89" s="16">
        <v>1.2E-2</v>
      </c>
      <c r="D89" s="12" t="s">
        <v>169</v>
      </c>
      <c r="E89" s="6"/>
      <c r="F89" s="77" t="s">
        <v>424</v>
      </c>
      <c r="G89" s="66">
        <f>SUM(G87:G88)</f>
        <v>0.55172413793103459</v>
      </c>
      <c r="I89" s="77" t="s">
        <v>140</v>
      </c>
      <c r="J89" s="233">
        <f>(0.012/100)*J84</f>
        <v>7.4760000000000001E-6</v>
      </c>
      <c r="K89" s="12"/>
      <c r="L89" s="233">
        <f t="shared" si="6"/>
        <v>1.2E-4</v>
      </c>
    </row>
    <row r="90" spans="1:16" x14ac:dyDescent="0.25">
      <c r="B90" s="77" t="s">
        <v>137</v>
      </c>
      <c r="C90" s="188">
        <v>40.29</v>
      </c>
      <c r="D90" s="12" t="s">
        <v>169</v>
      </c>
      <c r="E90" s="6"/>
      <c r="I90" s="77" t="s">
        <v>137</v>
      </c>
      <c r="J90" s="16">
        <f>(0.4029*J84)</f>
        <v>2.5100669999999999E-2</v>
      </c>
      <c r="K90" s="12"/>
      <c r="L90" s="16">
        <f t="shared" si="6"/>
        <v>0.40289999999999998</v>
      </c>
    </row>
    <row r="91" spans="1:16" x14ac:dyDescent="0.25">
      <c r="B91" s="77" t="s">
        <v>142</v>
      </c>
      <c r="C91" s="16">
        <v>0.42</v>
      </c>
      <c r="D91" s="12" t="s">
        <v>162</v>
      </c>
      <c r="E91" s="6"/>
      <c r="I91" s="77" t="s">
        <v>142</v>
      </c>
      <c r="J91" s="233">
        <f>(0.42/100)*((2*39.0983)/((2*39.0983)+(15.999)))</f>
        <v>3.4866354691726578E-3</v>
      </c>
      <c r="K91" s="12" t="s">
        <v>444</v>
      </c>
      <c r="L91" s="16">
        <f t="shared" si="6"/>
        <v>5.5965256327008953E-2</v>
      </c>
    </row>
    <row r="92" spans="1:16" x14ac:dyDescent="0.25">
      <c r="B92" s="57" t="s">
        <v>407</v>
      </c>
      <c r="C92" s="6"/>
      <c r="D92" s="6"/>
      <c r="E92" s="6"/>
    </row>
    <row r="93" spans="1:16" x14ac:dyDescent="0.25">
      <c r="B93" s="13" t="s">
        <v>440</v>
      </c>
      <c r="C93" s="6"/>
      <c r="D93" s="6"/>
      <c r="E93" s="6"/>
      <c r="F93" s="6"/>
      <c r="G93" s="6"/>
      <c r="H93" s="6"/>
      <c r="I93" s="6"/>
      <c r="J93" s="6"/>
      <c r="K93" s="6"/>
      <c r="L93" s="6"/>
      <c r="M93" s="6"/>
      <c r="N93" s="6"/>
      <c r="O93" s="6"/>
      <c r="P93" s="6"/>
    </row>
    <row r="94" spans="1:16" x14ac:dyDescent="0.25">
      <c r="B94" s="6"/>
      <c r="C94" s="6"/>
      <c r="D94" s="6"/>
      <c r="E94" s="6"/>
      <c r="F94" s="6"/>
      <c r="G94" s="6"/>
      <c r="H94" s="6"/>
      <c r="I94" s="6"/>
      <c r="J94" s="6"/>
      <c r="K94" s="6"/>
      <c r="L94" s="6"/>
      <c r="M94" s="6"/>
      <c r="N94" s="6"/>
      <c r="O94" s="6"/>
      <c r="P94" s="6"/>
    </row>
    <row r="95" spans="1:16" x14ac:dyDescent="0.25">
      <c r="A95" s="9"/>
      <c r="B95" s="9"/>
      <c r="C95" s="9"/>
      <c r="D95" s="9"/>
      <c r="E95" s="9"/>
      <c r="F95" s="9"/>
      <c r="G95" s="9"/>
      <c r="H95" s="9"/>
      <c r="I95" s="9"/>
      <c r="J95" s="9"/>
      <c r="K95" s="9"/>
      <c r="L95" s="6"/>
      <c r="M95" s="6"/>
      <c r="N95" s="6"/>
      <c r="O95" s="6"/>
      <c r="P95" s="6"/>
    </row>
    <row r="96" spans="1:16" x14ac:dyDescent="0.25">
      <c r="A96" s="13" t="s">
        <v>427</v>
      </c>
      <c r="B96" s="6"/>
      <c r="C96" s="6"/>
      <c r="D96" s="6"/>
      <c r="E96" s="6"/>
      <c r="F96" s="6"/>
      <c r="G96" s="6"/>
      <c r="H96" s="6"/>
      <c r="I96" s="6"/>
      <c r="J96" s="6"/>
      <c r="K96" s="68"/>
      <c r="L96" s="6"/>
      <c r="M96" s="6"/>
      <c r="N96" s="6"/>
      <c r="O96" s="6"/>
      <c r="P96" s="6"/>
    </row>
    <row r="97" spans="2:16" x14ac:dyDescent="0.25">
      <c r="B97" s="6"/>
      <c r="C97" s="6"/>
      <c r="D97" s="6"/>
      <c r="E97" s="6"/>
      <c r="F97" s="6"/>
      <c r="G97" s="6"/>
      <c r="H97" s="6"/>
      <c r="I97" s="6"/>
      <c r="J97" s="6"/>
      <c r="K97" s="69"/>
      <c r="L97" s="6"/>
      <c r="M97" s="6"/>
      <c r="N97" s="6"/>
      <c r="O97" s="6"/>
      <c r="P97" s="6"/>
    </row>
    <row r="98" spans="2:16" x14ac:dyDescent="0.25">
      <c r="B98" s="13" t="s">
        <v>408</v>
      </c>
      <c r="C98" s="6"/>
      <c r="D98" s="6"/>
      <c r="E98" s="6"/>
      <c r="F98" s="6"/>
      <c r="G98" s="6"/>
      <c r="H98" s="6"/>
      <c r="I98" s="6"/>
      <c r="J98" s="6"/>
      <c r="K98" s="69"/>
      <c r="L98" s="6"/>
      <c r="M98" s="6"/>
      <c r="N98" s="6"/>
      <c r="O98" s="6"/>
      <c r="P98" s="6"/>
    </row>
    <row r="99" spans="2:16" x14ac:dyDescent="0.25">
      <c r="B99" s="2" t="s">
        <v>13</v>
      </c>
      <c r="C99" s="2" t="s">
        <v>4</v>
      </c>
      <c r="D99" s="2" t="s">
        <v>14</v>
      </c>
      <c r="E99" s="2" t="s">
        <v>16</v>
      </c>
      <c r="F99" s="2" t="s">
        <v>147</v>
      </c>
      <c r="G99" s="2" t="s">
        <v>5</v>
      </c>
      <c r="H99" s="2" t="s">
        <v>165</v>
      </c>
      <c r="K99" s="69"/>
      <c r="L99" s="6"/>
      <c r="M99" s="6"/>
      <c r="N99" s="6"/>
      <c r="O99" s="6"/>
      <c r="P99" s="6"/>
    </row>
    <row r="100" spans="2:16" x14ac:dyDescent="0.25">
      <c r="B100" s="77" t="s">
        <v>410</v>
      </c>
      <c r="C100" s="50"/>
      <c r="D100" s="50"/>
      <c r="E100" s="50"/>
      <c r="F100" s="50"/>
      <c r="G100" s="7"/>
      <c r="H100" s="188">
        <f>1/F103</f>
        <v>14.792899408284025</v>
      </c>
      <c r="K100" s="69"/>
    </row>
    <row r="101" spans="2:16" x14ac:dyDescent="0.25">
      <c r="B101" s="77" t="s">
        <v>17</v>
      </c>
      <c r="C101" s="21">
        <v>6.76</v>
      </c>
      <c r="D101" s="12" t="s">
        <v>103</v>
      </c>
      <c r="E101" s="7"/>
      <c r="F101" s="7"/>
      <c r="G101" s="7"/>
      <c r="H101" s="65"/>
      <c r="K101" s="69"/>
    </row>
    <row r="102" spans="2:16" x14ac:dyDescent="0.25">
      <c r="B102" s="77" t="s">
        <v>18</v>
      </c>
      <c r="C102" s="188">
        <f>100-6.76</f>
        <v>93.24</v>
      </c>
      <c r="D102" s="12" t="s">
        <v>162</v>
      </c>
      <c r="E102" s="12" t="s">
        <v>156</v>
      </c>
      <c r="F102" s="16">
        <f>C102/100</f>
        <v>0.9323999999999999</v>
      </c>
      <c r="G102" s="12" t="s">
        <v>411</v>
      </c>
      <c r="H102" s="188">
        <f t="shared" ref="H102:H110" si="7">F102/$F$103</f>
        <v>13.792899408284024</v>
      </c>
      <c r="K102" s="69"/>
    </row>
    <row r="103" spans="2:16" x14ac:dyDescent="0.25">
      <c r="B103" s="77" t="s">
        <v>19</v>
      </c>
      <c r="C103" s="21">
        <v>6.76</v>
      </c>
      <c r="D103" s="12" t="s">
        <v>162</v>
      </c>
      <c r="E103" s="12"/>
      <c r="F103" s="16">
        <f>C103/100</f>
        <v>6.7599999999999993E-2</v>
      </c>
      <c r="G103" s="12" t="s">
        <v>411</v>
      </c>
      <c r="H103" s="21">
        <f t="shared" si="7"/>
        <v>1</v>
      </c>
      <c r="K103" s="69"/>
    </row>
    <row r="104" spans="2:16" x14ac:dyDescent="0.25">
      <c r="B104" s="77" t="s">
        <v>139</v>
      </c>
      <c r="C104" s="16">
        <v>0.3</v>
      </c>
      <c r="D104" s="12" t="s">
        <v>162</v>
      </c>
      <c r="E104" s="12"/>
      <c r="F104" s="239">
        <f>C104/100</f>
        <v>3.0000000000000001E-3</v>
      </c>
      <c r="G104" s="17" t="s">
        <v>411</v>
      </c>
      <c r="H104" s="16">
        <f t="shared" si="7"/>
        <v>4.4378698224852076E-2</v>
      </c>
      <c r="K104" s="69"/>
    </row>
    <row r="105" spans="2:16" x14ac:dyDescent="0.25">
      <c r="B105" s="77" t="s">
        <v>141</v>
      </c>
      <c r="C105" s="16">
        <v>0.03</v>
      </c>
      <c r="D105" s="12" t="s">
        <v>162</v>
      </c>
      <c r="E105" s="18"/>
      <c r="F105" s="233">
        <f>C105/100*(62/14)</f>
        <v>1.3285714285714285E-3</v>
      </c>
      <c r="G105" s="12" t="s">
        <v>157</v>
      </c>
      <c r="H105" s="240">
        <f t="shared" si="7"/>
        <v>1.9653423499577348E-2</v>
      </c>
      <c r="K105" s="69"/>
    </row>
    <row r="106" spans="2:16" x14ac:dyDescent="0.25">
      <c r="B106" s="77" t="s">
        <v>127</v>
      </c>
      <c r="C106" s="16">
        <v>0.12</v>
      </c>
      <c r="D106" s="12" t="s">
        <v>162</v>
      </c>
      <c r="E106" s="18"/>
      <c r="F106" s="233">
        <f>C106/100*(18/14)</f>
        <v>1.5428571428571429E-3</v>
      </c>
      <c r="G106" s="12" t="s">
        <v>170</v>
      </c>
      <c r="H106" s="240">
        <f t="shared" si="7"/>
        <v>2.2823330515638212E-2</v>
      </c>
      <c r="K106" s="69"/>
    </row>
    <row r="107" spans="2:16" x14ac:dyDescent="0.25">
      <c r="B107" s="77" t="s">
        <v>138</v>
      </c>
      <c r="C107" s="16">
        <v>0.11</v>
      </c>
      <c r="D107" s="12" t="s">
        <v>162</v>
      </c>
      <c r="E107" s="18"/>
      <c r="F107" s="233">
        <f>C107/100*((2*30.97)/((2*30.97)+(5*15.999)))</f>
        <v>4.8003663648853347E-4</v>
      </c>
      <c r="G107" s="12" t="s">
        <v>171</v>
      </c>
      <c r="H107" s="241">
        <f t="shared" si="7"/>
        <v>7.1011336758658805E-3</v>
      </c>
      <c r="K107" s="69"/>
    </row>
    <row r="108" spans="2:16" x14ac:dyDescent="0.25">
      <c r="B108" s="77" t="s">
        <v>140</v>
      </c>
      <c r="C108" s="16">
        <v>1.7000000000000001E-2</v>
      </c>
      <c r="D108" s="12" t="s">
        <v>169</v>
      </c>
      <c r="E108" s="18"/>
      <c r="F108" s="233">
        <f>(C108/100)*F103</f>
        <v>1.1491999999999999E-5</v>
      </c>
      <c r="G108" s="12" t="s">
        <v>411</v>
      </c>
      <c r="H108" s="241">
        <f t="shared" si="7"/>
        <v>1.7000000000000001E-4</v>
      </c>
      <c r="K108" s="69"/>
    </row>
    <row r="109" spans="2:16" x14ac:dyDescent="0.25">
      <c r="B109" s="77" t="s">
        <v>137</v>
      </c>
      <c r="C109" s="188">
        <v>19.41</v>
      </c>
      <c r="D109" s="12" t="s">
        <v>169</v>
      </c>
      <c r="E109" s="18"/>
      <c r="F109" s="16">
        <f>(C109/100)*F103</f>
        <v>1.3121159999999998E-2</v>
      </c>
      <c r="G109" s="12" t="s">
        <v>411</v>
      </c>
      <c r="H109" s="240">
        <f t="shared" si="7"/>
        <v>0.19409999999999999</v>
      </c>
      <c r="K109" s="69"/>
    </row>
    <row r="110" spans="2:16" x14ac:dyDescent="0.25">
      <c r="B110" s="77" t="s">
        <v>142</v>
      </c>
      <c r="C110" s="16">
        <v>0.23</v>
      </c>
      <c r="D110" s="12" t="s">
        <v>162</v>
      </c>
      <c r="E110" s="18"/>
      <c r="F110" s="233">
        <f>C110/100*((2*39.0983)/((2*39.0983)+(15.999)))</f>
        <v>1.9093479950231221E-3</v>
      </c>
      <c r="G110" s="12" t="s">
        <v>172</v>
      </c>
      <c r="H110" s="240">
        <f t="shared" si="7"/>
        <v>2.8244792825785833E-2</v>
      </c>
      <c r="K110" s="69"/>
    </row>
    <row r="111" spans="2:16" x14ac:dyDescent="0.25">
      <c r="B111" s="57" t="s">
        <v>407</v>
      </c>
      <c r="C111" s="6"/>
      <c r="D111" s="6"/>
      <c r="E111" s="6"/>
      <c r="F111" s="6"/>
      <c r="G111" s="6"/>
      <c r="H111" s="6"/>
      <c r="I111" s="6"/>
      <c r="J111" s="6"/>
      <c r="K111" s="69"/>
      <c r="L111" s="6"/>
      <c r="M111" s="6"/>
      <c r="N111" s="6"/>
      <c r="O111" s="6"/>
      <c r="P111" s="6"/>
    </row>
    <row r="112" spans="2:16" x14ac:dyDescent="0.25">
      <c r="B112" s="57" t="s">
        <v>409</v>
      </c>
      <c r="C112" s="6"/>
      <c r="D112" s="6"/>
      <c r="E112" s="6"/>
      <c r="F112" s="6"/>
      <c r="G112" s="6"/>
      <c r="H112" s="6"/>
      <c r="I112" s="6"/>
      <c r="J112" s="6"/>
      <c r="K112" s="69"/>
      <c r="L112" s="6"/>
      <c r="M112" s="6"/>
      <c r="N112" s="6"/>
      <c r="O112" s="6"/>
      <c r="P112" s="6"/>
    </row>
    <row r="113" spans="1:16" x14ac:dyDescent="0.25">
      <c r="A113" s="9"/>
      <c r="B113" s="9"/>
      <c r="C113" s="9"/>
      <c r="D113" s="9"/>
      <c r="E113" s="9"/>
      <c r="F113" s="9"/>
      <c r="G113" s="9"/>
      <c r="H113" s="9"/>
      <c r="I113" s="9"/>
      <c r="J113" s="9"/>
      <c r="K113" s="70"/>
      <c r="L113" s="9"/>
      <c r="M113" s="9"/>
      <c r="N113" s="9"/>
      <c r="O113" s="9"/>
      <c r="P113" s="9"/>
    </row>
    <row r="114" spans="1:16" x14ac:dyDescent="0.25">
      <c r="A114" s="13" t="s">
        <v>427</v>
      </c>
      <c r="B114" s="6"/>
      <c r="C114" s="6"/>
      <c r="D114" s="6"/>
      <c r="E114" s="6"/>
      <c r="F114" s="6"/>
      <c r="G114" s="6"/>
      <c r="H114" s="6"/>
      <c r="I114" s="6"/>
      <c r="J114" s="6"/>
      <c r="K114" s="6"/>
      <c r="L114" s="6"/>
      <c r="M114" s="6"/>
      <c r="N114" s="6"/>
      <c r="O114" s="6"/>
      <c r="P114" s="6"/>
    </row>
    <row r="115" spans="1:16" x14ac:dyDescent="0.25">
      <c r="B115" s="6"/>
      <c r="C115" s="6"/>
      <c r="D115" s="6"/>
      <c r="E115" s="6"/>
      <c r="F115" s="6"/>
      <c r="G115" s="6"/>
      <c r="H115" s="6"/>
      <c r="I115" s="6"/>
      <c r="J115" s="6"/>
      <c r="K115" s="6"/>
      <c r="L115" s="6"/>
      <c r="M115" s="6"/>
      <c r="N115" s="6"/>
      <c r="O115" s="6"/>
      <c r="P115" s="6"/>
    </row>
    <row r="116" spans="1:16" x14ac:dyDescent="0.25">
      <c r="B116" s="5" t="s">
        <v>446</v>
      </c>
    </row>
    <row r="117" spans="1:16" x14ac:dyDescent="0.25">
      <c r="B117" s="2" t="s">
        <v>13</v>
      </c>
      <c r="C117" s="2" t="s">
        <v>4</v>
      </c>
      <c r="D117" s="2" t="s">
        <v>14</v>
      </c>
    </row>
    <row r="118" spans="1:16" x14ac:dyDescent="0.25">
      <c r="B118" s="77" t="s">
        <v>218</v>
      </c>
      <c r="C118" s="19" t="s">
        <v>219</v>
      </c>
      <c r="D118" s="12" t="s">
        <v>175</v>
      </c>
    </row>
    <row r="119" spans="1:16" x14ac:dyDescent="0.25">
      <c r="B119" s="77" t="s">
        <v>220</v>
      </c>
      <c r="C119" s="242">
        <v>5</v>
      </c>
      <c r="D119" s="12" t="s">
        <v>162</v>
      </c>
    </row>
    <row r="120" spans="1:16" x14ac:dyDescent="0.25">
      <c r="B120" s="77" t="s">
        <v>221</v>
      </c>
      <c r="C120" s="12" t="s">
        <v>222</v>
      </c>
      <c r="D120" s="12" t="s">
        <v>223</v>
      </c>
    </row>
    <row r="121" spans="1:16" x14ac:dyDescent="0.25">
      <c r="B121" s="77" t="s">
        <v>224</v>
      </c>
      <c r="C121" s="12" t="s">
        <v>225</v>
      </c>
      <c r="D121" s="12"/>
    </row>
    <row r="122" spans="1:16" x14ac:dyDescent="0.25">
      <c r="B122" s="77" t="s">
        <v>226</v>
      </c>
      <c r="C122" s="12" t="s">
        <v>155</v>
      </c>
      <c r="D122" s="12"/>
    </row>
    <row r="123" spans="1:16" x14ac:dyDescent="0.25">
      <c r="B123" s="77" t="s">
        <v>227</v>
      </c>
      <c r="C123" s="12" t="s">
        <v>228</v>
      </c>
      <c r="D123" s="12" t="s">
        <v>229</v>
      </c>
      <c r="E123" s="30"/>
      <c r="F123" s="6"/>
    </row>
    <row r="124" spans="1:16" x14ac:dyDescent="0.25">
      <c r="B124" s="25" t="s">
        <v>447</v>
      </c>
      <c r="C124" s="23"/>
      <c r="D124" s="23"/>
      <c r="E124" s="6"/>
      <c r="F124" s="6"/>
    </row>
    <row r="125" spans="1:16" x14ac:dyDescent="0.25">
      <c r="A125" s="9"/>
      <c r="B125" s="9"/>
      <c r="C125" s="9"/>
      <c r="D125" s="9"/>
      <c r="E125" s="9"/>
      <c r="F125" s="9"/>
      <c r="G125" s="9"/>
      <c r="H125" s="9"/>
      <c r="I125" s="9"/>
      <c r="J125" s="9"/>
      <c r="K125" s="9"/>
      <c r="L125" s="9"/>
      <c r="M125" s="9"/>
      <c r="N125" s="9"/>
      <c r="O125" s="9"/>
      <c r="P125" s="9"/>
    </row>
    <row r="126" spans="1:16" x14ac:dyDescent="0.25">
      <c r="A126" s="13" t="s">
        <v>427</v>
      </c>
      <c r="B126" s="6"/>
      <c r="C126" s="6"/>
      <c r="D126" s="6"/>
      <c r="E126" s="6"/>
      <c r="F126" s="6"/>
      <c r="G126" s="6"/>
      <c r="H126" s="6"/>
      <c r="I126" s="6"/>
      <c r="J126" s="6"/>
      <c r="K126" s="6"/>
      <c r="L126" s="6"/>
      <c r="M126" s="6"/>
      <c r="N126" s="6"/>
      <c r="O126" s="6"/>
      <c r="P126" s="6"/>
    </row>
    <row r="127" spans="1:16" x14ac:dyDescent="0.25">
      <c r="B127" s="6"/>
      <c r="C127" s="6"/>
      <c r="D127" s="6"/>
      <c r="E127" s="6"/>
      <c r="F127" s="6"/>
      <c r="G127" s="6"/>
      <c r="H127" s="6"/>
      <c r="I127" s="6"/>
      <c r="J127" s="6"/>
      <c r="K127" s="6"/>
      <c r="L127" s="6"/>
      <c r="M127" s="6"/>
      <c r="N127" s="6"/>
      <c r="O127" s="6"/>
      <c r="P127" s="6"/>
    </row>
    <row r="128" spans="1:16" x14ac:dyDescent="0.25">
      <c r="B128" s="5" t="s">
        <v>448</v>
      </c>
      <c r="H128" s="20" t="s">
        <v>449</v>
      </c>
    </row>
    <row r="129" spans="1:16" x14ac:dyDescent="0.25">
      <c r="B129" s="2" t="s">
        <v>13</v>
      </c>
      <c r="C129" s="2" t="s">
        <v>4</v>
      </c>
      <c r="D129" s="2" t="s">
        <v>14</v>
      </c>
      <c r="E129" s="2" t="s">
        <v>15</v>
      </c>
      <c r="F129" s="2" t="s">
        <v>16</v>
      </c>
      <c r="H129" s="2" t="s">
        <v>13</v>
      </c>
      <c r="I129" s="2" t="s">
        <v>160</v>
      </c>
      <c r="J129" s="2" t="s">
        <v>238</v>
      </c>
    </row>
    <row r="130" spans="1:16" x14ac:dyDescent="0.25">
      <c r="B130" s="77" t="s">
        <v>231</v>
      </c>
      <c r="C130" s="233">
        <v>2500</v>
      </c>
      <c r="D130" s="12" t="s">
        <v>124</v>
      </c>
      <c r="E130" s="12" t="s">
        <v>237</v>
      </c>
      <c r="F130" s="12"/>
      <c r="H130" s="77" t="s">
        <v>231</v>
      </c>
      <c r="I130" s="236">
        <f>C130/$J$33</f>
        <v>2380.9523809523807</v>
      </c>
      <c r="J130" s="237">
        <v>176.11111111111109</v>
      </c>
    </row>
    <row r="131" spans="1:16" x14ac:dyDescent="0.25">
      <c r="B131" s="77" t="s">
        <v>232</v>
      </c>
      <c r="C131" s="233">
        <v>5500</v>
      </c>
      <c r="D131" s="12" t="s">
        <v>124</v>
      </c>
      <c r="E131" s="12" t="s">
        <v>237</v>
      </c>
      <c r="F131" s="12"/>
      <c r="H131" s="77" t="s">
        <v>232</v>
      </c>
      <c r="I131" s="236">
        <f>C131/$J$33</f>
        <v>5238.0952380952376</v>
      </c>
      <c r="J131" s="237">
        <v>387.4444444444444</v>
      </c>
    </row>
    <row r="132" spans="1:16" x14ac:dyDescent="0.25">
      <c r="B132" s="77" t="s">
        <v>233</v>
      </c>
      <c r="C132" s="188">
        <v>85</v>
      </c>
      <c r="D132" s="12" t="s">
        <v>162</v>
      </c>
      <c r="E132" s="12" t="s">
        <v>237</v>
      </c>
      <c r="F132" s="12"/>
      <c r="H132" s="77" t="s">
        <v>233</v>
      </c>
      <c r="I132" s="234"/>
      <c r="J132" s="234"/>
    </row>
    <row r="133" spans="1:16" x14ac:dyDescent="0.25">
      <c r="B133" s="77" t="s">
        <v>234</v>
      </c>
      <c r="C133" s="188">
        <v>75</v>
      </c>
      <c r="D133" s="12" t="s">
        <v>162</v>
      </c>
      <c r="E133" s="12" t="s">
        <v>237</v>
      </c>
      <c r="F133" s="12"/>
      <c r="H133" s="77" t="s">
        <v>234</v>
      </c>
      <c r="I133" s="234"/>
      <c r="J133" s="234"/>
    </row>
    <row r="134" spans="1:16" x14ac:dyDescent="0.25">
      <c r="B134" s="77" t="s">
        <v>235</v>
      </c>
      <c r="C134" s="188">
        <v>60</v>
      </c>
      <c r="D134" s="12" t="s">
        <v>162</v>
      </c>
      <c r="E134" s="12" t="s">
        <v>237</v>
      </c>
      <c r="F134" s="12"/>
      <c r="H134" s="77" t="s">
        <v>235</v>
      </c>
      <c r="I134" s="234"/>
      <c r="J134" s="234"/>
    </row>
    <row r="135" spans="1:16" x14ac:dyDescent="0.25">
      <c r="B135" s="77" t="s">
        <v>189</v>
      </c>
      <c r="C135" s="16">
        <v>0.5</v>
      </c>
      <c r="D135" s="12" t="s">
        <v>236</v>
      </c>
      <c r="E135" s="12" t="s">
        <v>237</v>
      </c>
      <c r="F135" s="12"/>
      <c r="H135" s="77" t="s">
        <v>681</v>
      </c>
      <c r="I135" s="236">
        <f>(I131/1000000)*(C133/100)*C135*'Biogas Yield'!C17</f>
        <v>2.3846428571428573E-3</v>
      </c>
      <c r="J135" s="243">
        <v>3.9138662846842205E-2</v>
      </c>
    </row>
    <row r="136" spans="1:16" x14ac:dyDescent="0.25">
      <c r="B136" s="57" t="s">
        <v>406</v>
      </c>
      <c r="C136" s="6"/>
      <c r="D136" s="6"/>
      <c r="E136" s="6"/>
      <c r="F136" s="6"/>
      <c r="G136" s="6"/>
      <c r="H136" s="6"/>
      <c r="I136" s="6"/>
      <c r="J136" s="6"/>
    </row>
    <row r="137" spans="1:16" x14ac:dyDescent="0.25">
      <c r="A137" s="9"/>
      <c r="B137" s="9"/>
      <c r="C137" s="9"/>
      <c r="D137" s="9"/>
      <c r="E137" s="9"/>
      <c r="F137" s="9"/>
      <c r="G137" s="9"/>
      <c r="H137" s="9"/>
      <c r="I137" s="9"/>
      <c r="J137" s="9"/>
      <c r="K137" s="9"/>
      <c r="L137" s="9"/>
      <c r="M137" s="9"/>
      <c r="N137" s="9"/>
      <c r="O137" s="9"/>
      <c r="P137" s="9"/>
    </row>
    <row r="138" spans="1:16" x14ac:dyDescent="0.25">
      <c r="A138" s="13" t="s">
        <v>427</v>
      </c>
      <c r="B138" s="6"/>
      <c r="C138" s="6"/>
      <c r="D138" s="6"/>
      <c r="E138" s="6"/>
      <c r="F138" s="6"/>
      <c r="G138" s="6"/>
      <c r="H138" s="6"/>
      <c r="I138" s="6"/>
      <c r="J138" s="6"/>
      <c r="K138" s="6"/>
      <c r="L138" s="6"/>
      <c r="M138" s="6"/>
      <c r="N138" s="6"/>
      <c r="O138" s="6"/>
      <c r="P138" s="6"/>
    </row>
    <row r="139" spans="1:16" x14ac:dyDescent="0.25">
      <c r="B139" s="6"/>
      <c r="C139" s="6"/>
      <c r="D139" s="6"/>
      <c r="E139" s="6"/>
      <c r="F139" s="6"/>
      <c r="G139" s="6"/>
      <c r="H139" s="6"/>
      <c r="I139" s="6"/>
      <c r="J139" s="6"/>
      <c r="K139" s="6"/>
      <c r="L139" s="6"/>
      <c r="M139" s="6"/>
      <c r="N139" s="6"/>
      <c r="O139" s="6"/>
      <c r="P139" s="6"/>
    </row>
    <row r="140" spans="1:16" x14ac:dyDescent="0.25">
      <c r="B140" s="5" t="s">
        <v>450</v>
      </c>
      <c r="F140" s="20" t="s">
        <v>388</v>
      </c>
      <c r="H140" s="20" t="s">
        <v>389</v>
      </c>
    </row>
    <row r="141" spans="1:16" x14ac:dyDescent="0.25">
      <c r="B141" s="2" t="s">
        <v>13</v>
      </c>
      <c r="C141" s="2" t="s">
        <v>245</v>
      </c>
      <c r="D141" s="2" t="s">
        <v>246</v>
      </c>
      <c r="E141" s="2" t="s">
        <v>14</v>
      </c>
      <c r="F141" s="2" t="s">
        <v>147</v>
      </c>
      <c r="G141" s="2" t="s">
        <v>165</v>
      </c>
      <c r="H141" s="2" t="s">
        <v>147</v>
      </c>
      <c r="I141" s="2" t="s">
        <v>165</v>
      </c>
    </row>
    <row r="142" spans="1:16" x14ac:dyDescent="0.25">
      <c r="B142" s="77" t="s">
        <v>17</v>
      </c>
      <c r="C142" s="21">
        <v>7.2</v>
      </c>
      <c r="D142" s="21">
        <v>8.1</v>
      </c>
      <c r="E142" s="12" t="s">
        <v>103</v>
      </c>
      <c r="F142" s="232"/>
      <c r="G142" s="232"/>
      <c r="H142" s="232"/>
      <c r="I142" s="232"/>
    </row>
    <row r="143" spans="1:16" x14ac:dyDescent="0.25">
      <c r="B143" s="77" t="s">
        <v>244</v>
      </c>
      <c r="C143" s="21">
        <v>5.2</v>
      </c>
      <c r="D143" s="188">
        <v>10</v>
      </c>
      <c r="E143" s="12" t="s">
        <v>255</v>
      </c>
      <c r="F143" s="16">
        <f t="shared" ref="F143:F148" si="8">D143/1000</f>
        <v>0.01</v>
      </c>
      <c r="G143" s="16">
        <f>F143/$C$21</f>
        <v>0.13519603424966201</v>
      </c>
      <c r="H143" s="233">
        <f t="shared" ref="H143:H148" si="9">C143/1000</f>
        <v>5.1999999999999998E-3</v>
      </c>
      <c r="I143" s="16">
        <f>H143/$C$21</f>
        <v>7.0301937809824244E-2</v>
      </c>
    </row>
    <row r="144" spans="1:16" x14ac:dyDescent="0.25">
      <c r="B144" s="77" t="s">
        <v>247</v>
      </c>
      <c r="C144" s="244">
        <v>400</v>
      </c>
      <c r="D144" s="244">
        <v>470</v>
      </c>
      <c r="E144" s="12" t="s">
        <v>255</v>
      </c>
      <c r="F144" s="16">
        <f t="shared" si="8"/>
        <v>0.47</v>
      </c>
      <c r="G144" s="21">
        <f t="shared" ref="G144:G152" si="10">F144/$C$21</f>
        <v>6.3542136097341144</v>
      </c>
      <c r="H144" s="16">
        <f t="shared" si="9"/>
        <v>0.4</v>
      </c>
      <c r="I144" s="21">
        <f t="shared" ref="I144:I152" si="11">H144/$C$21</f>
        <v>5.4078413699864809</v>
      </c>
    </row>
    <row r="145" spans="1:16" x14ac:dyDescent="0.25">
      <c r="B145" s="77" t="s">
        <v>248</v>
      </c>
      <c r="C145" s="21">
        <v>5</v>
      </c>
      <c r="D145" s="21">
        <v>5.8</v>
      </c>
      <c r="E145" s="12" t="s">
        <v>255</v>
      </c>
      <c r="F145" s="233">
        <f t="shared" si="8"/>
        <v>5.7999999999999996E-3</v>
      </c>
      <c r="G145" s="16">
        <f t="shared" si="10"/>
        <v>7.8413699864803954E-2</v>
      </c>
      <c r="H145" s="233">
        <f t="shared" si="9"/>
        <v>5.0000000000000001E-3</v>
      </c>
      <c r="I145" s="16">
        <f t="shared" si="11"/>
        <v>6.7598017124831003E-2</v>
      </c>
    </row>
    <row r="146" spans="1:16" x14ac:dyDescent="0.25">
      <c r="B146" s="77" t="s">
        <v>249</v>
      </c>
      <c r="C146" s="21">
        <v>1.3</v>
      </c>
      <c r="D146" s="21">
        <v>4.2</v>
      </c>
      <c r="E146" s="12" t="s">
        <v>255</v>
      </c>
      <c r="F146" s="233">
        <f t="shared" si="8"/>
        <v>4.2000000000000006E-3</v>
      </c>
      <c r="G146" s="16">
        <f t="shared" si="10"/>
        <v>5.6782334384858052E-2</v>
      </c>
      <c r="H146" s="233">
        <f t="shared" si="9"/>
        <v>1.2999999999999999E-3</v>
      </c>
      <c r="I146" s="16">
        <f t="shared" si="11"/>
        <v>1.7575484452456061E-2</v>
      </c>
    </row>
    <row r="147" spans="1:16" x14ac:dyDescent="0.25">
      <c r="B147" s="77" t="s">
        <v>250</v>
      </c>
      <c r="C147" s="21">
        <v>1.9</v>
      </c>
      <c r="D147" s="21">
        <v>2.8</v>
      </c>
      <c r="E147" s="12" t="s">
        <v>255</v>
      </c>
      <c r="F147" s="233">
        <f t="shared" si="8"/>
        <v>2.8E-3</v>
      </c>
      <c r="G147" s="16">
        <f t="shared" si="10"/>
        <v>3.7854889589905363E-2</v>
      </c>
      <c r="H147" s="233">
        <f t="shared" si="9"/>
        <v>1.9E-3</v>
      </c>
      <c r="I147" s="16">
        <f t="shared" si="11"/>
        <v>2.5687246507435781E-2</v>
      </c>
    </row>
    <row r="148" spans="1:16" x14ac:dyDescent="0.25">
      <c r="B148" s="77" t="s">
        <v>251</v>
      </c>
      <c r="C148" s="21">
        <v>1.2</v>
      </c>
      <c r="D148" s="21">
        <v>3</v>
      </c>
      <c r="E148" s="12" t="s">
        <v>255</v>
      </c>
      <c r="F148" s="233">
        <f t="shared" si="8"/>
        <v>3.0000000000000001E-3</v>
      </c>
      <c r="G148" s="16">
        <f t="shared" si="10"/>
        <v>4.0558810274898605E-2</v>
      </c>
      <c r="H148" s="233">
        <f t="shared" si="9"/>
        <v>1.1999999999999999E-3</v>
      </c>
      <c r="I148" s="16">
        <f t="shared" si="11"/>
        <v>1.622352410995944E-2</v>
      </c>
    </row>
    <row r="149" spans="1:16" x14ac:dyDescent="0.25">
      <c r="B149" s="77" t="s">
        <v>252</v>
      </c>
      <c r="C149" s="244">
        <v>900</v>
      </c>
      <c r="D149" s="233">
        <v>1200</v>
      </c>
      <c r="E149" s="12" t="s">
        <v>160</v>
      </c>
      <c r="F149" s="233">
        <f>D149/1000000</f>
        <v>1.1999999999999999E-3</v>
      </c>
      <c r="G149" s="16">
        <f t="shared" si="10"/>
        <v>1.622352410995944E-2</v>
      </c>
      <c r="H149" s="233">
        <f>C149/1000000</f>
        <v>8.9999999999999998E-4</v>
      </c>
      <c r="I149" s="16">
        <f t="shared" si="11"/>
        <v>1.216764308246958E-2</v>
      </c>
    </row>
    <row r="150" spans="1:16" x14ac:dyDescent="0.25">
      <c r="B150" s="77" t="s">
        <v>253</v>
      </c>
      <c r="C150" s="188">
        <v>20</v>
      </c>
      <c r="D150" s="188">
        <v>50</v>
      </c>
      <c r="E150" s="12" t="s">
        <v>160</v>
      </c>
      <c r="F150" s="233">
        <f>D150/1000000</f>
        <v>5.0000000000000002E-5</v>
      </c>
      <c r="G150" s="233">
        <f t="shared" si="10"/>
        <v>6.7598017124831009E-4</v>
      </c>
      <c r="H150" s="233">
        <f>C150/1000000</f>
        <v>2.0000000000000002E-5</v>
      </c>
      <c r="I150" s="233">
        <f t="shared" si="11"/>
        <v>2.7039206849932405E-4</v>
      </c>
    </row>
    <row r="151" spans="1:16" x14ac:dyDescent="0.25">
      <c r="B151" s="77" t="s">
        <v>254</v>
      </c>
      <c r="C151" s="188">
        <v>20</v>
      </c>
      <c r="D151" s="188">
        <v>75</v>
      </c>
      <c r="E151" s="12" t="s">
        <v>160</v>
      </c>
      <c r="F151" s="233">
        <f>D151/1000000</f>
        <v>7.4999999999999993E-5</v>
      </c>
      <c r="G151" s="233">
        <f>F151/$C$21</f>
        <v>1.013970256872465E-3</v>
      </c>
      <c r="H151" s="233">
        <f>C151/1000000</f>
        <v>2.0000000000000002E-5</v>
      </c>
      <c r="I151" s="233">
        <f t="shared" si="11"/>
        <v>2.7039206849932405E-4</v>
      </c>
    </row>
    <row r="152" spans="1:16" x14ac:dyDescent="0.25">
      <c r="B152" s="77" t="s">
        <v>243</v>
      </c>
      <c r="C152" s="21">
        <v>1</v>
      </c>
      <c r="D152" s="188">
        <v>10</v>
      </c>
      <c r="E152" s="12" t="s">
        <v>160</v>
      </c>
      <c r="F152" s="233">
        <f>D152/1000000</f>
        <v>1.0000000000000001E-5</v>
      </c>
      <c r="G152" s="233">
        <f t="shared" si="10"/>
        <v>1.3519603424966202E-4</v>
      </c>
      <c r="H152" s="233">
        <f>C152/1000000</f>
        <v>9.9999999999999995E-7</v>
      </c>
      <c r="I152" s="233">
        <f t="shared" si="11"/>
        <v>1.3519603424966201E-5</v>
      </c>
    </row>
    <row r="153" spans="1:16" x14ac:dyDescent="0.25">
      <c r="B153" s="56" t="s">
        <v>725</v>
      </c>
      <c r="C153" s="6"/>
      <c r="D153" s="6"/>
      <c r="E153" s="6"/>
      <c r="F153" s="6"/>
      <c r="G153" s="6"/>
      <c r="H153" s="6"/>
      <c r="I153" s="6"/>
      <c r="J153" s="6"/>
      <c r="K153" s="6"/>
      <c r="L153" s="6"/>
      <c r="M153" s="6"/>
    </row>
    <row r="154" spans="1:16" x14ac:dyDescent="0.25">
      <c r="A154" s="9"/>
      <c r="B154" s="9"/>
      <c r="C154" s="55"/>
      <c r="D154" s="55"/>
      <c r="E154" s="9"/>
      <c r="F154" s="9"/>
      <c r="G154" s="9"/>
      <c r="H154" s="9"/>
      <c r="I154" s="9"/>
      <c r="J154" s="9"/>
      <c r="K154" s="9"/>
      <c r="L154" s="9"/>
      <c r="M154" s="9"/>
      <c r="N154" s="9"/>
      <c r="O154" s="9"/>
      <c r="P154" s="9"/>
    </row>
    <row r="155" spans="1:16" x14ac:dyDescent="0.25">
      <c r="A155" s="13" t="s">
        <v>438</v>
      </c>
      <c r="B155" s="6"/>
      <c r="C155" s="6"/>
      <c r="D155" s="6"/>
      <c r="E155" s="6"/>
      <c r="F155" s="6"/>
      <c r="G155" s="6"/>
      <c r="H155" s="6"/>
      <c r="I155" s="6"/>
      <c r="J155" s="6"/>
      <c r="K155" s="6"/>
      <c r="L155" s="6"/>
      <c r="M155" s="6"/>
      <c r="N155" s="6"/>
      <c r="O155" s="6"/>
      <c r="P155" s="6"/>
    </row>
    <row r="156" spans="1:16" x14ac:dyDescent="0.25">
      <c r="B156" s="6"/>
      <c r="C156" s="6"/>
      <c r="D156" s="6"/>
      <c r="E156" s="6"/>
      <c r="F156" s="6"/>
      <c r="G156" s="6"/>
      <c r="H156" s="6"/>
      <c r="I156" s="6"/>
      <c r="J156" s="6"/>
      <c r="K156" s="6"/>
      <c r="L156" s="6"/>
      <c r="M156" s="6"/>
      <c r="N156" s="6"/>
      <c r="O156" s="6"/>
      <c r="P156" s="6"/>
    </row>
    <row r="157" spans="1:16" x14ac:dyDescent="0.25">
      <c r="B157" s="44" t="s">
        <v>455</v>
      </c>
      <c r="C157" s="5"/>
      <c r="D157" s="5"/>
    </row>
    <row r="158" spans="1:16" x14ac:dyDescent="0.25">
      <c r="B158" s="2" t="s">
        <v>13</v>
      </c>
      <c r="C158" s="2" t="s">
        <v>390</v>
      </c>
      <c r="D158" s="2" t="s">
        <v>5</v>
      </c>
      <c r="E158" s="2" t="s">
        <v>147</v>
      </c>
      <c r="F158" s="2" t="s">
        <v>165</v>
      </c>
    </row>
    <row r="159" spans="1:16" x14ac:dyDescent="0.25">
      <c r="B159" s="77" t="s">
        <v>264</v>
      </c>
      <c r="C159" s="188">
        <v>86</v>
      </c>
      <c r="D159" s="12" t="s">
        <v>162</v>
      </c>
      <c r="E159" s="16">
        <f>C159/100</f>
        <v>0.86</v>
      </c>
      <c r="F159" s="21">
        <f t="shared" ref="F159:F173" si="12">E159/$E$160</f>
        <v>6.1428571428571423</v>
      </c>
    </row>
    <row r="160" spans="1:16" x14ac:dyDescent="0.25">
      <c r="B160" s="77" t="s">
        <v>265</v>
      </c>
      <c r="C160" s="188">
        <v>14</v>
      </c>
      <c r="D160" s="12" t="s">
        <v>162</v>
      </c>
      <c r="E160" s="16">
        <f>C160/100</f>
        <v>0.14000000000000001</v>
      </c>
      <c r="F160" s="21">
        <f t="shared" si="12"/>
        <v>1</v>
      </c>
    </row>
    <row r="161" spans="1:16" x14ac:dyDescent="0.25">
      <c r="B161" s="77" t="s">
        <v>127</v>
      </c>
      <c r="C161" s="21">
        <v>1.7</v>
      </c>
      <c r="D161" s="12" t="s">
        <v>273</v>
      </c>
      <c r="E161" s="233">
        <f t="shared" ref="E161:E173" si="13">C161/2.2/907.185</f>
        <v>8.5178576886442414E-4</v>
      </c>
      <c r="F161" s="233">
        <f t="shared" si="12"/>
        <v>6.0841840633173144E-3</v>
      </c>
    </row>
    <row r="162" spans="1:16" x14ac:dyDescent="0.25">
      <c r="B162" s="77" t="s">
        <v>141</v>
      </c>
      <c r="C162" s="16">
        <v>0.02</v>
      </c>
      <c r="D162" s="12" t="s">
        <v>273</v>
      </c>
      <c r="E162" s="233">
        <f t="shared" si="13"/>
        <v>1.0021009045463815E-5</v>
      </c>
      <c r="F162" s="233">
        <f t="shared" si="12"/>
        <v>7.1578636039027244E-5</v>
      </c>
    </row>
    <row r="163" spans="1:16" x14ac:dyDescent="0.25">
      <c r="B163" s="77" t="s">
        <v>266</v>
      </c>
      <c r="C163" s="21">
        <v>8.2799999999999994</v>
      </c>
      <c r="D163" s="12" t="s">
        <v>273</v>
      </c>
      <c r="E163" s="233">
        <f t="shared" si="13"/>
        <v>4.148697744822019E-3</v>
      </c>
      <c r="F163" s="16">
        <f t="shared" si="12"/>
        <v>2.9633555320157275E-2</v>
      </c>
    </row>
    <row r="164" spans="1:16" x14ac:dyDescent="0.25">
      <c r="B164" s="77" t="s">
        <v>126</v>
      </c>
      <c r="C164" s="188">
        <v>10</v>
      </c>
      <c r="D164" s="12" t="s">
        <v>273</v>
      </c>
      <c r="E164" s="233">
        <f t="shared" si="13"/>
        <v>5.0105045227319071E-3</v>
      </c>
      <c r="F164" s="16">
        <f t="shared" si="12"/>
        <v>3.578931801951362E-2</v>
      </c>
    </row>
    <row r="165" spans="1:16" x14ac:dyDescent="0.25">
      <c r="B165" s="77" t="s">
        <v>138</v>
      </c>
      <c r="C165" s="21">
        <v>5</v>
      </c>
      <c r="D165" s="12" t="s">
        <v>273</v>
      </c>
      <c r="E165" s="233">
        <f t="shared" si="13"/>
        <v>2.5052522613659535E-3</v>
      </c>
      <c r="F165" s="16">
        <f t="shared" si="12"/>
        <v>1.789465900975681E-2</v>
      </c>
    </row>
    <row r="166" spans="1:16" x14ac:dyDescent="0.25">
      <c r="B166" s="77" t="s">
        <v>142</v>
      </c>
      <c r="C166" s="21">
        <v>8.1</v>
      </c>
      <c r="D166" s="12" t="s">
        <v>273</v>
      </c>
      <c r="E166" s="233">
        <f t="shared" si="13"/>
        <v>4.0585086634128444E-3</v>
      </c>
      <c r="F166" s="16">
        <f t="shared" si="12"/>
        <v>2.8989347595806028E-2</v>
      </c>
    </row>
    <row r="167" spans="1:16" x14ac:dyDescent="0.25">
      <c r="B167" s="77" t="s">
        <v>267</v>
      </c>
      <c r="C167" s="21">
        <v>3.7</v>
      </c>
      <c r="D167" s="12" t="s">
        <v>273</v>
      </c>
      <c r="E167" s="233">
        <f t="shared" si="13"/>
        <v>1.8538866734108058E-3</v>
      </c>
      <c r="F167" s="16">
        <f t="shared" si="12"/>
        <v>1.3242047667220039E-2</v>
      </c>
    </row>
    <row r="168" spans="1:16" x14ac:dyDescent="0.25">
      <c r="B168" s="77" t="s">
        <v>167</v>
      </c>
      <c r="C168" s="21">
        <v>1.7</v>
      </c>
      <c r="D168" s="12" t="s">
        <v>273</v>
      </c>
      <c r="E168" s="233">
        <f t="shared" si="13"/>
        <v>8.5178576886442414E-4</v>
      </c>
      <c r="F168" s="233">
        <f t="shared" si="12"/>
        <v>6.0841840633173144E-3</v>
      </c>
    </row>
    <row r="169" spans="1:16" x14ac:dyDescent="0.25">
      <c r="B169" s="77" t="s">
        <v>268</v>
      </c>
      <c r="C169" s="16">
        <v>4.2999999999999997E-2</v>
      </c>
      <c r="D169" s="12" t="s">
        <v>273</v>
      </c>
      <c r="E169" s="233">
        <f t="shared" si="13"/>
        <v>2.15451694477472E-5</v>
      </c>
      <c r="F169" s="233">
        <f t="shared" si="12"/>
        <v>1.5389406748390856E-4</v>
      </c>
    </row>
    <row r="170" spans="1:16" x14ac:dyDescent="0.25">
      <c r="B170" s="77" t="s">
        <v>269</v>
      </c>
      <c r="C170" s="16">
        <v>0.01</v>
      </c>
      <c r="D170" s="12" t="s">
        <v>273</v>
      </c>
      <c r="E170" s="233">
        <f t="shared" si="13"/>
        <v>5.0105045227319074E-6</v>
      </c>
      <c r="F170" s="233">
        <f t="shared" si="12"/>
        <v>3.5789318019513622E-5</v>
      </c>
    </row>
    <row r="171" spans="1:16" x14ac:dyDescent="0.25">
      <c r="B171" s="77" t="s">
        <v>270</v>
      </c>
      <c r="C171" s="16">
        <v>4.3999999999999997E-2</v>
      </c>
      <c r="D171" s="12" t="s">
        <v>273</v>
      </c>
      <c r="E171" s="233">
        <f t="shared" si="13"/>
        <v>2.2046219900020392E-5</v>
      </c>
      <c r="F171" s="233">
        <f t="shared" si="12"/>
        <v>1.5747299928585992E-4</v>
      </c>
    </row>
    <row r="172" spans="1:16" x14ac:dyDescent="0.25">
      <c r="B172" s="77" t="s">
        <v>271</v>
      </c>
      <c r="C172" s="21">
        <v>1.2</v>
      </c>
      <c r="D172" s="12" t="s">
        <v>273</v>
      </c>
      <c r="E172" s="233">
        <f t="shared" si="13"/>
        <v>6.0126054272782888E-4</v>
      </c>
      <c r="F172" s="233">
        <f t="shared" si="12"/>
        <v>4.2947181623416344E-3</v>
      </c>
    </row>
    <row r="173" spans="1:16" x14ac:dyDescent="0.25">
      <c r="B173" s="77" t="s">
        <v>272</v>
      </c>
      <c r="C173" s="21">
        <v>1.2</v>
      </c>
      <c r="D173" s="12" t="s">
        <v>273</v>
      </c>
      <c r="E173" s="233">
        <f t="shared" si="13"/>
        <v>6.0126054272782888E-4</v>
      </c>
      <c r="F173" s="233">
        <f t="shared" si="12"/>
        <v>4.2947181623416344E-3</v>
      </c>
    </row>
    <row r="174" spans="1:16" x14ac:dyDescent="0.25">
      <c r="B174" s="25" t="s">
        <v>405</v>
      </c>
      <c r="C174" s="23"/>
      <c r="D174" s="23"/>
      <c r="E174" s="23"/>
      <c r="F174" s="23"/>
    </row>
    <row r="175" spans="1:16" x14ac:dyDescent="0.25">
      <c r="A175" s="9"/>
      <c r="B175" s="9"/>
      <c r="C175" s="9"/>
      <c r="D175" s="9"/>
      <c r="E175" s="9"/>
      <c r="F175" s="9"/>
      <c r="G175" s="9"/>
      <c r="H175" s="9"/>
      <c r="I175" s="9"/>
      <c r="J175" s="9"/>
      <c r="K175" s="9"/>
      <c r="L175" s="9"/>
      <c r="M175" s="9"/>
      <c r="N175" s="9"/>
      <c r="O175" s="9"/>
      <c r="P175" s="9"/>
    </row>
    <row r="176" spans="1:16" x14ac:dyDescent="0.25">
      <c r="A176" s="13" t="s">
        <v>427</v>
      </c>
      <c r="B176" s="6"/>
      <c r="C176" s="6"/>
      <c r="D176" s="6"/>
      <c r="E176" s="6"/>
      <c r="F176" s="6"/>
      <c r="G176" s="6"/>
      <c r="H176" s="6"/>
      <c r="I176" s="6"/>
      <c r="J176" s="6"/>
      <c r="K176" s="6"/>
      <c r="L176" s="6"/>
      <c r="M176" s="6"/>
      <c r="N176" s="6"/>
      <c r="O176" s="6"/>
      <c r="P176" s="6"/>
    </row>
    <row r="177" spans="1:16" x14ac:dyDescent="0.25">
      <c r="B177" s="6"/>
      <c r="C177" s="6"/>
      <c r="D177" s="6"/>
      <c r="E177" s="6"/>
      <c r="F177" s="6"/>
      <c r="G177" s="6"/>
      <c r="H177" s="6"/>
      <c r="I177" s="6"/>
      <c r="J177" s="6"/>
      <c r="K177" s="6"/>
      <c r="L177" s="6"/>
      <c r="M177" s="6"/>
      <c r="N177" s="6"/>
      <c r="O177" s="6"/>
      <c r="P177" s="6"/>
    </row>
    <row r="178" spans="1:16" x14ac:dyDescent="0.25">
      <c r="B178" s="5" t="s">
        <v>451</v>
      </c>
      <c r="C178" s="5"/>
      <c r="D178" s="5"/>
      <c r="G178" s="5"/>
    </row>
    <row r="179" spans="1:16" x14ac:dyDescent="0.25">
      <c r="B179" s="2" t="s">
        <v>13</v>
      </c>
      <c r="C179" s="2" t="s">
        <v>390</v>
      </c>
      <c r="D179" s="2" t="s">
        <v>5</v>
      </c>
      <c r="E179" s="2" t="s">
        <v>165</v>
      </c>
      <c r="G179" s="5"/>
    </row>
    <row r="180" spans="1:16" x14ac:dyDescent="0.25">
      <c r="B180" s="77" t="s">
        <v>281</v>
      </c>
      <c r="C180" s="16">
        <f>1820/1960</f>
        <v>0.9285714285714286</v>
      </c>
      <c r="D180" s="12" t="s">
        <v>147</v>
      </c>
      <c r="E180" s="188">
        <f t="shared" ref="E180:E186" si="14">C180/$C$181</f>
        <v>13.000000000000002</v>
      </c>
    </row>
    <row r="181" spans="1:16" x14ac:dyDescent="0.25">
      <c r="B181" s="77" t="s">
        <v>282</v>
      </c>
      <c r="C181" s="16">
        <f>140/1960</f>
        <v>7.1428571428571425E-2</v>
      </c>
      <c r="D181" s="12" t="s">
        <v>147</v>
      </c>
      <c r="E181" s="21">
        <f t="shared" si="14"/>
        <v>1</v>
      </c>
    </row>
    <row r="182" spans="1:16" x14ac:dyDescent="0.25">
      <c r="B182" s="77" t="s">
        <v>283</v>
      </c>
      <c r="C182" s="16">
        <f>90/1960</f>
        <v>4.5918367346938778E-2</v>
      </c>
      <c r="D182" s="12" t="s">
        <v>147</v>
      </c>
      <c r="E182" s="16">
        <f>C182/$C$181</f>
        <v>0.6428571428571429</v>
      </c>
    </row>
    <row r="183" spans="1:16" x14ac:dyDescent="0.25">
      <c r="B183" s="77" t="s">
        <v>284</v>
      </c>
      <c r="C183" s="16">
        <f>50/1960</f>
        <v>2.5510204081632654E-2</v>
      </c>
      <c r="D183" s="12" t="s">
        <v>147</v>
      </c>
      <c r="E183" s="16">
        <f t="shared" si="14"/>
        <v>0.35714285714285715</v>
      </c>
    </row>
    <row r="184" spans="1:16" x14ac:dyDescent="0.25">
      <c r="B184" s="77" t="s">
        <v>285</v>
      </c>
      <c r="C184" s="233">
        <f>5/1960</f>
        <v>2.5510204081632651E-3</v>
      </c>
      <c r="D184" s="12" t="s">
        <v>147</v>
      </c>
      <c r="E184" s="16">
        <f t="shared" si="14"/>
        <v>3.5714285714285712E-2</v>
      </c>
    </row>
    <row r="185" spans="1:16" x14ac:dyDescent="0.25">
      <c r="B185" s="77" t="s">
        <v>287</v>
      </c>
      <c r="C185" s="233">
        <f>2.5/1960</f>
        <v>1.2755102040816326E-3</v>
      </c>
      <c r="D185" s="12" t="s">
        <v>147</v>
      </c>
      <c r="E185" s="16">
        <f t="shared" si="14"/>
        <v>1.7857142857142856E-2</v>
      </c>
    </row>
    <row r="186" spans="1:16" x14ac:dyDescent="0.25">
      <c r="B186" s="77" t="s">
        <v>286</v>
      </c>
      <c r="C186" s="233">
        <f>5/1960</f>
        <v>2.5510204081632651E-3</v>
      </c>
      <c r="D186" s="12" t="s">
        <v>147</v>
      </c>
      <c r="E186" s="16">
        <f t="shared" si="14"/>
        <v>3.5714285714285712E-2</v>
      </c>
    </row>
    <row r="187" spans="1:16" s="67" customFormat="1" ht="15" x14ac:dyDescent="0.25">
      <c r="A187" s="31"/>
      <c r="B187" s="54" t="s">
        <v>404</v>
      </c>
      <c r="C187" s="31"/>
      <c r="D187" s="31"/>
      <c r="E187" s="31"/>
      <c r="F187" s="31"/>
      <c r="G187" s="31"/>
      <c r="H187" s="31"/>
      <c r="I187" s="31"/>
      <c r="J187" s="31"/>
      <c r="K187" s="31"/>
      <c r="L187" s="31"/>
      <c r="M187" s="31"/>
      <c r="N187" s="31"/>
      <c r="O187" s="31"/>
      <c r="P187" s="31"/>
    </row>
    <row r="188" spans="1:16" x14ac:dyDescent="0.25">
      <c r="A188" s="9"/>
      <c r="B188" s="9"/>
      <c r="C188" s="9"/>
      <c r="D188" s="9"/>
      <c r="E188" s="9"/>
      <c r="F188" s="9"/>
      <c r="G188" s="9"/>
      <c r="H188" s="9"/>
      <c r="I188" s="9"/>
      <c r="J188" s="9"/>
      <c r="K188" s="9"/>
      <c r="L188" s="9"/>
      <c r="M188" s="9"/>
      <c r="N188" s="9"/>
      <c r="O188" s="9"/>
      <c r="P188" s="9"/>
    </row>
    <row r="189" spans="1:16" x14ac:dyDescent="0.25">
      <c r="A189" s="13" t="s">
        <v>438</v>
      </c>
      <c r="B189" s="6"/>
      <c r="C189" s="6"/>
      <c r="D189" s="6"/>
      <c r="E189" s="6"/>
      <c r="F189" s="6"/>
      <c r="G189" s="6"/>
      <c r="H189" s="6"/>
      <c r="I189" s="6"/>
      <c r="J189" s="6"/>
      <c r="K189" s="6"/>
      <c r="L189" s="6"/>
      <c r="M189" s="6"/>
      <c r="N189" s="6"/>
      <c r="O189" s="6"/>
      <c r="P189" s="6"/>
    </row>
    <row r="190" spans="1:16" x14ac:dyDescent="0.25">
      <c r="B190" s="6"/>
      <c r="C190" s="6"/>
      <c r="D190" s="6"/>
      <c r="E190" s="6"/>
      <c r="F190" s="6"/>
      <c r="G190" s="6"/>
      <c r="H190" s="6"/>
      <c r="I190" s="6"/>
      <c r="J190" s="6"/>
      <c r="K190" s="6"/>
      <c r="L190" s="6"/>
      <c r="M190" s="6"/>
      <c r="N190" s="6"/>
      <c r="O190" s="6"/>
      <c r="P190" s="6"/>
    </row>
    <row r="191" spans="1:16" x14ac:dyDescent="0.25">
      <c r="B191" s="5" t="s">
        <v>453</v>
      </c>
      <c r="C191" s="5"/>
      <c r="I191" s="6"/>
      <c r="J191" s="20" t="s">
        <v>454</v>
      </c>
      <c r="K191" s="20" t="s">
        <v>389</v>
      </c>
      <c r="L191" s="20" t="s">
        <v>388</v>
      </c>
    </row>
    <row r="192" spans="1:16" x14ac:dyDescent="0.25">
      <c r="B192" s="2" t="s">
        <v>13</v>
      </c>
      <c r="C192" s="2" t="s">
        <v>334</v>
      </c>
      <c r="D192" s="2" t="s">
        <v>335</v>
      </c>
      <c r="E192" s="2" t="s">
        <v>336</v>
      </c>
      <c r="F192" s="2" t="s">
        <v>5</v>
      </c>
      <c r="G192" s="2" t="s">
        <v>342</v>
      </c>
      <c r="H192" s="2" t="s">
        <v>343</v>
      </c>
      <c r="I192" s="2" t="s">
        <v>341</v>
      </c>
      <c r="J192" s="2" t="s">
        <v>344</v>
      </c>
      <c r="K192" s="2" t="s">
        <v>345</v>
      </c>
      <c r="L192" s="2" t="s">
        <v>346</v>
      </c>
    </row>
    <row r="193" spans="2:12" x14ac:dyDescent="0.25">
      <c r="B193" s="77" t="s">
        <v>340</v>
      </c>
      <c r="C193" s="188">
        <v>28.9</v>
      </c>
      <c r="D193" s="188">
        <v>19.5</v>
      </c>
      <c r="E193" s="188">
        <v>43.9</v>
      </c>
      <c r="F193" s="12" t="s">
        <v>215</v>
      </c>
      <c r="G193" s="16">
        <f t="shared" ref="G193:I197" si="15">C193/1000/1.035</f>
        <v>2.7922705314009661E-2</v>
      </c>
      <c r="H193" s="16">
        <f t="shared" si="15"/>
        <v>1.8840579710144929E-2</v>
      </c>
      <c r="I193" s="16">
        <f t="shared" si="15"/>
        <v>4.2415458937198072E-2</v>
      </c>
      <c r="J193" s="21">
        <f t="shared" ref="J193:J207" si="16">G193/$G$193</f>
        <v>1</v>
      </c>
      <c r="K193" s="232"/>
      <c r="L193" s="232"/>
    </row>
    <row r="194" spans="2:12" x14ac:dyDescent="0.25">
      <c r="B194" s="77" t="s">
        <v>333</v>
      </c>
      <c r="C194" s="21">
        <v>3.6</v>
      </c>
      <c r="D194" s="21">
        <v>2.9</v>
      </c>
      <c r="E194" s="21">
        <v>4.9000000000000004</v>
      </c>
      <c r="F194" s="12" t="s">
        <v>215</v>
      </c>
      <c r="G194" s="233">
        <f t="shared" si="15"/>
        <v>3.4782608695652175E-3</v>
      </c>
      <c r="H194" s="233">
        <f t="shared" si="15"/>
        <v>2.8019323671497585E-3</v>
      </c>
      <c r="I194" s="233">
        <f t="shared" si="15"/>
        <v>4.7342995169082133E-3</v>
      </c>
      <c r="J194" s="16">
        <f t="shared" si="16"/>
        <v>0.12456747404844291</v>
      </c>
      <c r="K194" s="16">
        <f t="shared" ref="K194:K207" si="17">H194/$G$193</f>
        <v>0.10034602076124569</v>
      </c>
      <c r="L194" s="16">
        <f t="shared" ref="L194:L207" si="18">I194/$G$193</f>
        <v>0.16955017301038064</v>
      </c>
    </row>
    <row r="195" spans="2:12" x14ac:dyDescent="0.25">
      <c r="B195" s="77" t="s">
        <v>127</v>
      </c>
      <c r="C195" s="21">
        <v>2.8</v>
      </c>
      <c r="D195" s="21">
        <v>2.2000000000000002</v>
      </c>
      <c r="E195" s="21">
        <v>3.5</v>
      </c>
      <c r="F195" s="12" t="s">
        <v>215</v>
      </c>
      <c r="G195" s="233">
        <f t="shared" si="15"/>
        <v>2.7053140096618359E-3</v>
      </c>
      <c r="H195" s="233">
        <f t="shared" si="15"/>
        <v>2.1256038647343E-3</v>
      </c>
      <c r="I195" s="233">
        <f t="shared" si="15"/>
        <v>3.3816425120772949E-3</v>
      </c>
      <c r="J195" s="16">
        <f t="shared" si="16"/>
        <v>9.6885813148788941E-2</v>
      </c>
      <c r="K195" s="16">
        <f t="shared" si="17"/>
        <v>7.6124567474048457E-2</v>
      </c>
      <c r="L195" s="16">
        <f t="shared" si="18"/>
        <v>0.12110726643598617</v>
      </c>
    </row>
    <row r="196" spans="2:12" x14ac:dyDescent="0.25">
      <c r="B196" s="77" t="s">
        <v>3</v>
      </c>
      <c r="C196" s="16">
        <v>0.9</v>
      </c>
      <c r="D196" s="16">
        <v>0.2</v>
      </c>
      <c r="E196" s="21">
        <v>1.2</v>
      </c>
      <c r="F196" s="12" t="s">
        <v>215</v>
      </c>
      <c r="G196" s="233">
        <f t="shared" si="15"/>
        <v>8.6956521739130438E-4</v>
      </c>
      <c r="H196" s="233">
        <f t="shared" si="15"/>
        <v>1.9323671497584543E-4</v>
      </c>
      <c r="I196" s="233">
        <f t="shared" si="15"/>
        <v>1.1594202898550724E-3</v>
      </c>
      <c r="J196" s="16">
        <f t="shared" si="16"/>
        <v>3.1141868512110728E-2</v>
      </c>
      <c r="K196" s="233">
        <f t="shared" si="17"/>
        <v>6.9204152249134959E-3</v>
      </c>
      <c r="L196" s="16">
        <f t="shared" si="18"/>
        <v>4.1522491349480967E-2</v>
      </c>
    </row>
    <row r="197" spans="2:12" x14ac:dyDescent="0.25">
      <c r="B197" s="77" t="s">
        <v>146</v>
      </c>
      <c r="C197" s="21">
        <v>2.9</v>
      </c>
      <c r="D197" s="21">
        <v>2</v>
      </c>
      <c r="E197" s="21">
        <v>3.1</v>
      </c>
      <c r="F197" s="12" t="s">
        <v>215</v>
      </c>
      <c r="G197" s="233">
        <f t="shared" si="15"/>
        <v>2.8019323671497585E-3</v>
      </c>
      <c r="H197" s="233">
        <f t="shared" si="15"/>
        <v>1.9323671497584543E-3</v>
      </c>
      <c r="I197" s="233">
        <f t="shared" si="15"/>
        <v>2.9951690821256038E-3</v>
      </c>
      <c r="J197" s="16">
        <f t="shared" si="16"/>
        <v>0.10034602076124569</v>
      </c>
      <c r="K197" s="16">
        <f t="shared" si="17"/>
        <v>6.9204152249134954E-2</v>
      </c>
      <c r="L197" s="16">
        <f t="shared" si="18"/>
        <v>0.10726643598615918</v>
      </c>
    </row>
    <row r="198" spans="2:12" x14ac:dyDescent="0.25">
      <c r="B198" s="77" t="s">
        <v>271</v>
      </c>
      <c r="C198" s="244">
        <v>384</v>
      </c>
      <c r="D198" s="244">
        <v>219</v>
      </c>
      <c r="E198" s="244">
        <v>680</v>
      </c>
      <c r="F198" s="12" t="s">
        <v>124</v>
      </c>
      <c r="G198" s="233">
        <f t="shared" ref="G198:G207" si="19">C198/1000000/1.035</f>
        <v>3.7101449275362325E-4</v>
      </c>
      <c r="H198" s="233">
        <f t="shared" ref="H198:H207" si="20">D198/1000000/1.035</f>
        <v>2.1159420289855075E-4</v>
      </c>
      <c r="I198" s="233">
        <f t="shared" ref="I198:I207" si="21">E198/1000000/1.035</f>
        <v>6.5700483091787453E-4</v>
      </c>
      <c r="J198" s="16">
        <f t="shared" si="16"/>
        <v>1.3287197231833912E-2</v>
      </c>
      <c r="K198" s="233">
        <f t="shared" si="17"/>
        <v>7.5778546712802781E-3</v>
      </c>
      <c r="L198" s="16">
        <f t="shared" si="18"/>
        <v>2.3529411764705889E-2</v>
      </c>
    </row>
    <row r="199" spans="2:12" x14ac:dyDescent="0.25">
      <c r="B199" s="77" t="s">
        <v>267</v>
      </c>
      <c r="C199" s="233">
        <v>1345</v>
      </c>
      <c r="D199" s="244">
        <v>218</v>
      </c>
      <c r="E199" s="233">
        <v>1970</v>
      </c>
      <c r="F199" s="12" t="s">
        <v>124</v>
      </c>
      <c r="G199" s="233">
        <f t="shared" si="19"/>
        <v>1.2995169082125606E-3</v>
      </c>
      <c r="H199" s="233">
        <f t="shared" si="20"/>
        <v>2.1062801932367152E-4</v>
      </c>
      <c r="I199" s="233">
        <f t="shared" si="21"/>
        <v>1.9033816425120774E-3</v>
      </c>
      <c r="J199" s="16">
        <f t="shared" si="16"/>
        <v>4.6539792387543265E-2</v>
      </c>
      <c r="K199" s="233">
        <f t="shared" si="17"/>
        <v>7.5432525951557106E-3</v>
      </c>
      <c r="L199" s="16">
        <f t="shared" si="18"/>
        <v>6.8166089965397927E-2</v>
      </c>
    </row>
    <row r="200" spans="2:12" x14ac:dyDescent="0.25">
      <c r="B200" s="77" t="s">
        <v>167</v>
      </c>
      <c r="C200" s="244">
        <v>499</v>
      </c>
      <c r="D200" s="188">
        <v>67</v>
      </c>
      <c r="E200" s="244">
        <v>721</v>
      </c>
      <c r="F200" s="12" t="s">
        <v>124</v>
      </c>
      <c r="G200" s="233">
        <f t="shared" si="19"/>
        <v>4.8212560386473434E-4</v>
      </c>
      <c r="H200" s="233">
        <f t="shared" si="20"/>
        <v>6.4734299516908217E-5</v>
      </c>
      <c r="I200" s="233">
        <f t="shared" si="21"/>
        <v>6.966183574879227E-4</v>
      </c>
      <c r="J200" s="16">
        <f t="shared" si="16"/>
        <v>1.7266435986159172E-2</v>
      </c>
      <c r="K200" s="233">
        <f t="shared" si="17"/>
        <v>2.318339100346021E-3</v>
      </c>
      <c r="L200" s="16">
        <f t="shared" si="18"/>
        <v>2.4948096885813148E-2</v>
      </c>
    </row>
    <row r="201" spans="2:12" x14ac:dyDescent="0.25">
      <c r="B201" s="77" t="s">
        <v>272</v>
      </c>
      <c r="C201" s="244">
        <v>698</v>
      </c>
      <c r="D201" s="244">
        <v>666</v>
      </c>
      <c r="E201" s="244">
        <v>995</v>
      </c>
      <c r="F201" s="12" t="s">
        <v>124</v>
      </c>
      <c r="G201" s="233">
        <f t="shared" si="19"/>
        <v>6.7439613526570062E-4</v>
      </c>
      <c r="H201" s="233">
        <f t="shared" si="20"/>
        <v>6.4347826086956527E-4</v>
      </c>
      <c r="I201" s="233">
        <f t="shared" si="21"/>
        <v>9.6135265700483103E-4</v>
      </c>
      <c r="J201" s="16">
        <f t="shared" si="16"/>
        <v>2.4152249134948102E-2</v>
      </c>
      <c r="K201" s="16">
        <f t="shared" si="17"/>
        <v>2.3044982698961939E-2</v>
      </c>
      <c r="L201" s="16">
        <f t="shared" si="18"/>
        <v>3.4429065743944644E-2</v>
      </c>
    </row>
    <row r="202" spans="2:12" x14ac:dyDescent="0.25">
      <c r="B202" s="77" t="s">
        <v>337</v>
      </c>
      <c r="C202" s="233">
        <v>1606</v>
      </c>
      <c r="D202" s="233">
        <v>1495</v>
      </c>
      <c r="E202" s="233">
        <v>2120</v>
      </c>
      <c r="F202" s="12" t="s">
        <v>124</v>
      </c>
      <c r="G202" s="233">
        <f t="shared" si="19"/>
        <v>1.5516908212560388E-3</v>
      </c>
      <c r="H202" s="233">
        <f t="shared" si="20"/>
        <v>1.4444444444444446E-3</v>
      </c>
      <c r="I202" s="233">
        <f t="shared" si="21"/>
        <v>2.0483091787439614E-3</v>
      </c>
      <c r="J202" s="16">
        <f t="shared" si="16"/>
        <v>5.5570934256055367E-2</v>
      </c>
      <c r="K202" s="16">
        <f t="shared" si="17"/>
        <v>5.1730103806228382E-2</v>
      </c>
      <c r="L202" s="16">
        <f t="shared" si="18"/>
        <v>7.3356401384083045E-2</v>
      </c>
    </row>
    <row r="203" spans="2:12" x14ac:dyDescent="0.25">
      <c r="B203" s="77" t="s">
        <v>338</v>
      </c>
      <c r="C203" s="244">
        <v>103</v>
      </c>
      <c r="D203" s="188">
        <v>22</v>
      </c>
      <c r="E203" s="244">
        <v>224</v>
      </c>
      <c r="F203" s="12" t="s">
        <v>124</v>
      </c>
      <c r="G203" s="233">
        <f t="shared" si="19"/>
        <v>9.9516908212560388E-5</v>
      </c>
      <c r="H203" s="233">
        <f t="shared" si="20"/>
        <v>2.1256038647342997E-5</v>
      </c>
      <c r="I203" s="233">
        <f t="shared" si="21"/>
        <v>2.1642512077294686E-4</v>
      </c>
      <c r="J203" s="233">
        <f t="shared" si="16"/>
        <v>3.56401384083045E-3</v>
      </c>
      <c r="K203" s="233">
        <f t="shared" si="17"/>
        <v>7.6124567474048453E-4</v>
      </c>
      <c r="L203" s="233">
        <f t="shared" si="18"/>
        <v>7.7508650519031146E-3</v>
      </c>
    </row>
    <row r="204" spans="2:12" x14ac:dyDescent="0.25">
      <c r="B204" s="77" t="s">
        <v>270</v>
      </c>
      <c r="C204" s="188">
        <v>19.100000000000001</v>
      </c>
      <c r="D204" s="21">
        <v>2.9</v>
      </c>
      <c r="E204" s="188">
        <v>31</v>
      </c>
      <c r="F204" s="12" t="s">
        <v>124</v>
      </c>
      <c r="G204" s="233">
        <f t="shared" si="19"/>
        <v>1.8454106280193237E-5</v>
      </c>
      <c r="H204" s="233">
        <f t="shared" si="20"/>
        <v>2.8019323671497584E-6</v>
      </c>
      <c r="I204" s="233">
        <f t="shared" si="21"/>
        <v>2.9951690821256043E-5</v>
      </c>
      <c r="J204" s="233">
        <f t="shared" si="16"/>
        <v>6.6089965397923877E-4</v>
      </c>
      <c r="K204" s="233">
        <f t="shared" si="17"/>
        <v>1.0034602076124567E-4</v>
      </c>
      <c r="L204" s="233">
        <f t="shared" si="18"/>
        <v>1.0726643598615918E-3</v>
      </c>
    </row>
    <row r="205" spans="2:12" x14ac:dyDescent="0.25">
      <c r="B205" s="77" t="s">
        <v>268</v>
      </c>
      <c r="C205" s="188">
        <v>55.8</v>
      </c>
      <c r="D205" s="188">
        <v>34.700000000000003</v>
      </c>
      <c r="E205" s="244">
        <v>140.19999999999999</v>
      </c>
      <c r="F205" s="12" t="s">
        <v>124</v>
      </c>
      <c r="G205" s="233">
        <f t="shared" si="19"/>
        <v>5.3913043478260865E-5</v>
      </c>
      <c r="H205" s="233">
        <f t="shared" si="20"/>
        <v>3.3526570048309186E-5</v>
      </c>
      <c r="I205" s="233">
        <f t="shared" si="21"/>
        <v>1.3545893719806764E-4</v>
      </c>
      <c r="J205" s="233">
        <f t="shared" si="16"/>
        <v>1.9307958477508649E-3</v>
      </c>
      <c r="K205" s="233">
        <f t="shared" si="17"/>
        <v>1.2006920415224916E-3</v>
      </c>
      <c r="L205" s="233">
        <f t="shared" si="18"/>
        <v>4.85121107266436E-3</v>
      </c>
    </row>
    <row r="206" spans="2:12" x14ac:dyDescent="0.25">
      <c r="B206" s="77" t="s">
        <v>269</v>
      </c>
      <c r="C206" s="21">
        <v>8.1</v>
      </c>
      <c r="D206" s="21">
        <v>4</v>
      </c>
      <c r="E206" s="188">
        <v>15.1</v>
      </c>
      <c r="F206" s="12" t="s">
        <v>124</v>
      </c>
      <c r="G206" s="233">
        <f t="shared" si="19"/>
        <v>7.8260869565217401E-6</v>
      </c>
      <c r="H206" s="233">
        <f t="shared" si="20"/>
        <v>3.8647342995169083E-6</v>
      </c>
      <c r="I206" s="233">
        <f t="shared" si="21"/>
        <v>1.4589371980676329E-5</v>
      </c>
      <c r="J206" s="233">
        <f t="shared" si="16"/>
        <v>2.8027681660899661E-4</v>
      </c>
      <c r="K206" s="233">
        <f t="shared" si="17"/>
        <v>1.3840830449826991E-4</v>
      </c>
      <c r="L206" s="233">
        <f t="shared" si="18"/>
        <v>5.2249134948096883E-4</v>
      </c>
    </row>
    <row r="207" spans="2:12" x14ac:dyDescent="0.25">
      <c r="B207" s="77" t="s">
        <v>339</v>
      </c>
      <c r="C207" s="21">
        <v>2.9</v>
      </c>
      <c r="D207" s="21">
        <v>2.2000000000000002</v>
      </c>
      <c r="E207" s="21">
        <v>3.2</v>
      </c>
      <c r="F207" s="12" t="s">
        <v>124</v>
      </c>
      <c r="G207" s="233">
        <f t="shared" si="19"/>
        <v>2.8019323671497584E-6</v>
      </c>
      <c r="H207" s="233">
        <f t="shared" si="20"/>
        <v>2.1256038647342997E-6</v>
      </c>
      <c r="I207" s="233">
        <f t="shared" si="21"/>
        <v>3.0917874396135272E-6</v>
      </c>
      <c r="J207" s="233">
        <f t="shared" si="16"/>
        <v>1.0034602076124567E-4</v>
      </c>
      <c r="K207" s="233">
        <f t="shared" si="17"/>
        <v>7.6124567474048456E-5</v>
      </c>
      <c r="L207" s="233">
        <f t="shared" si="18"/>
        <v>1.1072664359861594E-4</v>
      </c>
    </row>
    <row r="208" spans="2:12" x14ac:dyDescent="0.25">
      <c r="B208" s="53" t="s">
        <v>403</v>
      </c>
      <c r="C208" s="23"/>
      <c r="D208" s="23"/>
      <c r="E208" s="23"/>
      <c r="F208" s="23"/>
      <c r="G208" s="23"/>
      <c r="H208" s="23"/>
      <c r="I208" s="23"/>
      <c r="J208" s="23"/>
      <c r="K208" s="23"/>
      <c r="L208" s="23"/>
    </row>
    <row r="209" spans="1:16" x14ac:dyDescent="0.25">
      <c r="B209" s="4" t="s">
        <v>642</v>
      </c>
      <c r="C209" s="6"/>
      <c r="D209" s="6"/>
      <c r="E209" s="6"/>
      <c r="F209" s="6"/>
      <c r="G209" s="6"/>
      <c r="H209" s="6"/>
      <c r="I209" s="6"/>
      <c r="J209" s="6"/>
      <c r="K209" s="6"/>
      <c r="L209" s="6"/>
    </row>
    <row r="210" spans="1:16" x14ac:dyDescent="0.25">
      <c r="A210" s="9"/>
      <c r="B210" s="9"/>
      <c r="C210" s="9"/>
      <c r="D210" s="9"/>
      <c r="E210" s="9"/>
      <c r="F210" s="9"/>
      <c r="G210" s="9"/>
      <c r="H210" s="9"/>
      <c r="I210" s="9"/>
      <c r="J210" s="9"/>
      <c r="K210" s="9"/>
      <c r="L210" s="9"/>
      <c r="M210" s="9"/>
      <c r="N210" s="9"/>
      <c r="O210" s="9"/>
      <c r="P210" s="9"/>
    </row>
    <row r="211" spans="1:16" x14ac:dyDescent="0.25">
      <c r="A211" s="13" t="s">
        <v>438</v>
      </c>
      <c r="B211" s="6"/>
      <c r="C211" s="6"/>
      <c r="D211" s="6"/>
      <c r="E211" s="6"/>
      <c r="F211" s="6"/>
      <c r="G211" s="6"/>
      <c r="H211" s="6"/>
      <c r="I211" s="6"/>
      <c r="J211" s="6"/>
      <c r="K211" s="6"/>
      <c r="L211" s="6"/>
      <c r="M211" s="6"/>
      <c r="N211" s="6"/>
      <c r="O211" s="6"/>
      <c r="P211" s="6"/>
    </row>
    <row r="212" spans="1:16" x14ac:dyDescent="0.25">
      <c r="B212" s="6"/>
      <c r="C212" s="6"/>
      <c r="D212" s="6"/>
      <c r="E212" s="6"/>
      <c r="F212" s="6"/>
      <c r="G212" s="6"/>
      <c r="H212" s="6"/>
      <c r="I212" s="6"/>
      <c r="J212" s="6"/>
      <c r="K212" s="6"/>
      <c r="L212" s="6"/>
      <c r="M212" s="6"/>
      <c r="N212" s="6"/>
      <c r="O212" s="6"/>
      <c r="P212" s="6"/>
    </row>
    <row r="213" spans="1:16" x14ac:dyDescent="0.25">
      <c r="B213" s="5" t="s">
        <v>452</v>
      </c>
      <c r="C213" s="5"/>
      <c r="I213" s="6"/>
      <c r="J213" s="20" t="s">
        <v>454</v>
      </c>
      <c r="K213" s="20" t="s">
        <v>389</v>
      </c>
      <c r="L213" s="20" t="s">
        <v>388</v>
      </c>
    </row>
    <row r="214" spans="1:16" x14ac:dyDescent="0.25">
      <c r="B214" s="2" t="s">
        <v>13</v>
      </c>
      <c r="C214" s="2" t="s">
        <v>334</v>
      </c>
      <c r="D214" s="2" t="s">
        <v>335</v>
      </c>
      <c r="E214" s="2" t="s">
        <v>336</v>
      </c>
      <c r="F214" s="2" t="s">
        <v>5</v>
      </c>
      <c r="G214" s="2" t="s">
        <v>342</v>
      </c>
      <c r="H214" s="2" t="s">
        <v>343</v>
      </c>
      <c r="I214" s="2" t="s">
        <v>341</v>
      </c>
      <c r="J214" s="2" t="s">
        <v>344</v>
      </c>
      <c r="K214" s="2" t="s">
        <v>345</v>
      </c>
      <c r="L214" s="2" t="s">
        <v>346</v>
      </c>
    </row>
    <row r="215" spans="1:16" x14ac:dyDescent="0.25">
      <c r="B215" s="77" t="s">
        <v>340</v>
      </c>
      <c r="C215" s="188">
        <v>31.4</v>
      </c>
      <c r="D215" s="188">
        <v>17.600000000000001</v>
      </c>
      <c r="E215" s="188">
        <v>90.1</v>
      </c>
      <c r="F215" s="12" t="s">
        <v>215</v>
      </c>
      <c r="G215" s="16">
        <f t="shared" ref="G215:I219" si="22">C215/1000/1.035</f>
        <v>3.0338164251207729E-2</v>
      </c>
      <c r="H215" s="16">
        <f t="shared" si="22"/>
        <v>1.70048309178744E-2</v>
      </c>
      <c r="I215" s="16">
        <f t="shared" si="22"/>
        <v>8.7053140096618367E-2</v>
      </c>
      <c r="J215" s="21">
        <f>G215/$G$215</f>
        <v>1</v>
      </c>
      <c r="K215" s="232"/>
      <c r="L215" s="232"/>
    </row>
    <row r="216" spans="1:16" x14ac:dyDescent="0.25">
      <c r="B216" s="77" t="s">
        <v>333</v>
      </c>
      <c r="C216" s="21">
        <v>1.7</v>
      </c>
      <c r="D216" s="16">
        <v>0.6</v>
      </c>
      <c r="E216" s="21">
        <v>4</v>
      </c>
      <c r="F216" s="12" t="s">
        <v>215</v>
      </c>
      <c r="G216" s="233">
        <f t="shared" si="22"/>
        <v>1.6425120772946861E-3</v>
      </c>
      <c r="H216" s="233">
        <f t="shared" si="22"/>
        <v>5.7971014492753622E-4</v>
      </c>
      <c r="I216" s="233">
        <f t="shared" si="22"/>
        <v>3.8647342995169085E-3</v>
      </c>
      <c r="J216" s="16">
        <f t="shared" ref="J216:J229" si="23">G216/$G$215</f>
        <v>5.4140127388535034E-2</v>
      </c>
      <c r="K216" s="16">
        <f t="shared" ref="K216:K229" si="24">H216/$G$215</f>
        <v>1.9108280254777069E-2</v>
      </c>
      <c r="L216" s="16">
        <f t="shared" ref="L216:L229" si="25">I216/$G$215</f>
        <v>0.12738853503184713</v>
      </c>
    </row>
    <row r="217" spans="1:16" x14ac:dyDescent="0.25">
      <c r="B217" s="77" t="s">
        <v>127</v>
      </c>
      <c r="C217" s="16">
        <v>0.9</v>
      </c>
      <c r="D217" s="16">
        <v>0.4</v>
      </c>
      <c r="E217" s="21">
        <v>1</v>
      </c>
      <c r="F217" s="12" t="s">
        <v>215</v>
      </c>
      <c r="G217" s="233">
        <f t="shared" si="22"/>
        <v>8.6956521739130438E-4</v>
      </c>
      <c r="H217" s="233">
        <f t="shared" si="22"/>
        <v>3.8647342995169087E-4</v>
      </c>
      <c r="I217" s="233">
        <f t="shared" si="22"/>
        <v>9.6618357487922714E-4</v>
      </c>
      <c r="J217" s="16">
        <f t="shared" si="23"/>
        <v>2.8662420382165606E-2</v>
      </c>
      <c r="K217" s="16">
        <f t="shared" si="24"/>
        <v>1.2738853503184716E-2</v>
      </c>
      <c r="L217" s="16">
        <f t="shared" si="25"/>
        <v>3.1847133757961783E-2</v>
      </c>
    </row>
    <row r="218" spans="1:16" x14ac:dyDescent="0.25">
      <c r="B218" s="77" t="s">
        <v>3</v>
      </c>
      <c r="C218" s="16">
        <v>0.3</v>
      </c>
      <c r="D218" s="16">
        <v>0.1</v>
      </c>
      <c r="E218" s="16">
        <v>0.8</v>
      </c>
      <c r="F218" s="12" t="s">
        <v>215</v>
      </c>
      <c r="G218" s="233">
        <f t="shared" si="22"/>
        <v>2.8985507246376811E-4</v>
      </c>
      <c r="H218" s="233">
        <f t="shared" si="22"/>
        <v>9.6618357487922716E-5</v>
      </c>
      <c r="I218" s="233">
        <f t="shared" si="22"/>
        <v>7.7294685990338173E-4</v>
      </c>
      <c r="J218" s="233">
        <f t="shared" si="23"/>
        <v>9.5541401273885346E-3</v>
      </c>
      <c r="K218" s="233">
        <f t="shared" si="24"/>
        <v>3.1847133757961789E-3</v>
      </c>
      <c r="L218" s="16">
        <f t="shared" si="25"/>
        <v>2.5477707006369432E-2</v>
      </c>
    </row>
    <row r="219" spans="1:16" x14ac:dyDescent="0.25">
      <c r="B219" s="77" t="s">
        <v>146</v>
      </c>
      <c r="C219" s="21">
        <v>1.4</v>
      </c>
      <c r="D219" s="16">
        <v>0.8</v>
      </c>
      <c r="E219" s="21">
        <v>3.1</v>
      </c>
      <c r="F219" s="12" t="s">
        <v>215</v>
      </c>
      <c r="G219" s="233">
        <f t="shared" si="22"/>
        <v>1.3526570048309179E-3</v>
      </c>
      <c r="H219" s="233">
        <f t="shared" si="22"/>
        <v>7.7294685990338173E-4</v>
      </c>
      <c r="I219" s="233">
        <f t="shared" si="22"/>
        <v>2.9951690821256038E-3</v>
      </c>
      <c r="J219" s="16">
        <f t="shared" si="23"/>
        <v>4.4585987261146501E-2</v>
      </c>
      <c r="K219" s="16">
        <f t="shared" si="24"/>
        <v>2.5477707006369432E-2</v>
      </c>
      <c r="L219" s="16">
        <f t="shared" si="25"/>
        <v>9.8726114649681534E-2</v>
      </c>
    </row>
    <row r="220" spans="1:16" x14ac:dyDescent="0.25">
      <c r="B220" s="77" t="s">
        <v>271</v>
      </c>
      <c r="C220" s="244">
        <v>155</v>
      </c>
      <c r="D220" s="188">
        <v>48</v>
      </c>
      <c r="E220" s="244">
        <v>457</v>
      </c>
      <c r="F220" s="12" t="s">
        <v>124</v>
      </c>
      <c r="G220" s="233">
        <f>C220/1000000/1.035</f>
        <v>1.4975845410628019E-4</v>
      </c>
      <c r="H220" s="233">
        <f>D220/1000000/1.035</f>
        <v>4.6376811594202906E-5</v>
      </c>
      <c r="I220" s="233">
        <f>E220/1000000/1.035</f>
        <v>4.4154589371980677E-4</v>
      </c>
      <c r="J220" s="233">
        <f t="shared" si="23"/>
        <v>4.9363057324840762E-3</v>
      </c>
      <c r="K220" s="233">
        <f t="shared" si="24"/>
        <v>1.5286624203821658E-3</v>
      </c>
      <c r="L220" s="16">
        <f t="shared" si="25"/>
        <v>1.4554140127388536E-2</v>
      </c>
    </row>
    <row r="221" spans="1:16" x14ac:dyDescent="0.25">
      <c r="B221" s="77" t="s">
        <v>267</v>
      </c>
      <c r="C221" s="233">
        <v>1293</v>
      </c>
      <c r="D221" s="244">
        <v>192</v>
      </c>
      <c r="E221" s="233">
        <v>4026</v>
      </c>
      <c r="F221" s="12" t="s">
        <v>124</v>
      </c>
      <c r="G221" s="233">
        <f t="shared" ref="G221:G229" si="26">C221/1000000/1.035</f>
        <v>1.2492753623188407E-3</v>
      </c>
      <c r="H221" s="233">
        <f t="shared" ref="H221:H229" si="27">D221/1000000/1.035</f>
        <v>1.8550724637681162E-4</v>
      </c>
      <c r="I221" s="233">
        <f t="shared" ref="I221:I229" si="28">E221/1000000/1.035</f>
        <v>3.8898550724637683E-3</v>
      </c>
      <c r="J221" s="16">
        <f t="shared" si="23"/>
        <v>4.1178343949044592E-2</v>
      </c>
      <c r="K221" s="233">
        <f t="shared" si="24"/>
        <v>6.1146496815286631E-3</v>
      </c>
      <c r="L221" s="16">
        <f t="shared" si="25"/>
        <v>0.12821656050955416</v>
      </c>
    </row>
    <row r="222" spans="1:16" x14ac:dyDescent="0.25">
      <c r="B222" s="77" t="s">
        <v>167</v>
      </c>
      <c r="C222" s="244">
        <v>290</v>
      </c>
      <c r="D222" s="188">
        <v>79</v>
      </c>
      <c r="E222" s="244">
        <v>698</v>
      </c>
      <c r="F222" s="12" t="s">
        <v>124</v>
      </c>
      <c r="G222" s="233">
        <f t="shared" si="26"/>
        <v>2.8019323671497589E-4</v>
      </c>
      <c r="H222" s="233">
        <f t="shared" si="27"/>
        <v>7.6328502415458946E-5</v>
      </c>
      <c r="I222" s="233">
        <f t="shared" si="28"/>
        <v>6.7439613526570062E-4</v>
      </c>
      <c r="J222" s="233">
        <f t="shared" si="23"/>
        <v>9.2356687898089186E-3</v>
      </c>
      <c r="K222" s="233">
        <f t="shared" si="24"/>
        <v>2.515923566878981E-3</v>
      </c>
      <c r="L222" s="16">
        <f t="shared" si="25"/>
        <v>2.2229299363057328E-2</v>
      </c>
    </row>
    <row r="223" spans="1:16" x14ac:dyDescent="0.25">
      <c r="B223" s="77" t="s">
        <v>272</v>
      </c>
      <c r="C223" s="244">
        <v>525</v>
      </c>
      <c r="D223" s="188">
        <v>66</v>
      </c>
      <c r="E223" s="233">
        <v>1842</v>
      </c>
      <c r="F223" s="12" t="s">
        <v>124</v>
      </c>
      <c r="G223" s="233">
        <f t="shared" si="26"/>
        <v>5.0724637681159423E-4</v>
      </c>
      <c r="H223" s="233">
        <f t="shared" si="27"/>
        <v>6.3768115942028998E-5</v>
      </c>
      <c r="I223" s="233">
        <f t="shared" si="28"/>
        <v>1.7797101449275364E-3</v>
      </c>
      <c r="J223" s="16">
        <f t="shared" si="23"/>
        <v>1.6719745222929936E-2</v>
      </c>
      <c r="K223" s="233">
        <f t="shared" si="24"/>
        <v>2.1019108280254783E-3</v>
      </c>
      <c r="L223" s="16">
        <f t="shared" si="25"/>
        <v>5.8662420382165611E-2</v>
      </c>
    </row>
    <row r="224" spans="1:16" x14ac:dyDescent="0.25">
      <c r="B224" s="77" t="s">
        <v>337</v>
      </c>
      <c r="C224" s="244">
        <v>558</v>
      </c>
      <c r="D224" s="244">
        <v>366</v>
      </c>
      <c r="E224" s="233">
        <v>1418</v>
      </c>
      <c r="F224" s="12" t="s">
        <v>124</v>
      </c>
      <c r="G224" s="233">
        <f t="shared" si="26"/>
        <v>5.3913043478260876E-4</v>
      </c>
      <c r="H224" s="233">
        <f t="shared" si="27"/>
        <v>3.5362318840579716E-4</v>
      </c>
      <c r="I224" s="233">
        <f t="shared" si="28"/>
        <v>1.370048309178744E-3</v>
      </c>
      <c r="J224" s="16">
        <f t="shared" si="23"/>
        <v>1.7770700636942676E-2</v>
      </c>
      <c r="K224" s="16">
        <f t="shared" si="24"/>
        <v>1.1656050955414015E-2</v>
      </c>
      <c r="L224" s="16">
        <f t="shared" si="25"/>
        <v>4.5159235668789814E-2</v>
      </c>
    </row>
    <row r="225" spans="2:12" x14ac:dyDescent="0.25">
      <c r="B225" s="77" t="s">
        <v>338</v>
      </c>
      <c r="C225" s="244">
        <v>106</v>
      </c>
      <c r="D225" s="188">
        <v>30</v>
      </c>
      <c r="E225" s="244">
        <v>301</v>
      </c>
      <c r="F225" s="12" t="s">
        <v>124</v>
      </c>
      <c r="G225" s="233">
        <f t="shared" si="26"/>
        <v>1.0241545893719807E-4</v>
      </c>
      <c r="H225" s="233">
        <f t="shared" si="27"/>
        <v>2.8985507246376814E-5</v>
      </c>
      <c r="I225" s="233">
        <f t="shared" si="28"/>
        <v>2.9082125603864734E-4</v>
      </c>
      <c r="J225" s="233">
        <f t="shared" si="23"/>
        <v>3.3757961783439493E-3</v>
      </c>
      <c r="K225" s="233">
        <f t="shared" si="24"/>
        <v>9.5541401273885362E-4</v>
      </c>
      <c r="L225" s="233">
        <f t="shared" si="25"/>
        <v>9.5859872611464975E-3</v>
      </c>
    </row>
    <row r="226" spans="2:12" x14ac:dyDescent="0.25">
      <c r="B226" s="77" t="s">
        <v>270</v>
      </c>
      <c r="C226" s="188">
        <v>10.3</v>
      </c>
      <c r="D226" s="21">
        <v>3.2</v>
      </c>
      <c r="E226" s="188">
        <v>27.5</v>
      </c>
      <c r="F226" s="12" t="s">
        <v>124</v>
      </c>
      <c r="G226" s="233">
        <f t="shared" si="26"/>
        <v>9.9516908212560415E-6</v>
      </c>
      <c r="H226" s="233">
        <f t="shared" si="27"/>
        <v>3.0917874396135272E-6</v>
      </c>
      <c r="I226" s="233">
        <f t="shared" si="28"/>
        <v>2.6570048309178748E-5</v>
      </c>
      <c r="J226" s="233">
        <f t="shared" si="23"/>
        <v>3.2802547770700646E-4</v>
      </c>
      <c r="K226" s="233">
        <f t="shared" si="24"/>
        <v>1.0191082802547772E-4</v>
      </c>
      <c r="L226" s="233">
        <f t="shared" si="25"/>
        <v>8.7579617834394918E-4</v>
      </c>
    </row>
    <row r="227" spans="2:12" x14ac:dyDescent="0.25">
      <c r="B227" s="77" t="s">
        <v>268</v>
      </c>
      <c r="C227" s="188">
        <v>14.4</v>
      </c>
      <c r="D227" s="21">
        <v>7.7</v>
      </c>
      <c r="E227" s="188">
        <v>28.3</v>
      </c>
      <c r="F227" s="12" t="s">
        <v>124</v>
      </c>
      <c r="G227" s="233">
        <f t="shared" si="26"/>
        <v>1.3913043478260872E-5</v>
      </c>
      <c r="H227" s="233">
        <f t="shared" si="27"/>
        <v>7.4396135265700498E-6</v>
      </c>
      <c r="I227" s="233">
        <f t="shared" si="28"/>
        <v>2.7342995169082127E-5</v>
      </c>
      <c r="J227" s="233">
        <f t="shared" si="23"/>
        <v>4.5859872611464975E-4</v>
      </c>
      <c r="K227" s="233">
        <f t="shared" si="24"/>
        <v>2.4522292993630577E-4</v>
      </c>
      <c r="L227" s="233">
        <f t="shared" si="25"/>
        <v>9.0127388535031852E-4</v>
      </c>
    </row>
    <row r="228" spans="2:12" x14ac:dyDescent="0.25">
      <c r="B228" s="77" t="s">
        <v>269</v>
      </c>
      <c r="C228" s="21">
        <v>6.9</v>
      </c>
      <c r="D228" s="21">
        <v>1.4</v>
      </c>
      <c r="E228" s="188">
        <v>13</v>
      </c>
      <c r="F228" s="12" t="s">
        <v>124</v>
      </c>
      <c r="G228" s="233">
        <f t="shared" si="26"/>
        <v>6.6666666666666675E-6</v>
      </c>
      <c r="H228" s="233">
        <f t="shared" si="27"/>
        <v>1.352657004830918E-6</v>
      </c>
      <c r="I228" s="233">
        <f t="shared" si="28"/>
        <v>1.2560386473429953E-5</v>
      </c>
      <c r="J228" s="233">
        <f t="shared" si="23"/>
        <v>2.1974522292993634E-4</v>
      </c>
      <c r="K228" s="233">
        <f t="shared" si="24"/>
        <v>4.4585987261146499E-5</v>
      </c>
      <c r="L228" s="233">
        <f t="shared" si="25"/>
        <v>4.1401273885350323E-4</v>
      </c>
    </row>
    <row r="229" spans="2:12" x14ac:dyDescent="0.25">
      <c r="B229" s="77" t="s">
        <v>339</v>
      </c>
      <c r="C229" s="21">
        <v>2.6</v>
      </c>
      <c r="D229" s="21">
        <v>1.3</v>
      </c>
      <c r="E229" s="21">
        <v>4.8</v>
      </c>
      <c r="F229" s="12" t="s">
        <v>124</v>
      </c>
      <c r="G229" s="233">
        <f t="shared" si="26"/>
        <v>2.5120772946859904E-6</v>
      </c>
      <c r="H229" s="233">
        <f t="shared" si="27"/>
        <v>1.2560386473429952E-6</v>
      </c>
      <c r="I229" s="233">
        <f t="shared" si="28"/>
        <v>4.6376811594202897E-6</v>
      </c>
      <c r="J229" s="233">
        <f t="shared" si="23"/>
        <v>8.2802547770700636E-5</v>
      </c>
      <c r="K229" s="233">
        <f t="shared" si="24"/>
        <v>4.1401273885350318E-5</v>
      </c>
      <c r="L229" s="233">
        <f t="shared" si="25"/>
        <v>1.5286624203821655E-4</v>
      </c>
    </row>
    <row r="230" spans="2:12" x14ac:dyDescent="0.25">
      <c r="B230" s="27" t="s">
        <v>402</v>
      </c>
    </row>
    <row r="231" spans="2:12" x14ac:dyDescent="0.25">
      <c r="B231" s="4" t="s">
        <v>642</v>
      </c>
    </row>
    <row r="232" spans="2:12" x14ac:dyDescent="0.25"/>
    <row r="233" spans="2:12" x14ac:dyDescent="0.25"/>
    <row r="234" spans="2:12" x14ac:dyDescent="0.25"/>
    <row r="235" spans="2:12" x14ac:dyDescent="0.25"/>
    <row r="236" spans="2:12" x14ac:dyDescent="0.25"/>
    <row r="237" spans="2:12" x14ac:dyDescent="0.25"/>
    <row r="238" spans="2:12" x14ac:dyDescent="0.25"/>
    <row r="239" spans="2:12" x14ac:dyDescent="0.25"/>
    <row r="240" spans="2:12"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sheetData>
  <mergeCells count="1">
    <mergeCell ref="B22:E2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124"/>
  <sheetViews>
    <sheetView zoomScale="70" zoomScaleNormal="70" workbookViewId="0">
      <selection sqref="A1:XFD1"/>
    </sheetView>
  </sheetViews>
  <sheetFormatPr defaultColWidth="0" defaultRowHeight="15.75" zeroHeight="1" x14ac:dyDescent="0.25"/>
  <cols>
    <col min="1" max="1" width="22.7109375" style="4" customWidth="1"/>
    <col min="2" max="2" width="38.140625" style="34" bestFit="1" customWidth="1"/>
    <col min="3" max="3" width="46" style="4" customWidth="1"/>
    <col min="4" max="4" width="44.140625" style="4" bestFit="1" customWidth="1"/>
    <col min="5" max="5" width="53" style="4" bestFit="1" customWidth="1"/>
    <col min="6" max="6" width="47.7109375" style="4" bestFit="1" customWidth="1"/>
    <col min="7" max="7" width="31.5703125" style="4" customWidth="1"/>
    <col min="8" max="22" width="9.140625" style="4" customWidth="1"/>
    <col min="23" max="25" width="9.140625" style="4" hidden="1" customWidth="1"/>
    <col min="26" max="16384" width="0" style="4" hidden="1"/>
  </cols>
  <sheetData>
    <row r="1" spans="1:35" x14ac:dyDescent="0.25">
      <c r="A1" s="5" t="s">
        <v>430</v>
      </c>
    </row>
    <row r="2" spans="1:35" ht="15.75" customHeight="1" x14ac:dyDescent="0.25">
      <c r="A2" s="261" t="s">
        <v>431</v>
      </c>
      <c r="B2" s="261"/>
      <c r="C2" s="261"/>
      <c r="D2" s="261"/>
      <c r="E2" s="261"/>
      <c r="F2" s="261"/>
      <c r="G2" s="261"/>
    </row>
    <row r="3" spans="1:35" x14ac:dyDescent="0.25">
      <c r="A3" s="261"/>
      <c r="B3" s="261"/>
      <c r="C3" s="261"/>
      <c r="D3" s="261"/>
      <c r="E3" s="261"/>
      <c r="F3" s="261"/>
      <c r="G3" s="261"/>
    </row>
    <row r="4" spans="1:35" x14ac:dyDescent="0.25">
      <c r="A4" s="261"/>
      <c r="B4" s="261"/>
      <c r="C4" s="261"/>
      <c r="D4" s="261"/>
      <c r="E4" s="261"/>
      <c r="F4" s="261"/>
      <c r="G4" s="261"/>
    </row>
    <row r="5" spans="1:35" x14ac:dyDescent="0.25"/>
    <row r="6" spans="1:35" x14ac:dyDescent="0.25">
      <c r="B6" s="52" t="s">
        <v>11</v>
      </c>
      <c r="C6" s="9"/>
      <c r="D6" s="9"/>
      <c r="E6" s="9"/>
      <c r="F6" s="9"/>
      <c r="G6" s="9"/>
      <c r="H6" s="6"/>
      <c r="I6" s="6"/>
      <c r="J6" s="6"/>
      <c r="K6" s="5" t="s">
        <v>202</v>
      </c>
      <c r="L6" s="6"/>
      <c r="M6" s="6"/>
    </row>
    <row r="7" spans="1:35" x14ac:dyDescent="0.25">
      <c r="B7" s="8" t="s">
        <v>12</v>
      </c>
      <c r="C7" s="4" t="s">
        <v>208</v>
      </c>
      <c r="H7" s="6"/>
      <c r="I7" s="6"/>
      <c r="J7" s="6"/>
      <c r="K7" s="6"/>
      <c r="L7" s="6"/>
      <c r="M7" s="6"/>
    </row>
    <row r="8" spans="1:35" x14ac:dyDescent="0.25">
      <c r="B8" s="8" t="s">
        <v>12</v>
      </c>
      <c r="C8" s="4" t="s">
        <v>729</v>
      </c>
    </row>
    <row r="9" spans="1:35" ht="33.75" customHeight="1" x14ac:dyDescent="0.25">
      <c r="B9" s="46" t="s">
        <v>12</v>
      </c>
      <c r="C9" s="260" t="s">
        <v>730</v>
      </c>
      <c r="D9" s="260"/>
      <c r="E9" s="260"/>
      <c r="F9" s="260"/>
      <c r="G9" s="260"/>
    </row>
    <row r="10" spans="1:35" x14ac:dyDescent="0.25">
      <c r="B10" s="8" t="s">
        <v>12</v>
      </c>
      <c r="C10" s="4" t="s">
        <v>329</v>
      </c>
    </row>
    <row r="11" spans="1:35" x14ac:dyDescent="0.25"/>
    <row r="12" spans="1:35" x14ac:dyDescent="0.25">
      <c r="A12" s="5"/>
    </row>
    <row r="13" spans="1:35" s="5" customFormat="1" x14ac:dyDescent="0.25">
      <c r="A13" s="4"/>
      <c r="B13" s="32" t="s">
        <v>399</v>
      </c>
      <c r="C13" s="33"/>
      <c r="D13" s="9"/>
      <c r="E13" s="9"/>
      <c r="F13" s="9"/>
      <c r="G13" s="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5">
      <c r="B14" s="51" t="s">
        <v>398</v>
      </c>
      <c r="C14" s="2" t="s">
        <v>150</v>
      </c>
      <c r="D14" s="2" t="s">
        <v>151</v>
      </c>
      <c r="E14" s="2" t="s">
        <v>16</v>
      </c>
      <c r="F14" s="2" t="s">
        <v>15</v>
      </c>
      <c r="G14" s="5"/>
      <c r="H14" s="5"/>
      <c r="I14" s="5"/>
      <c r="J14" s="5"/>
    </row>
    <row r="15" spans="1:35" x14ac:dyDescent="0.25">
      <c r="B15" s="35" t="s">
        <v>203</v>
      </c>
      <c r="C15" s="150" t="s">
        <v>204</v>
      </c>
      <c r="D15" s="12" t="s">
        <v>205</v>
      </c>
      <c r="E15" s="12" t="s">
        <v>206</v>
      </c>
      <c r="F15" s="12" t="s">
        <v>207</v>
      </c>
      <c r="K15" s="5"/>
      <c r="L15" s="5"/>
      <c r="M15" s="5"/>
      <c r="N15" s="5"/>
      <c r="O15" s="5"/>
      <c r="P15" s="5"/>
      <c r="Q15" s="5"/>
      <c r="R15" s="5"/>
      <c r="S15" s="5"/>
      <c r="T15" s="5"/>
      <c r="U15" s="5"/>
      <c r="V15" s="5"/>
      <c r="W15" s="5"/>
      <c r="X15" s="5"/>
      <c r="Y15" s="5"/>
      <c r="Z15" s="5"/>
      <c r="AA15" s="5"/>
      <c r="AB15" s="5"/>
      <c r="AC15" s="5"/>
      <c r="AD15" s="5"/>
      <c r="AE15" s="5"/>
      <c r="AF15" s="5"/>
      <c r="AG15" s="5"/>
      <c r="AH15" s="5"/>
    </row>
    <row r="16" spans="1:35" x14ac:dyDescent="0.25">
      <c r="B16" s="35" t="s">
        <v>203</v>
      </c>
      <c r="C16" s="188">
        <f>20</f>
        <v>20</v>
      </c>
      <c r="D16" s="12" t="s">
        <v>205</v>
      </c>
      <c r="E16" s="12"/>
      <c r="F16" s="12" t="s">
        <v>316</v>
      </c>
    </row>
    <row r="17" spans="2:35" x14ac:dyDescent="0.25">
      <c r="B17" s="35" t="s">
        <v>240</v>
      </c>
      <c r="C17" s="21">
        <v>1.214</v>
      </c>
      <c r="D17" s="12" t="s">
        <v>175</v>
      </c>
      <c r="E17" s="12" t="s">
        <v>239</v>
      </c>
      <c r="F17" s="12"/>
    </row>
    <row r="18" spans="2:35" x14ac:dyDescent="0.25">
      <c r="B18" s="35" t="s">
        <v>684</v>
      </c>
      <c r="C18" s="188">
        <f>AVERAGE(12, 18)</f>
        <v>15</v>
      </c>
      <c r="D18" s="12" t="s">
        <v>685</v>
      </c>
      <c r="E18" s="12"/>
      <c r="F18" s="12" t="s">
        <v>682</v>
      </c>
    </row>
    <row r="19" spans="2:35" x14ac:dyDescent="0.25">
      <c r="B19" s="36"/>
      <c r="C19" s="175"/>
      <c r="D19" s="6"/>
      <c r="E19" s="6"/>
      <c r="F19" s="6"/>
      <c r="G19" s="6"/>
    </row>
    <row r="20" spans="2:35" x14ac:dyDescent="0.25">
      <c r="B20" s="38" t="s">
        <v>297</v>
      </c>
    </row>
    <row r="21" spans="2:35" x14ac:dyDescent="0.25">
      <c r="B21" s="51" t="s">
        <v>398</v>
      </c>
      <c r="C21" s="2" t="s">
        <v>150</v>
      </c>
      <c r="D21" s="2" t="s">
        <v>151</v>
      </c>
      <c r="E21" s="2" t="s">
        <v>16</v>
      </c>
      <c r="F21" s="2" t="s">
        <v>15</v>
      </c>
      <c r="G21" s="2" t="s">
        <v>195</v>
      </c>
      <c r="H21" s="5"/>
      <c r="I21" s="5"/>
      <c r="J21" s="5"/>
    </row>
    <row r="22" spans="2:35" x14ac:dyDescent="0.25">
      <c r="B22" s="35" t="s">
        <v>158</v>
      </c>
      <c r="C22" s="16">
        <v>0.36</v>
      </c>
      <c r="D22" s="12" t="s">
        <v>159</v>
      </c>
      <c r="E22" s="12"/>
      <c r="F22" s="12" t="s">
        <v>181</v>
      </c>
      <c r="G22" s="39" t="s">
        <v>759</v>
      </c>
      <c r="K22" s="5"/>
      <c r="L22" s="5"/>
      <c r="M22" s="5"/>
      <c r="N22" s="5"/>
      <c r="O22" s="5"/>
      <c r="P22" s="5"/>
      <c r="Q22" s="5"/>
      <c r="R22" s="5"/>
      <c r="S22" s="5"/>
      <c r="T22" s="5"/>
      <c r="U22" s="5"/>
      <c r="V22" s="5"/>
      <c r="W22" s="5"/>
      <c r="X22" s="5"/>
      <c r="Y22" s="5"/>
      <c r="Z22" s="5"/>
      <c r="AA22" s="5"/>
      <c r="AB22" s="5"/>
      <c r="AC22" s="5"/>
      <c r="AD22" s="5"/>
      <c r="AE22" s="5"/>
      <c r="AF22" s="5"/>
      <c r="AG22" s="5"/>
      <c r="AH22" s="5"/>
      <c r="AI22" s="5"/>
    </row>
    <row r="23" spans="2:35" x14ac:dyDescent="0.25">
      <c r="B23" s="35" t="s">
        <v>186</v>
      </c>
      <c r="C23" s="16">
        <v>0.25</v>
      </c>
      <c r="D23" s="12" t="s">
        <v>187</v>
      </c>
      <c r="E23" s="12" t="s">
        <v>188</v>
      </c>
      <c r="F23" s="12" t="s">
        <v>182</v>
      </c>
      <c r="G23" s="40"/>
    </row>
    <row r="24" spans="2:35" x14ac:dyDescent="0.25">
      <c r="B24" s="35" t="s">
        <v>189</v>
      </c>
      <c r="C24" s="16">
        <v>0.36</v>
      </c>
      <c r="D24" s="12" t="s">
        <v>159</v>
      </c>
      <c r="E24" s="12" t="s">
        <v>190</v>
      </c>
      <c r="F24" s="12" t="s">
        <v>182</v>
      </c>
      <c r="G24" s="40" t="s">
        <v>307</v>
      </c>
    </row>
    <row r="25" spans="2:35" x14ac:dyDescent="0.25">
      <c r="B25" s="35" t="s">
        <v>189</v>
      </c>
      <c r="C25" s="16">
        <v>0.54</v>
      </c>
      <c r="D25" s="12" t="s">
        <v>159</v>
      </c>
      <c r="E25" s="12" t="s">
        <v>191</v>
      </c>
      <c r="F25" s="12" t="s">
        <v>182</v>
      </c>
      <c r="G25" s="40" t="s">
        <v>307</v>
      </c>
    </row>
    <row r="26" spans="2:35" x14ac:dyDescent="0.25">
      <c r="B26" s="35" t="s">
        <v>189</v>
      </c>
      <c r="C26" s="16">
        <v>0.18</v>
      </c>
      <c r="D26" s="12" t="s">
        <v>159</v>
      </c>
      <c r="E26" s="12" t="s">
        <v>192</v>
      </c>
      <c r="F26" s="12" t="s">
        <v>182</v>
      </c>
      <c r="G26" s="40" t="s">
        <v>307</v>
      </c>
    </row>
    <row r="27" spans="2:35" x14ac:dyDescent="0.25">
      <c r="B27" s="35" t="s">
        <v>189</v>
      </c>
      <c r="C27" s="16">
        <v>1.0999999999999999E-2</v>
      </c>
      <c r="D27" s="12" t="s">
        <v>159</v>
      </c>
      <c r="E27" s="12" t="s">
        <v>193</v>
      </c>
      <c r="F27" s="12" t="s">
        <v>182</v>
      </c>
      <c r="G27" s="40" t="s">
        <v>307</v>
      </c>
    </row>
    <row r="28" spans="2:35" x14ac:dyDescent="0.25">
      <c r="B28" s="35" t="s">
        <v>189</v>
      </c>
      <c r="C28" s="16">
        <v>2.8000000000000001E-2</v>
      </c>
      <c r="D28" s="12" t="s">
        <v>159</v>
      </c>
      <c r="E28" s="12" t="s">
        <v>194</v>
      </c>
      <c r="F28" s="12" t="s">
        <v>182</v>
      </c>
      <c r="G28" s="40" t="s">
        <v>307</v>
      </c>
    </row>
    <row r="29" spans="2:35" x14ac:dyDescent="0.25">
      <c r="B29" s="35" t="s">
        <v>209</v>
      </c>
      <c r="C29" s="21">
        <v>3.6</v>
      </c>
      <c r="D29" s="12" t="s">
        <v>176</v>
      </c>
      <c r="E29" s="12" t="s">
        <v>210</v>
      </c>
      <c r="F29" s="12" t="s">
        <v>207</v>
      </c>
      <c r="G29" s="39" t="s">
        <v>428</v>
      </c>
    </row>
    <row r="30" spans="2:35" x14ac:dyDescent="0.25">
      <c r="B30" s="35" t="s">
        <v>211</v>
      </c>
      <c r="C30" s="21">
        <v>4.8</v>
      </c>
      <c r="D30" s="12" t="s">
        <v>176</v>
      </c>
      <c r="E30" s="12" t="s">
        <v>212</v>
      </c>
      <c r="F30" s="12" t="s">
        <v>207</v>
      </c>
      <c r="G30" s="39" t="s">
        <v>428</v>
      </c>
    </row>
    <row r="31" spans="2:35" x14ac:dyDescent="0.25">
      <c r="B31" s="35" t="s">
        <v>209</v>
      </c>
      <c r="C31" s="16">
        <v>0.2</v>
      </c>
      <c r="D31" s="12" t="s">
        <v>176</v>
      </c>
      <c r="E31" s="12" t="s">
        <v>213</v>
      </c>
      <c r="F31" s="12" t="s">
        <v>207</v>
      </c>
      <c r="G31" s="40" t="s">
        <v>315</v>
      </c>
    </row>
    <row r="32" spans="2:35" x14ac:dyDescent="0.25">
      <c r="B32" s="35" t="s">
        <v>211</v>
      </c>
      <c r="C32" s="16">
        <v>0.3</v>
      </c>
      <c r="D32" s="12" t="s">
        <v>176</v>
      </c>
      <c r="E32" s="12" t="s">
        <v>213</v>
      </c>
      <c r="F32" s="12" t="s">
        <v>207</v>
      </c>
      <c r="G32" s="40" t="s">
        <v>315</v>
      </c>
    </row>
    <row r="33" spans="2:34" x14ac:dyDescent="0.25">
      <c r="G33" s="41"/>
    </row>
    <row r="34" spans="2:34" x14ac:dyDescent="0.25">
      <c r="B34" s="42" t="s">
        <v>302</v>
      </c>
      <c r="G34" s="41"/>
    </row>
    <row r="35" spans="2:34" x14ac:dyDescent="0.25">
      <c r="B35" s="51" t="s">
        <v>398</v>
      </c>
      <c r="C35" s="2" t="s">
        <v>150</v>
      </c>
      <c r="D35" s="2" t="s">
        <v>151</v>
      </c>
      <c r="E35" s="2" t="s">
        <v>16</v>
      </c>
      <c r="F35" s="2" t="s">
        <v>15</v>
      </c>
      <c r="G35" s="5"/>
      <c r="H35" s="5"/>
      <c r="I35" s="5"/>
      <c r="J35" s="5"/>
      <c r="K35" s="5" t="s">
        <v>202</v>
      </c>
    </row>
    <row r="36" spans="2:34" x14ac:dyDescent="0.25">
      <c r="B36" s="35" t="s">
        <v>189</v>
      </c>
      <c r="C36" s="16">
        <f>1.31/19.3</f>
        <v>6.7875647668393782E-2</v>
      </c>
      <c r="D36" s="12" t="s">
        <v>291</v>
      </c>
      <c r="E36" s="12" t="s">
        <v>293</v>
      </c>
      <c r="F36" s="12" t="s">
        <v>292</v>
      </c>
      <c r="K36" s="5"/>
      <c r="L36" s="5"/>
      <c r="M36" s="5"/>
      <c r="N36" s="5"/>
      <c r="O36" s="5"/>
      <c r="P36" s="5"/>
      <c r="Q36" s="5"/>
      <c r="R36" s="5"/>
      <c r="S36" s="5"/>
      <c r="T36" s="5"/>
      <c r="U36" s="5"/>
      <c r="V36" s="5"/>
      <c r="W36" s="5"/>
      <c r="X36" s="5"/>
      <c r="Y36" s="5"/>
      <c r="Z36" s="5"/>
      <c r="AA36" s="5"/>
      <c r="AB36" s="5"/>
      <c r="AC36" s="5"/>
      <c r="AD36" s="5"/>
      <c r="AE36" s="5"/>
      <c r="AF36" s="5"/>
      <c r="AG36" s="5"/>
      <c r="AH36" s="5"/>
    </row>
    <row r="37" spans="2:34" x14ac:dyDescent="0.25">
      <c r="B37" s="35" t="s">
        <v>189</v>
      </c>
      <c r="C37" s="16">
        <v>0.03</v>
      </c>
      <c r="D37" s="12" t="s">
        <v>159</v>
      </c>
      <c r="E37" s="12" t="s">
        <v>303</v>
      </c>
      <c r="F37" s="12" t="s">
        <v>182</v>
      </c>
    </row>
    <row r="38" spans="2:34" x14ac:dyDescent="0.25">
      <c r="B38" s="35" t="s">
        <v>189</v>
      </c>
      <c r="C38" s="16">
        <f>22/1000</f>
        <v>2.1999999999999999E-2</v>
      </c>
      <c r="D38" s="12" t="s">
        <v>200</v>
      </c>
      <c r="E38" s="12" t="s">
        <v>199</v>
      </c>
      <c r="F38" s="12" t="s">
        <v>196</v>
      </c>
    </row>
    <row r="39" spans="2:34" x14ac:dyDescent="0.25">
      <c r="B39" s="35" t="s">
        <v>189</v>
      </c>
      <c r="C39" s="16">
        <f>26/1000</f>
        <v>2.5999999999999999E-2</v>
      </c>
      <c r="D39" s="12" t="s">
        <v>200</v>
      </c>
      <c r="E39" s="12" t="s">
        <v>201</v>
      </c>
      <c r="F39" s="12" t="s">
        <v>196</v>
      </c>
    </row>
    <row r="40" spans="2:34" x14ac:dyDescent="0.25">
      <c r="B40" s="35" t="s">
        <v>309</v>
      </c>
      <c r="C40" s="16">
        <f>469/1000/20</f>
        <v>2.3449999999999999E-2</v>
      </c>
      <c r="D40" s="12" t="s">
        <v>319</v>
      </c>
      <c r="E40" s="12" t="s">
        <v>213</v>
      </c>
      <c r="F40" s="12" t="s">
        <v>320</v>
      </c>
    </row>
    <row r="41" spans="2:34" x14ac:dyDescent="0.25">
      <c r="B41" s="36" t="s">
        <v>690</v>
      </c>
      <c r="C41" s="49"/>
      <c r="D41" s="6"/>
      <c r="E41" s="6"/>
      <c r="F41" s="6"/>
    </row>
    <row r="42" spans="2:34" x14ac:dyDescent="0.25"/>
    <row r="43" spans="2:34" x14ac:dyDescent="0.25">
      <c r="B43" s="42" t="s">
        <v>304</v>
      </c>
    </row>
    <row r="44" spans="2:34" x14ac:dyDescent="0.25">
      <c r="B44" s="51" t="s">
        <v>398</v>
      </c>
      <c r="C44" s="2" t="s">
        <v>150</v>
      </c>
      <c r="D44" s="2" t="s">
        <v>151</v>
      </c>
      <c r="E44" s="2" t="s">
        <v>16</v>
      </c>
      <c r="F44" s="2" t="s">
        <v>15</v>
      </c>
      <c r="G44" s="5"/>
      <c r="H44" s="5"/>
      <c r="I44" s="5"/>
      <c r="J44" s="5"/>
    </row>
    <row r="45" spans="2:34" x14ac:dyDescent="0.25">
      <c r="B45" s="35" t="s">
        <v>264</v>
      </c>
      <c r="C45" s="43">
        <f>1-0.205</f>
        <v>0.79500000000000004</v>
      </c>
      <c r="D45" s="12"/>
      <c r="E45" s="12" t="s">
        <v>308</v>
      </c>
      <c r="F45" s="12" t="s">
        <v>257</v>
      </c>
      <c r="K45" s="5"/>
      <c r="L45" s="5"/>
      <c r="M45" s="5"/>
      <c r="N45" s="5"/>
      <c r="O45" s="5"/>
      <c r="P45" s="5"/>
      <c r="Q45" s="5"/>
      <c r="R45" s="5"/>
      <c r="S45" s="5"/>
      <c r="T45" s="5"/>
      <c r="U45" s="5"/>
      <c r="V45" s="5"/>
      <c r="W45" s="5"/>
      <c r="X45" s="5"/>
      <c r="Y45" s="5"/>
      <c r="Z45" s="5"/>
      <c r="AA45" s="5"/>
      <c r="AB45" s="5"/>
      <c r="AC45" s="5"/>
      <c r="AD45" s="5"/>
      <c r="AE45" s="5"/>
      <c r="AF45" s="5"/>
      <c r="AG45" s="5"/>
      <c r="AH45" s="5"/>
    </row>
    <row r="46" spans="2:34" x14ac:dyDescent="0.25">
      <c r="B46" s="35" t="s">
        <v>264</v>
      </c>
      <c r="C46" s="43">
        <v>0.86</v>
      </c>
      <c r="D46" s="12"/>
      <c r="E46" s="12"/>
      <c r="F46" s="12" t="s">
        <v>263</v>
      </c>
    </row>
    <row r="47" spans="2:34" x14ac:dyDescent="0.25">
      <c r="B47" s="36"/>
      <c r="C47" s="47"/>
      <c r="D47" s="6"/>
      <c r="E47" s="6"/>
      <c r="F47" s="6"/>
    </row>
    <row r="48" spans="2:34" x14ac:dyDescent="0.25">
      <c r="B48" s="42" t="s">
        <v>400</v>
      </c>
    </row>
    <row r="49" spans="2:16384" x14ac:dyDescent="0.25">
      <c r="B49" s="51" t="s">
        <v>398</v>
      </c>
      <c r="C49" s="2" t="s">
        <v>150</v>
      </c>
      <c r="D49" s="2" t="s">
        <v>151</v>
      </c>
      <c r="E49" s="2" t="s">
        <v>16</v>
      </c>
      <c r="F49" s="2" t="s">
        <v>15</v>
      </c>
      <c r="G49" s="2" t="s">
        <v>195</v>
      </c>
      <c r="H49" s="5"/>
      <c r="I49" s="5"/>
      <c r="J49" s="5"/>
    </row>
    <row r="50" spans="2:16384" x14ac:dyDescent="0.25">
      <c r="B50" s="35" t="s">
        <v>294</v>
      </c>
      <c r="C50" s="16">
        <f>C36/0.14</f>
        <v>0.48482605477424123</v>
      </c>
      <c r="D50" s="12" t="s">
        <v>295</v>
      </c>
      <c r="E50" s="12"/>
      <c r="F50" s="12" t="s">
        <v>292</v>
      </c>
      <c r="G50" s="12"/>
      <c r="K50" s="5"/>
      <c r="L50" s="5"/>
      <c r="M50" s="5"/>
      <c r="N50" s="5"/>
      <c r="O50" s="5"/>
      <c r="P50" s="5"/>
      <c r="Q50" s="5"/>
      <c r="R50" s="5"/>
      <c r="S50" s="5"/>
      <c r="T50" s="5"/>
      <c r="U50" s="5"/>
      <c r="V50" s="5"/>
      <c r="W50" s="5"/>
      <c r="X50" s="5"/>
      <c r="Y50" s="5"/>
      <c r="Z50" s="5"/>
      <c r="AA50" s="5"/>
      <c r="AB50" s="5"/>
      <c r="AC50" s="5"/>
      <c r="AD50" s="5"/>
      <c r="AE50" s="5"/>
      <c r="AF50" s="5"/>
      <c r="AG50" s="5"/>
      <c r="AH50" s="5"/>
      <c r="AI50" s="5"/>
    </row>
    <row r="51" spans="2:16384" x14ac:dyDescent="0.25">
      <c r="B51" s="35" t="s">
        <v>183</v>
      </c>
      <c r="C51" s="16">
        <v>0.5</v>
      </c>
      <c r="D51" s="12" t="s">
        <v>159</v>
      </c>
      <c r="E51" s="12" t="s">
        <v>184</v>
      </c>
      <c r="F51" s="12" t="s">
        <v>182</v>
      </c>
      <c r="G51" s="40" t="s">
        <v>305</v>
      </c>
    </row>
    <row r="52" spans="2:16384" x14ac:dyDescent="0.25">
      <c r="B52" s="35" t="s">
        <v>183</v>
      </c>
      <c r="C52" s="16">
        <v>0.25</v>
      </c>
      <c r="D52" s="12" t="s">
        <v>159</v>
      </c>
      <c r="E52" s="12" t="s">
        <v>185</v>
      </c>
      <c r="F52" s="12" t="s">
        <v>182</v>
      </c>
      <c r="G52" s="40" t="s">
        <v>306</v>
      </c>
    </row>
    <row r="53" spans="2:16384" x14ac:dyDescent="0.25">
      <c r="B53" s="35" t="s">
        <v>258</v>
      </c>
      <c r="C53" s="16">
        <f>29.5/0.205/1000</f>
        <v>0.14390243902439026</v>
      </c>
      <c r="D53" s="12" t="s">
        <v>176</v>
      </c>
      <c r="E53" s="12" t="s">
        <v>259</v>
      </c>
      <c r="F53" s="12" t="s">
        <v>257</v>
      </c>
      <c r="G53" s="40" t="s">
        <v>260</v>
      </c>
    </row>
    <row r="54" spans="2:16384" x14ac:dyDescent="0.25">
      <c r="B54" s="35" t="s">
        <v>189</v>
      </c>
      <c r="C54" s="16">
        <f>325/1000</f>
        <v>0.32500000000000001</v>
      </c>
      <c r="D54" s="12" t="s">
        <v>198</v>
      </c>
      <c r="E54" s="12" t="s">
        <v>201</v>
      </c>
      <c r="F54" s="12" t="s">
        <v>196</v>
      </c>
      <c r="G54" s="40"/>
    </row>
    <row r="55" spans="2:16384" x14ac:dyDescent="0.25">
      <c r="B55" s="35" t="s">
        <v>189</v>
      </c>
      <c r="C55" s="16">
        <f>244/1000</f>
        <v>0.24399999999999999</v>
      </c>
      <c r="D55" s="12" t="s">
        <v>198</v>
      </c>
      <c r="E55" s="12" t="s">
        <v>199</v>
      </c>
      <c r="F55" s="12" t="s">
        <v>196</v>
      </c>
      <c r="G55" s="12"/>
    </row>
    <row r="56" spans="2:16384" x14ac:dyDescent="0.25">
      <c r="B56" s="35" t="s">
        <v>309</v>
      </c>
      <c r="C56" s="16">
        <f>370/1000</f>
        <v>0.37</v>
      </c>
      <c r="D56" s="12" t="s">
        <v>310</v>
      </c>
      <c r="E56" s="12" t="s">
        <v>311</v>
      </c>
      <c r="F56" s="12" t="s">
        <v>313</v>
      </c>
      <c r="G56" s="12"/>
    </row>
    <row r="57" spans="2:16384" x14ac:dyDescent="0.25">
      <c r="B57" s="35" t="s">
        <v>309</v>
      </c>
      <c r="C57" s="16">
        <f>450/1000</f>
        <v>0.45</v>
      </c>
      <c r="D57" s="12" t="s">
        <v>310</v>
      </c>
      <c r="E57" s="12" t="s">
        <v>312</v>
      </c>
      <c r="F57" s="12" t="s">
        <v>313</v>
      </c>
      <c r="G57" s="12"/>
    </row>
    <row r="58" spans="2:16384" x14ac:dyDescent="0.25">
      <c r="B58" s="35" t="s">
        <v>309</v>
      </c>
      <c r="C58" s="16">
        <f>C40/0.08</f>
        <v>0.29312499999999997</v>
      </c>
      <c r="D58" s="12" t="s">
        <v>310</v>
      </c>
      <c r="E58" s="12" t="s">
        <v>311</v>
      </c>
      <c r="F58" s="12" t="s">
        <v>320</v>
      </c>
      <c r="G58" s="12"/>
      <c r="K58" s="5" t="s">
        <v>202</v>
      </c>
    </row>
    <row r="59" spans="2:16384" x14ac:dyDescent="0.25">
      <c r="B59" s="35" t="s">
        <v>690</v>
      </c>
      <c r="C59" s="188">
        <f>C18</f>
        <v>15</v>
      </c>
      <c r="D59" s="12" t="s">
        <v>691</v>
      </c>
      <c r="E59" s="12" t="s">
        <v>311</v>
      </c>
      <c r="F59" s="12" t="s">
        <v>682</v>
      </c>
      <c r="G59" s="12"/>
    </row>
    <row r="60" spans="2:16384" x14ac:dyDescent="0.25">
      <c r="B60" s="35" t="s">
        <v>710</v>
      </c>
      <c r="C60" s="16">
        <f>AVERAGE(C52,C53,C56,C58)</f>
        <v>0.26425685975609758</v>
      </c>
      <c r="D60" s="12" t="s">
        <v>310</v>
      </c>
      <c r="E60" s="12" t="s">
        <v>311</v>
      </c>
      <c r="F60" s="12" t="s">
        <v>474</v>
      </c>
      <c r="G60" s="6"/>
    </row>
    <row r="61" spans="2:16384" x14ac:dyDescent="0.25">
      <c r="B61" s="36"/>
      <c r="C61" s="49"/>
      <c r="D61" s="6"/>
      <c r="E61" s="6"/>
      <c r="F61" s="6"/>
      <c r="G61" s="6"/>
    </row>
    <row r="62" spans="2:16384" x14ac:dyDescent="0.25">
      <c r="B62" s="36"/>
      <c r="C62" s="49"/>
      <c r="D62" s="6"/>
      <c r="E62" s="6"/>
      <c r="F62" s="6"/>
      <c r="G62" s="6"/>
    </row>
    <row r="63" spans="2:16384" x14ac:dyDescent="0.25">
      <c r="B63" s="42" t="s">
        <v>300</v>
      </c>
      <c r="C63" s="44" t="str">
        <f>"--&gt;input to LCI"</f>
        <v>--&gt;input to LCI</v>
      </c>
    </row>
    <row r="64" spans="2:16384" x14ac:dyDescent="0.25">
      <c r="B64" s="51" t="s">
        <v>398</v>
      </c>
      <c r="C64" s="2" t="s">
        <v>150</v>
      </c>
      <c r="D64" s="2" t="s">
        <v>151</v>
      </c>
      <c r="E64" s="2" t="s">
        <v>16</v>
      </c>
      <c r="F64" s="2" t="s">
        <v>15</v>
      </c>
      <c r="G64" s="5"/>
      <c r="H64" s="5"/>
      <c r="I64" s="5"/>
      <c r="J64" s="5"/>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c r="XFD64" s="8"/>
    </row>
    <row r="65" spans="2:16383" x14ac:dyDescent="0.25">
      <c r="B65" s="35" t="s">
        <v>189</v>
      </c>
      <c r="C65" s="16">
        <f>C50/0.75</f>
        <v>0.64643473969898835</v>
      </c>
      <c r="D65" s="12" t="s">
        <v>301</v>
      </c>
      <c r="E65" s="12" t="s">
        <v>429</v>
      </c>
      <c r="F65" s="12" t="s">
        <v>292</v>
      </c>
      <c r="K65" s="5"/>
      <c r="L65" s="5"/>
      <c r="M65" s="5"/>
      <c r="N65" s="5"/>
      <c r="O65" s="5"/>
      <c r="P65" s="5"/>
      <c r="Q65" s="5"/>
      <c r="R65" s="5"/>
      <c r="S65" s="5"/>
      <c r="T65" s="5"/>
      <c r="U65" s="5"/>
      <c r="V65" s="5"/>
      <c r="W65" s="5"/>
      <c r="X65" s="5"/>
      <c r="Y65" s="5"/>
      <c r="Z65" s="5"/>
      <c r="AA65" s="5"/>
      <c r="AB65" s="5"/>
      <c r="AC65" s="5"/>
      <c r="AD65" s="5"/>
      <c r="AE65" s="5"/>
      <c r="AF65" s="5"/>
      <c r="AG65" s="5"/>
      <c r="AH65" s="5"/>
    </row>
    <row r="66" spans="2:16383" x14ac:dyDescent="0.25">
      <c r="B66" s="35" t="s">
        <v>183</v>
      </c>
      <c r="C66" s="245">
        <f>C51/0.75</f>
        <v>0.66666666666666663</v>
      </c>
      <c r="D66" s="12" t="s">
        <v>301</v>
      </c>
      <c r="E66" s="12" t="s">
        <v>429</v>
      </c>
      <c r="F66" s="12" t="s">
        <v>182</v>
      </c>
      <c r="G66" s="8"/>
      <c r="H66" s="8"/>
      <c r="I66" s="8"/>
      <c r="J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c r="XDV66" s="8"/>
      <c r="XDW66" s="8"/>
      <c r="XDX66" s="8"/>
      <c r="XDY66" s="8"/>
      <c r="XDZ66" s="8"/>
      <c r="XEA66" s="8"/>
      <c r="XEB66" s="8"/>
      <c r="XEC66" s="8"/>
      <c r="XED66" s="8"/>
      <c r="XEE66" s="8"/>
      <c r="XEF66" s="8"/>
      <c r="XEG66" s="8"/>
      <c r="XEH66" s="8"/>
      <c r="XEI66" s="8"/>
      <c r="XEJ66" s="8"/>
      <c r="XEK66" s="8"/>
      <c r="XEL66" s="8"/>
      <c r="XEM66" s="8"/>
      <c r="XEN66" s="8"/>
      <c r="XEO66" s="8"/>
      <c r="XEP66" s="8"/>
      <c r="XEQ66" s="8"/>
      <c r="XER66" s="8"/>
      <c r="XES66" s="8"/>
      <c r="XET66" s="8"/>
      <c r="XEU66" s="8"/>
      <c r="XEV66" s="8"/>
      <c r="XEW66" s="8"/>
      <c r="XEX66" s="8"/>
      <c r="XEY66" s="8"/>
      <c r="XEZ66" s="8"/>
      <c r="XFA66" s="8"/>
      <c r="XFB66" s="8"/>
      <c r="XFC66" s="8"/>
    </row>
    <row r="67" spans="2:16383" x14ac:dyDescent="0.25">
      <c r="B67" s="35" t="s">
        <v>183</v>
      </c>
      <c r="C67" s="245">
        <f t="shared" ref="C67:C72" si="0">C52/0.75</f>
        <v>0.33333333333333331</v>
      </c>
      <c r="D67" s="12" t="s">
        <v>301</v>
      </c>
      <c r="E67" s="12" t="s">
        <v>429</v>
      </c>
      <c r="F67" s="12" t="s">
        <v>182</v>
      </c>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c r="XDV67" s="8"/>
      <c r="XDW67" s="8"/>
      <c r="XDX67" s="8"/>
      <c r="XDY67" s="8"/>
      <c r="XDZ67" s="8"/>
      <c r="XEA67" s="8"/>
      <c r="XEB67" s="8"/>
      <c r="XEC67" s="8"/>
      <c r="XED67" s="8"/>
      <c r="XEE67" s="8"/>
      <c r="XEF67" s="8"/>
      <c r="XEG67" s="8"/>
      <c r="XEH67" s="8"/>
      <c r="XEI67" s="8"/>
      <c r="XEJ67" s="8"/>
      <c r="XEK67" s="8"/>
      <c r="XEL67" s="8"/>
      <c r="XEM67" s="8"/>
      <c r="XEN67" s="8"/>
      <c r="XEO67" s="8"/>
      <c r="XEP67" s="8"/>
      <c r="XEQ67" s="8"/>
      <c r="XER67" s="8"/>
      <c r="XES67" s="8"/>
      <c r="XET67" s="8"/>
      <c r="XEU67" s="8"/>
      <c r="XEV67" s="8"/>
      <c r="XEW67" s="8"/>
      <c r="XEX67" s="8"/>
      <c r="XEY67" s="8"/>
      <c r="XEZ67" s="8"/>
      <c r="XFA67" s="8"/>
      <c r="XFB67" s="8"/>
      <c r="XFC67" s="8"/>
    </row>
    <row r="68" spans="2:16383" x14ac:dyDescent="0.25">
      <c r="B68" s="35" t="s">
        <v>258</v>
      </c>
      <c r="C68" s="245">
        <f t="shared" si="0"/>
        <v>0.19186991869918701</v>
      </c>
      <c r="D68" s="12" t="s">
        <v>301</v>
      </c>
      <c r="E68" s="12" t="s">
        <v>429</v>
      </c>
      <c r="F68" s="12" t="s">
        <v>257</v>
      </c>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c r="FUI68" s="8"/>
      <c r="FUJ68" s="8"/>
      <c r="FUK68" s="8"/>
      <c r="FUL68" s="8"/>
      <c r="FUM68" s="8"/>
      <c r="FUN68" s="8"/>
      <c r="FUO68" s="8"/>
      <c r="FUP68" s="8"/>
      <c r="FUQ68" s="8"/>
      <c r="FUR68" s="8"/>
      <c r="FUS68" s="8"/>
      <c r="FUT68" s="8"/>
      <c r="FUU68" s="8"/>
      <c r="FUV68" s="8"/>
      <c r="FUW68" s="8"/>
      <c r="FUX68" s="8"/>
      <c r="FUY68" s="8"/>
      <c r="FUZ68" s="8"/>
      <c r="FVA68" s="8"/>
      <c r="FVB68" s="8"/>
      <c r="FVC68" s="8"/>
      <c r="FVD68" s="8"/>
      <c r="FVE68" s="8"/>
      <c r="FVF68" s="8"/>
      <c r="FVG68" s="8"/>
      <c r="FVH68" s="8"/>
      <c r="FVI68" s="8"/>
      <c r="FVJ68" s="8"/>
      <c r="FVK68" s="8"/>
      <c r="FVL68" s="8"/>
      <c r="FVM68" s="8"/>
      <c r="FVN68" s="8"/>
      <c r="FVO68" s="8"/>
      <c r="FVP68" s="8"/>
      <c r="FVQ68" s="8"/>
      <c r="FVR68" s="8"/>
      <c r="FVS68" s="8"/>
      <c r="FVT68" s="8"/>
      <c r="FVU68" s="8"/>
      <c r="FVV68" s="8"/>
      <c r="FVW68" s="8"/>
      <c r="FVX68" s="8"/>
      <c r="FVY68" s="8"/>
      <c r="FVZ68" s="8"/>
      <c r="FWA68" s="8"/>
      <c r="FWB68" s="8"/>
      <c r="FWC68" s="8"/>
      <c r="FWD68" s="8"/>
      <c r="FWE68" s="8"/>
      <c r="FWF68" s="8"/>
      <c r="FWG68" s="8"/>
      <c r="FWH68" s="8"/>
      <c r="FWI68" s="8"/>
      <c r="FWJ68" s="8"/>
      <c r="FWK68" s="8"/>
      <c r="FWL68" s="8"/>
      <c r="FWM68" s="8"/>
      <c r="FWN68" s="8"/>
      <c r="FWO68" s="8"/>
      <c r="FWP68" s="8"/>
      <c r="FWQ68" s="8"/>
      <c r="FWR68" s="8"/>
      <c r="FWS68" s="8"/>
      <c r="FWT68" s="8"/>
      <c r="FWU68" s="8"/>
      <c r="FWV68" s="8"/>
      <c r="FWW68" s="8"/>
      <c r="FWX68" s="8"/>
      <c r="FWY68" s="8"/>
      <c r="FWZ68" s="8"/>
      <c r="FXA68" s="8"/>
      <c r="FXB68" s="8"/>
      <c r="FXC68" s="8"/>
      <c r="FXD68" s="8"/>
      <c r="FXE68" s="8"/>
      <c r="FXF68" s="8"/>
      <c r="FXG68" s="8"/>
      <c r="FXH68" s="8"/>
      <c r="FXI68" s="8"/>
      <c r="FXJ68" s="8"/>
      <c r="FXK68" s="8"/>
      <c r="FXL68" s="8"/>
      <c r="FXM68" s="8"/>
      <c r="FXN68" s="8"/>
      <c r="FXO68" s="8"/>
      <c r="FXP68" s="8"/>
      <c r="FXQ68" s="8"/>
      <c r="FXR68" s="8"/>
      <c r="FXS68" s="8"/>
      <c r="FXT68" s="8"/>
      <c r="FXU68" s="8"/>
      <c r="FXV68" s="8"/>
      <c r="FXW68" s="8"/>
      <c r="FXX68" s="8"/>
      <c r="FXY68" s="8"/>
      <c r="FXZ68" s="8"/>
      <c r="FYA68" s="8"/>
      <c r="FYB68" s="8"/>
      <c r="FYC68" s="8"/>
      <c r="FYD68" s="8"/>
      <c r="FYE68" s="8"/>
      <c r="FYF68" s="8"/>
      <c r="FYG68" s="8"/>
      <c r="FYH68" s="8"/>
      <c r="FYI68" s="8"/>
      <c r="FYJ68" s="8"/>
      <c r="FYK68" s="8"/>
      <c r="FYL68" s="8"/>
      <c r="FYM68" s="8"/>
      <c r="FYN68" s="8"/>
      <c r="FYO68" s="8"/>
      <c r="FYP68" s="8"/>
      <c r="FYQ68" s="8"/>
      <c r="FYR68" s="8"/>
      <c r="FYS68" s="8"/>
      <c r="FYT68" s="8"/>
      <c r="FYU68" s="8"/>
      <c r="FYV68" s="8"/>
      <c r="FYW68" s="8"/>
      <c r="FYX68" s="8"/>
      <c r="FYY68" s="8"/>
      <c r="FYZ68" s="8"/>
      <c r="FZA68" s="8"/>
      <c r="FZB68" s="8"/>
      <c r="FZC68" s="8"/>
      <c r="FZD68" s="8"/>
      <c r="FZE68" s="8"/>
      <c r="FZF68" s="8"/>
      <c r="FZG68" s="8"/>
      <c r="FZH68" s="8"/>
      <c r="FZI68" s="8"/>
      <c r="FZJ68" s="8"/>
      <c r="FZK68" s="8"/>
      <c r="FZL68" s="8"/>
      <c r="FZM68" s="8"/>
      <c r="FZN68" s="8"/>
      <c r="FZO68" s="8"/>
      <c r="FZP68" s="8"/>
      <c r="FZQ68" s="8"/>
      <c r="FZR68" s="8"/>
      <c r="FZS68" s="8"/>
      <c r="FZT68" s="8"/>
      <c r="FZU68" s="8"/>
      <c r="FZV68" s="8"/>
      <c r="FZW68" s="8"/>
      <c r="FZX68" s="8"/>
      <c r="FZY68" s="8"/>
      <c r="FZZ68" s="8"/>
      <c r="GAA68" s="8"/>
      <c r="GAB68" s="8"/>
      <c r="GAC68" s="8"/>
      <c r="GAD68" s="8"/>
      <c r="GAE68" s="8"/>
      <c r="GAF68" s="8"/>
      <c r="GAG68" s="8"/>
      <c r="GAH68" s="8"/>
      <c r="GAI68" s="8"/>
      <c r="GAJ68" s="8"/>
      <c r="GAK68" s="8"/>
      <c r="GAL68" s="8"/>
      <c r="GAM68" s="8"/>
      <c r="GAN68" s="8"/>
      <c r="GAO68" s="8"/>
      <c r="GAP68" s="8"/>
      <c r="GAQ68" s="8"/>
      <c r="GAR68" s="8"/>
      <c r="GAS68" s="8"/>
      <c r="GAT68" s="8"/>
      <c r="GAU68" s="8"/>
      <c r="GAV68" s="8"/>
      <c r="GAW68" s="8"/>
      <c r="GAX68" s="8"/>
      <c r="GAY68" s="8"/>
      <c r="GAZ68" s="8"/>
      <c r="GBA68" s="8"/>
      <c r="GBB68" s="8"/>
      <c r="GBC68" s="8"/>
      <c r="GBD68" s="8"/>
      <c r="GBE68" s="8"/>
      <c r="GBF68" s="8"/>
      <c r="GBG68" s="8"/>
      <c r="GBH68" s="8"/>
      <c r="GBI68" s="8"/>
      <c r="GBJ68" s="8"/>
      <c r="GBK68" s="8"/>
      <c r="GBL68" s="8"/>
      <c r="GBM68" s="8"/>
      <c r="GBN68" s="8"/>
      <c r="GBO68" s="8"/>
      <c r="GBP68" s="8"/>
      <c r="GBQ68" s="8"/>
      <c r="GBR68" s="8"/>
      <c r="GBS68" s="8"/>
      <c r="GBT68" s="8"/>
      <c r="GBU68" s="8"/>
      <c r="GBV68" s="8"/>
      <c r="GBW68" s="8"/>
      <c r="GBX68" s="8"/>
      <c r="GBY68" s="8"/>
      <c r="GBZ68" s="8"/>
      <c r="GCA68" s="8"/>
      <c r="GCB68" s="8"/>
      <c r="GCC68" s="8"/>
      <c r="GCD68" s="8"/>
      <c r="GCE68" s="8"/>
      <c r="GCF68" s="8"/>
      <c r="GCG68" s="8"/>
      <c r="GCH68" s="8"/>
      <c r="GCI68" s="8"/>
      <c r="GCJ68" s="8"/>
      <c r="GCK68" s="8"/>
      <c r="GCL68" s="8"/>
      <c r="GCM68" s="8"/>
      <c r="GCN68" s="8"/>
      <c r="GCO68" s="8"/>
      <c r="GCP68" s="8"/>
      <c r="GCQ68" s="8"/>
      <c r="GCR68" s="8"/>
      <c r="GCS68" s="8"/>
      <c r="GCT68" s="8"/>
      <c r="GCU68" s="8"/>
      <c r="GCV68" s="8"/>
      <c r="GCW68" s="8"/>
      <c r="GCX68" s="8"/>
      <c r="GCY68" s="8"/>
      <c r="GCZ68" s="8"/>
      <c r="GDA68" s="8"/>
      <c r="GDB68" s="8"/>
      <c r="GDC68" s="8"/>
      <c r="GDD68" s="8"/>
      <c r="GDE68" s="8"/>
      <c r="GDF68" s="8"/>
      <c r="GDG68" s="8"/>
      <c r="GDH68" s="8"/>
      <c r="GDI68" s="8"/>
      <c r="GDJ68" s="8"/>
      <c r="GDK68" s="8"/>
      <c r="GDL68" s="8"/>
      <c r="GDM68" s="8"/>
      <c r="GDN68" s="8"/>
      <c r="GDO68" s="8"/>
      <c r="GDP68" s="8"/>
      <c r="GDQ68" s="8"/>
      <c r="GDR68" s="8"/>
      <c r="GDS68" s="8"/>
      <c r="GDT68" s="8"/>
      <c r="GDU68" s="8"/>
      <c r="GDV68" s="8"/>
      <c r="GDW68" s="8"/>
      <c r="GDX68" s="8"/>
      <c r="GDY68" s="8"/>
      <c r="GDZ68" s="8"/>
      <c r="GEA68" s="8"/>
      <c r="GEB68" s="8"/>
      <c r="GEC68" s="8"/>
      <c r="GED68" s="8"/>
      <c r="GEE68" s="8"/>
      <c r="GEF68" s="8"/>
      <c r="GEG68" s="8"/>
      <c r="GEH68" s="8"/>
      <c r="GEI68" s="8"/>
      <c r="GEJ68" s="8"/>
      <c r="GEK68" s="8"/>
      <c r="GEL68" s="8"/>
      <c r="GEM68" s="8"/>
      <c r="GEN68" s="8"/>
      <c r="GEO68" s="8"/>
      <c r="GEP68" s="8"/>
      <c r="GEQ68" s="8"/>
      <c r="GER68" s="8"/>
      <c r="GES68" s="8"/>
      <c r="GET68" s="8"/>
      <c r="GEU68" s="8"/>
      <c r="GEV68" s="8"/>
      <c r="GEW68" s="8"/>
      <c r="GEX68" s="8"/>
      <c r="GEY68" s="8"/>
      <c r="GEZ68" s="8"/>
      <c r="GFA68" s="8"/>
      <c r="GFB68" s="8"/>
      <c r="GFC68" s="8"/>
      <c r="GFD68" s="8"/>
      <c r="GFE68" s="8"/>
      <c r="GFF68" s="8"/>
      <c r="GFG68" s="8"/>
      <c r="GFH68" s="8"/>
      <c r="GFI68" s="8"/>
      <c r="GFJ68" s="8"/>
      <c r="GFK68" s="8"/>
      <c r="GFL68" s="8"/>
      <c r="GFM68" s="8"/>
      <c r="GFN68" s="8"/>
      <c r="GFO68" s="8"/>
      <c r="GFP68" s="8"/>
      <c r="GFQ68" s="8"/>
      <c r="GFR68" s="8"/>
      <c r="GFS68" s="8"/>
      <c r="GFT68" s="8"/>
      <c r="GFU68" s="8"/>
      <c r="GFV68" s="8"/>
      <c r="GFW68" s="8"/>
      <c r="GFX68" s="8"/>
      <c r="GFY68" s="8"/>
      <c r="GFZ68" s="8"/>
      <c r="GGA68" s="8"/>
      <c r="GGB68" s="8"/>
      <c r="GGC68" s="8"/>
      <c r="GGD68" s="8"/>
      <c r="GGE68" s="8"/>
      <c r="GGF68" s="8"/>
      <c r="GGG68" s="8"/>
      <c r="GGH68" s="8"/>
      <c r="GGI68" s="8"/>
      <c r="GGJ68" s="8"/>
      <c r="GGK68" s="8"/>
      <c r="GGL68" s="8"/>
      <c r="GGM68" s="8"/>
      <c r="GGN68" s="8"/>
      <c r="GGO68" s="8"/>
      <c r="GGP68" s="8"/>
      <c r="GGQ68" s="8"/>
      <c r="GGR68" s="8"/>
      <c r="GGS68" s="8"/>
      <c r="GGT68" s="8"/>
      <c r="GGU68" s="8"/>
      <c r="GGV68" s="8"/>
      <c r="GGW68" s="8"/>
      <c r="GGX68" s="8"/>
      <c r="GGY68" s="8"/>
      <c r="GGZ68" s="8"/>
      <c r="GHA68" s="8"/>
      <c r="GHB68" s="8"/>
      <c r="GHC68" s="8"/>
      <c r="GHD68" s="8"/>
      <c r="GHE68" s="8"/>
      <c r="GHF68" s="8"/>
      <c r="GHG68" s="8"/>
      <c r="GHH68" s="8"/>
      <c r="GHI68" s="8"/>
      <c r="GHJ68" s="8"/>
      <c r="GHK68" s="8"/>
      <c r="GHL68" s="8"/>
      <c r="GHM68" s="8"/>
      <c r="GHN68" s="8"/>
      <c r="GHO68" s="8"/>
      <c r="GHP68" s="8"/>
      <c r="GHQ68" s="8"/>
      <c r="GHR68" s="8"/>
      <c r="GHS68" s="8"/>
      <c r="GHT68" s="8"/>
      <c r="GHU68" s="8"/>
      <c r="GHV68" s="8"/>
      <c r="GHW68" s="8"/>
      <c r="GHX68" s="8"/>
      <c r="GHY68" s="8"/>
      <c r="GHZ68" s="8"/>
      <c r="GIA68" s="8"/>
      <c r="GIB68" s="8"/>
      <c r="GIC68" s="8"/>
      <c r="GID68" s="8"/>
      <c r="GIE68" s="8"/>
      <c r="GIF68" s="8"/>
      <c r="GIG68" s="8"/>
      <c r="GIH68" s="8"/>
      <c r="GII68" s="8"/>
      <c r="GIJ68" s="8"/>
      <c r="GIK68" s="8"/>
      <c r="GIL68" s="8"/>
      <c r="GIM68" s="8"/>
      <c r="GIN68" s="8"/>
      <c r="GIO68" s="8"/>
      <c r="GIP68" s="8"/>
      <c r="GIQ68" s="8"/>
      <c r="GIR68" s="8"/>
      <c r="GIS68" s="8"/>
      <c r="GIT68" s="8"/>
      <c r="GIU68" s="8"/>
      <c r="GIV68" s="8"/>
      <c r="GIW68" s="8"/>
      <c r="GIX68" s="8"/>
      <c r="GIY68" s="8"/>
      <c r="GIZ68" s="8"/>
      <c r="GJA68" s="8"/>
      <c r="GJB68" s="8"/>
      <c r="GJC68" s="8"/>
      <c r="GJD68" s="8"/>
      <c r="GJE68" s="8"/>
      <c r="GJF68" s="8"/>
      <c r="GJG68" s="8"/>
      <c r="GJH68" s="8"/>
      <c r="GJI68" s="8"/>
      <c r="GJJ68" s="8"/>
      <c r="GJK68" s="8"/>
      <c r="GJL68" s="8"/>
      <c r="GJM68" s="8"/>
      <c r="GJN68" s="8"/>
      <c r="GJO68" s="8"/>
      <c r="GJP68" s="8"/>
      <c r="GJQ68" s="8"/>
      <c r="GJR68" s="8"/>
      <c r="GJS68" s="8"/>
      <c r="GJT68" s="8"/>
      <c r="GJU68" s="8"/>
      <c r="GJV68" s="8"/>
      <c r="GJW68" s="8"/>
      <c r="GJX68" s="8"/>
      <c r="GJY68" s="8"/>
      <c r="GJZ68" s="8"/>
      <c r="GKA68" s="8"/>
      <c r="GKB68" s="8"/>
      <c r="GKC68" s="8"/>
      <c r="GKD68" s="8"/>
      <c r="GKE68" s="8"/>
      <c r="GKF68" s="8"/>
      <c r="GKG68" s="8"/>
      <c r="GKH68" s="8"/>
      <c r="GKI68" s="8"/>
      <c r="GKJ68" s="8"/>
      <c r="GKK68" s="8"/>
      <c r="GKL68" s="8"/>
      <c r="GKM68" s="8"/>
      <c r="GKN68" s="8"/>
      <c r="GKO68" s="8"/>
      <c r="GKP68" s="8"/>
      <c r="GKQ68" s="8"/>
      <c r="GKR68" s="8"/>
      <c r="GKS68" s="8"/>
      <c r="GKT68" s="8"/>
      <c r="GKU68" s="8"/>
      <c r="GKV68" s="8"/>
      <c r="GKW68" s="8"/>
      <c r="GKX68" s="8"/>
      <c r="GKY68" s="8"/>
      <c r="GKZ68" s="8"/>
      <c r="GLA68" s="8"/>
      <c r="GLB68" s="8"/>
      <c r="GLC68" s="8"/>
      <c r="GLD68" s="8"/>
      <c r="GLE68" s="8"/>
      <c r="GLF68" s="8"/>
      <c r="GLG68" s="8"/>
      <c r="GLH68" s="8"/>
      <c r="GLI68" s="8"/>
      <c r="GLJ68" s="8"/>
      <c r="GLK68" s="8"/>
      <c r="GLL68" s="8"/>
      <c r="GLM68" s="8"/>
      <c r="GLN68" s="8"/>
      <c r="GLO68" s="8"/>
      <c r="GLP68" s="8"/>
      <c r="GLQ68" s="8"/>
      <c r="GLR68" s="8"/>
      <c r="GLS68" s="8"/>
      <c r="GLT68" s="8"/>
      <c r="GLU68" s="8"/>
      <c r="GLV68" s="8"/>
      <c r="GLW68" s="8"/>
      <c r="GLX68" s="8"/>
      <c r="GLY68" s="8"/>
      <c r="GLZ68" s="8"/>
      <c r="GMA68" s="8"/>
      <c r="GMB68" s="8"/>
      <c r="GMC68" s="8"/>
      <c r="GMD68" s="8"/>
      <c r="GME68" s="8"/>
      <c r="GMF68" s="8"/>
      <c r="GMG68" s="8"/>
      <c r="GMH68" s="8"/>
      <c r="GMI68" s="8"/>
      <c r="GMJ68" s="8"/>
      <c r="GMK68" s="8"/>
      <c r="GML68" s="8"/>
      <c r="GMM68" s="8"/>
      <c r="GMN68" s="8"/>
      <c r="GMO68" s="8"/>
      <c r="GMP68" s="8"/>
      <c r="GMQ68" s="8"/>
      <c r="GMR68" s="8"/>
      <c r="GMS68" s="8"/>
      <c r="GMT68" s="8"/>
      <c r="GMU68" s="8"/>
      <c r="GMV68" s="8"/>
      <c r="GMW68" s="8"/>
      <c r="GMX68" s="8"/>
      <c r="GMY68" s="8"/>
      <c r="GMZ68" s="8"/>
      <c r="GNA68" s="8"/>
      <c r="GNB68" s="8"/>
      <c r="GNC68" s="8"/>
      <c r="GND68" s="8"/>
      <c r="GNE68" s="8"/>
      <c r="GNF68" s="8"/>
      <c r="GNG68" s="8"/>
      <c r="GNH68" s="8"/>
      <c r="GNI68" s="8"/>
      <c r="GNJ68" s="8"/>
      <c r="GNK68" s="8"/>
      <c r="GNL68" s="8"/>
      <c r="GNM68" s="8"/>
      <c r="GNN68" s="8"/>
      <c r="GNO68" s="8"/>
      <c r="GNP68" s="8"/>
      <c r="GNQ68" s="8"/>
      <c r="GNR68" s="8"/>
      <c r="GNS68" s="8"/>
      <c r="GNT68" s="8"/>
      <c r="GNU68" s="8"/>
      <c r="GNV68" s="8"/>
      <c r="GNW68" s="8"/>
      <c r="GNX68" s="8"/>
      <c r="GNY68" s="8"/>
      <c r="GNZ68" s="8"/>
      <c r="GOA68" s="8"/>
      <c r="GOB68" s="8"/>
      <c r="GOC68" s="8"/>
      <c r="GOD68" s="8"/>
      <c r="GOE68" s="8"/>
      <c r="GOF68" s="8"/>
      <c r="GOG68" s="8"/>
      <c r="GOH68" s="8"/>
      <c r="GOI68" s="8"/>
      <c r="GOJ68" s="8"/>
      <c r="GOK68" s="8"/>
      <c r="GOL68" s="8"/>
      <c r="GOM68" s="8"/>
      <c r="GON68" s="8"/>
      <c r="GOO68" s="8"/>
      <c r="GOP68" s="8"/>
      <c r="GOQ68" s="8"/>
      <c r="GOR68" s="8"/>
      <c r="GOS68" s="8"/>
      <c r="GOT68" s="8"/>
      <c r="GOU68" s="8"/>
      <c r="GOV68" s="8"/>
      <c r="GOW68" s="8"/>
      <c r="GOX68" s="8"/>
      <c r="GOY68" s="8"/>
      <c r="GOZ68" s="8"/>
      <c r="GPA68" s="8"/>
      <c r="GPB68" s="8"/>
      <c r="GPC68" s="8"/>
      <c r="GPD68" s="8"/>
      <c r="GPE68" s="8"/>
      <c r="GPF68" s="8"/>
      <c r="GPG68" s="8"/>
      <c r="GPH68" s="8"/>
      <c r="GPI68" s="8"/>
      <c r="GPJ68" s="8"/>
      <c r="GPK68" s="8"/>
      <c r="GPL68" s="8"/>
      <c r="GPM68" s="8"/>
      <c r="GPN68" s="8"/>
      <c r="GPO68" s="8"/>
      <c r="GPP68" s="8"/>
      <c r="GPQ68" s="8"/>
      <c r="GPR68" s="8"/>
      <c r="GPS68" s="8"/>
      <c r="GPT68" s="8"/>
      <c r="GPU68" s="8"/>
      <c r="GPV68" s="8"/>
      <c r="GPW68" s="8"/>
      <c r="GPX68" s="8"/>
      <c r="GPY68" s="8"/>
      <c r="GPZ68" s="8"/>
      <c r="GQA68" s="8"/>
      <c r="GQB68" s="8"/>
      <c r="GQC68" s="8"/>
      <c r="GQD68" s="8"/>
      <c r="GQE68" s="8"/>
      <c r="GQF68" s="8"/>
      <c r="GQG68" s="8"/>
      <c r="GQH68" s="8"/>
      <c r="GQI68" s="8"/>
      <c r="GQJ68" s="8"/>
      <c r="GQK68" s="8"/>
      <c r="GQL68" s="8"/>
      <c r="GQM68" s="8"/>
      <c r="GQN68" s="8"/>
      <c r="GQO68" s="8"/>
      <c r="GQP68" s="8"/>
      <c r="GQQ68" s="8"/>
      <c r="GQR68" s="8"/>
      <c r="GQS68" s="8"/>
      <c r="GQT68" s="8"/>
      <c r="GQU68" s="8"/>
      <c r="GQV68" s="8"/>
      <c r="GQW68" s="8"/>
      <c r="GQX68" s="8"/>
      <c r="GQY68" s="8"/>
      <c r="GQZ68" s="8"/>
      <c r="GRA68" s="8"/>
      <c r="GRB68" s="8"/>
      <c r="GRC68" s="8"/>
      <c r="GRD68" s="8"/>
      <c r="GRE68" s="8"/>
      <c r="GRF68" s="8"/>
      <c r="GRG68" s="8"/>
      <c r="GRH68" s="8"/>
      <c r="GRI68" s="8"/>
      <c r="GRJ68" s="8"/>
      <c r="GRK68" s="8"/>
      <c r="GRL68" s="8"/>
      <c r="GRM68" s="8"/>
      <c r="GRN68" s="8"/>
      <c r="GRO68" s="8"/>
      <c r="GRP68" s="8"/>
      <c r="GRQ68" s="8"/>
      <c r="GRR68" s="8"/>
      <c r="GRS68" s="8"/>
      <c r="GRT68" s="8"/>
      <c r="GRU68" s="8"/>
      <c r="GRV68" s="8"/>
      <c r="GRW68" s="8"/>
      <c r="GRX68" s="8"/>
      <c r="GRY68" s="8"/>
      <c r="GRZ68" s="8"/>
      <c r="GSA68" s="8"/>
      <c r="GSB68" s="8"/>
      <c r="GSC68" s="8"/>
      <c r="GSD68" s="8"/>
      <c r="GSE68" s="8"/>
      <c r="GSF68" s="8"/>
      <c r="GSG68" s="8"/>
      <c r="GSH68" s="8"/>
      <c r="GSI68" s="8"/>
      <c r="GSJ68" s="8"/>
      <c r="GSK68" s="8"/>
      <c r="GSL68" s="8"/>
      <c r="GSM68" s="8"/>
      <c r="GSN68" s="8"/>
      <c r="GSO68" s="8"/>
      <c r="GSP68" s="8"/>
      <c r="GSQ68" s="8"/>
      <c r="GSR68" s="8"/>
      <c r="GSS68" s="8"/>
      <c r="GST68" s="8"/>
      <c r="GSU68" s="8"/>
      <c r="GSV68" s="8"/>
      <c r="GSW68" s="8"/>
      <c r="GSX68" s="8"/>
      <c r="GSY68" s="8"/>
      <c r="GSZ68" s="8"/>
      <c r="GTA68" s="8"/>
      <c r="GTB68" s="8"/>
      <c r="GTC68" s="8"/>
      <c r="GTD68" s="8"/>
      <c r="GTE68" s="8"/>
      <c r="GTF68" s="8"/>
      <c r="GTG68" s="8"/>
      <c r="GTH68" s="8"/>
      <c r="GTI68" s="8"/>
      <c r="GTJ68" s="8"/>
      <c r="GTK68" s="8"/>
      <c r="GTL68" s="8"/>
      <c r="GTM68" s="8"/>
      <c r="GTN68" s="8"/>
      <c r="GTO68" s="8"/>
      <c r="GTP68" s="8"/>
      <c r="GTQ68" s="8"/>
      <c r="GTR68" s="8"/>
      <c r="GTS68" s="8"/>
      <c r="GTT68" s="8"/>
      <c r="GTU68" s="8"/>
      <c r="GTV68" s="8"/>
      <c r="GTW68" s="8"/>
      <c r="GTX68" s="8"/>
      <c r="GTY68" s="8"/>
      <c r="GTZ68" s="8"/>
      <c r="GUA68" s="8"/>
      <c r="GUB68" s="8"/>
      <c r="GUC68" s="8"/>
      <c r="GUD68" s="8"/>
      <c r="GUE68" s="8"/>
      <c r="GUF68" s="8"/>
      <c r="GUG68" s="8"/>
      <c r="GUH68" s="8"/>
      <c r="GUI68" s="8"/>
      <c r="GUJ68" s="8"/>
      <c r="GUK68" s="8"/>
      <c r="GUL68" s="8"/>
      <c r="GUM68" s="8"/>
      <c r="GUN68" s="8"/>
      <c r="GUO68" s="8"/>
      <c r="GUP68" s="8"/>
      <c r="GUQ68" s="8"/>
      <c r="GUR68" s="8"/>
      <c r="GUS68" s="8"/>
      <c r="GUT68" s="8"/>
      <c r="GUU68" s="8"/>
      <c r="GUV68" s="8"/>
      <c r="GUW68" s="8"/>
      <c r="GUX68" s="8"/>
      <c r="GUY68" s="8"/>
      <c r="GUZ68" s="8"/>
      <c r="GVA68" s="8"/>
      <c r="GVB68" s="8"/>
      <c r="GVC68" s="8"/>
      <c r="GVD68" s="8"/>
      <c r="GVE68" s="8"/>
      <c r="GVF68" s="8"/>
      <c r="GVG68" s="8"/>
      <c r="GVH68" s="8"/>
      <c r="GVI68" s="8"/>
      <c r="GVJ68" s="8"/>
      <c r="GVK68" s="8"/>
      <c r="GVL68" s="8"/>
      <c r="GVM68" s="8"/>
      <c r="GVN68" s="8"/>
      <c r="GVO68" s="8"/>
      <c r="GVP68" s="8"/>
      <c r="GVQ68" s="8"/>
      <c r="GVR68" s="8"/>
      <c r="GVS68" s="8"/>
      <c r="GVT68" s="8"/>
      <c r="GVU68" s="8"/>
      <c r="GVV68" s="8"/>
      <c r="GVW68" s="8"/>
      <c r="GVX68" s="8"/>
      <c r="GVY68" s="8"/>
      <c r="GVZ68" s="8"/>
      <c r="GWA68" s="8"/>
      <c r="GWB68" s="8"/>
      <c r="GWC68" s="8"/>
      <c r="GWD68" s="8"/>
      <c r="GWE68" s="8"/>
      <c r="GWF68" s="8"/>
      <c r="GWG68" s="8"/>
      <c r="GWH68" s="8"/>
      <c r="GWI68" s="8"/>
      <c r="GWJ68" s="8"/>
      <c r="GWK68" s="8"/>
      <c r="GWL68" s="8"/>
      <c r="GWM68" s="8"/>
      <c r="GWN68" s="8"/>
      <c r="GWO68" s="8"/>
      <c r="GWP68" s="8"/>
      <c r="GWQ68" s="8"/>
      <c r="GWR68" s="8"/>
      <c r="GWS68" s="8"/>
      <c r="GWT68" s="8"/>
      <c r="GWU68" s="8"/>
      <c r="GWV68" s="8"/>
      <c r="GWW68" s="8"/>
      <c r="GWX68" s="8"/>
      <c r="GWY68" s="8"/>
      <c r="GWZ68" s="8"/>
      <c r="GXA68" s="8"/>
      <c r="GXB68" s="8"/>
      <c r="GXC68" s="8"/>
      <c r="GXD68" s="8"/>
      <c r="GXE68" s="8"/>
      <c r="GXF68" s="8"/>
      <c r="GXG68" s="8"/>
      <c r="GXH68" s="8"/>
      <c r="GXI68" s="8"/>
      <c r="GXJ68" s="8"/>
      <c r="GXK68" s="8"/>
      <c r="GXL68" s="8"/>
      <c r="GXM68" s="8"/>
      <c r="GXN68" s="8"/>
      <c r="GXO68" s="8"/>
      <c r="GXP68" s="8"/>
      <c r="GXQ68" s="8"/>
      <c r="GXR68" s="8"/>
      <c r="GXS68" s="8"/>
      <c r="GXT68" s="8"/>
      <c r="GXU68" s="8"/>
      <c r="GXV68" s="8"/>
      <c r="GXW68" s="8"/>
      <c r="GXX68" s="8"/>
      <c r="GXY68" s="8"/>
      <c r="GXZ68" s="8"/>
      <c r="GYA68" s="8"/>
      <c r="GYB68" s="8"/>
      <c r="GYC68" s="8"/>
      <c r="GYD68" s="8"/>
      <c r="GYE68" s="8"/>
      <c r="GYF68" s="8"/>
      <c r="GYG68" s="8"/>
      <c r="GYH68" s="8"/>
      <c r="GYI68" s="8"/>
      <c r="GYJ68" s="8"/>
      <c r="GYK68" s="8"/>
      <c r="GYL68" s="8"/>
      <c r="GYM68" s="8"/>
      <c r="GYN68" s="8"/>
      <c r="GYO68" s="8"/>
      <c r="GYP68" s="8"/>
      <c r="GYQ68" s="8"/>
      <c r="GYR68" s="8"/>
      <c r="GYS68" s="8"/>
      <c r="GYT68" s="8"/>
      <c r="GYU68" s="8"/>
      <c r="GYV68" s="8"/>
      <c r="GYW68" s="8"/>
      <c r="GYX68" s="8"/>
      <c r="GYY68" s="8"/>
      <c r="GYZ68" s="8"/>
      <c r="GZA68" s="8"/>
      <c r="GZB68" s="8"/>
      <c r="GZC68" s="8"/>
      <c r="GZD68" s="8"/>
      <c r="GZE68" s="8"/>
      <c r="GZF68" s="8"/>
      <c r="GZG68" s="8"/>
      <c r="GZH68" s="8"/>
      <c r="GZI68" s="8"/>
      <c r="GZJ68" s="8"/>
      <c r="GZK68" s="8"/>
      <c r="GZL68" s="8"/>
      <c r="GZM68" s="8"/>
      <c r="GZN68" s="8"/>
      <c r="GZO68" s="8"/>
      <c r="GZP68" s="8"/>
      <c r="GZQ68" s="8"/>
      <c r="GZR68" s="8"/>
      <c r="GZS68" s="8"/>
      <c r="GZT68" s="8"/>
      <c r="GZU68" s="8"/>
      <c r="GZV68" s="8"/>
      <c r="GZW68" s="8"/>
      <c r="GZX68" s="8"/>
      <c r="GZY68" s="8"/>
      <c r="GZZ68" s="8"/>
      <c r="HAA68" s="8"/>
      <c r="HAB68" s="8"/>
      <c r="HAC68" s="8"/>
      <c r="HAD68" s="8"/>
      <c r="HAE68" s="8"/>
      <c r="HAF68" s="8"/>
      <c r="HAG68" s="8"/>
      <c r="HAH68" s="8"/>
      <c r="HAI68" s="8"/>
      <c r="HAJ68" s="8"/>
      <c r="HAK68" s="8"/>
      <c r="HAL68" s="8"/>
      <c r="HAM68" s="8"/>
      <c r="HAN68" s="8"/>
      <c r="HAO68" s="8"/>
      <c r="HAP68" s="8"/>
      <c r="HAQ68" s="8"/>
      <c r="HAR68" s="8"/>
      <c r="HAS68" s="8"/>
      <c r="HAT68" s="8"/>
      <c r="HAU68" s="8"/>
      <c r="HAV68" s="8"/>
      <c r="HAW68" s="8"/>
      <c r="HAX68" s="8"/>
      <c r="HAY68" s="8"/>
      <c r="HAZ68" s="8"/>
      <c r="HBA68" s="8"/>
      <c r="HBB68" s="8"/>
      <c r="HBC68" s="8"/>
      <c r="HBD68" s="8"/>
      <c r="HBE68" s="8"/>
      <c r="HBF68" s="8"/>
      <c r="HBG68" s="8"/>
      <c r="HBH68" s="8"/>
      <c r="HBI68" s="8"/>
      <c r="HBJ68" s="8"/>
      <c r="HBK68" s="8"/>
      <c r="HBL68" s="8"/>
      <c r="HBM68" s="8"/>
      <c r="HBN68" s="8"/>
      <c r="HBO68" s="8"/>
      <c r="HBP68" s="8"/>
      <c r="HBQ68" s="8"/>
      <c r="HBR68" s="8"/>
      <c r="HBS68" s="8"/>
      <c r="HBT68" s="8"/>
      <c r="HBU68" s="8"/>
      <c r="HBV68" s="8"/>
      <c r="HBW68" s="8"/>
      <c r="HBX68" s="8"/>
      <c r="HBY68" s="8"/>
      <c r="HBZ68" s="8"/>
      <c r="HCA68" s="8"/>
      <c r="HCB68" s="8"/>
      <c r="HCC68" s="8"/>
      <c r="HCD68" s="8"/>
      <c r="HCE68" s="8"/>
      <c r="HCF68" s="8"/>
      <c r="HCG68" s="8"/>
      <c r="HCH68" s="8"/>
      <c r="HCI68" s="8"/>
      <c r="HCJ68" s="8"/>
      <c r="HCK68" s="8"/>
      <c r="HCL68" s="8"/>
      <c r="HCM68" s="8"/>
      <c r="HCN68" s="8"/>
      <c r="HCO68" s="8"/>
      <c r="HCP68" s="8"/>
      <c r="HCQ68" s="8"/>
      <c r="HCR68" s="8"/>
      <c r="HCS68" s="8"/>
      <c r="HCT68" s="8"/>
      <c r="HCU68" s="8"/>
      <c r="HCV68" s="8"/>
      <c r="HCW68" s="8"/>
      <c r="HCX68" s="8"/>
      <c r="HCY68" s="8"/>
      <c r="HCZ68" s="8"/>
      <c r="HDA68" s="8"/>
      <c r="HDB68" s="8"/>
      <c r="HDC68" s="8"/>
      <c r="HDD68" s="8"/>
      <c r="HDE68" s="8"/>
      <c r="HDF68" s="8"/>
      <c r="HDG68" s="8"/>
      <c r="HDH68" s="8"/>
      <c r="HDI68" s="8"/>
      <c r="HDJ68" s="8"/>
      <c r="HDK68" s="8"/>
      <c r="HDL68" s="8"/>
      <c r="HDM68" s="8"/>
      <c r="HDN68" s="8"/>
      <c r="HDO68" s="8"/>
      <c r="HDP68" s="8"/>
      <c r="HDQ68" s="8"/>
      <c r="HDR68" s="8"/>
      <c r="HDS68" s="8"/>
      <c r="HDT68" s="8"/>
      <c r="HDU68" s="8"/>
      <c r="HDV68" s="8"/>
      <c r="HDW68" s="8"/>
      <c r="HDX68" s="8"/>
      <c r="HDY68" s="8"/>
      <c r="HDZ68" s="8"/>
      <c r="HEA68" s="8"/>
      <c r="HEB68" s="8"/>
      <c r="HEC68" s="8"/>
      <c r="HED68" s="8"/>
      <c r="HEE68" s="8"/>
      <c r="HEF68" s="8"/>
      <c r="HEG68" s="8"/>
      <c r="HEH68" s="8"/>
      <c r="HEI68" s="8"/>
      <c r="HEJ68" s="8"/>
      <c r="HEK68" s="8"/>
      <c r="HEL68" s="8"/>
      <c r="HEM68" s="8"/>
      <c r="HEN68" s="8"/>
      <c r="HEO68" s="8"/>
      <c r="HEP68" s="8"/>
      <c r="HEQ68" s="8"/>
      <c r="HER68" s="8"/>
      <c r="HES68" s="8"/>
      <c r="HET68" s="8"/>
      <c r="HEU68" s="8"/>
      <c r="HEV68" s="8"/>
      <c r="HEW68" s="8"/>
      <c r="HEX68" s="8"/>
      <c r="HEY68" s="8"/>
      <c r="HEZ68" s="8"/>
      <c r="HFA68" s="8"/>
      <c r="HFB68" s="8"/>
      <c r="HFC68" s="8"/>
      <c r="HFD68" s="8"/>
      <c r="HFE68" s="8"/>
      <c r="HFF68" s="8"/>
      <c r="HFG68" s="8"/>
      <c r="HFH68" s="8"/>
      <c r="HFI68" s="8"/>
      <c r="HFJ68" s="8"/>
      <c r="HFK68" s="8"/>
      <c r="HFL68" s="8"/>
      <c r="HFM68" s="8"/>
      <c r="HFN68" s="8"/>
      <c r="HFO68" s="8"/>
      <c r="HFP68" s="8"/>
      <c r="HFQ68" s="8"/>
      <c r="HFR68" s="8"/>
      <c r="HFS68" s="8"/>
      <c r="HFT68" s="8"/>
      <c r="HFU68" s="8"/>
      <c r="HFV68" s="8"/>
      <c r="HFW68" s="8"/>
      <c r="HFX68" s="8"/>
      <c r="HFY68" s="8"/>
      <c r="HFZ68" s="8"/>
      <c r="HGA68" s="8"/>
      <c r="HGB68" s="8"/>
      <c r="HGC68" s="8"/>
      <c r="HGD68" s="8"/>
      <c r="HGE68" s="8"/>
      <c r="HGF68" s="8"/>
      <c r="HGG68" s="8"/>
      <c r="HGH68" s="8"/>
      <c r="HGI68" s="8"/>
      <c r="HGJ68" s="8"/>
      <c r="HGK68" s="8"/>
      <c r="HGL68" s="8"/>
      <c r="HGM68" s="8"/>
      <c r="HGN68" s="8"/>
      <c r="HGO68" s="8"/>
      <c r="HGP68" s="8"/>
      <c r="HGQ68" s="8"/>
      <c r="HGR68" s="8"/>
      <c r="HGS68" s="8"/>
      <c r="HGT68" s="8"/>
      <c r="HGU68" s="8"/>
      <c r="HGV68" s="8"/>
      <c r="HGW68" s="8"/>
      <c r="HGX68" s="8"/>
      <c r="HGY68" s="8"/>
      <c r="HGZ68" s="8"/>
      <c r="HHA68" s="8"/>
      <c r="HHB68" s="8"/>
      <c r="HHC68" s="8"/>
      <c r="HHD68" s="8"/>
      <c r="HHE68" s="8"/>
      <c r="HHF68" s="8"/>
      <c r="HHG68" s="8"/>
      <c r="HHH68" s="8"/>
      <c r="HHI68" s="8"/>
      <c r="HHJ68" s="8"/>
      <c r="HHK68" s="8"/>
      <c r="HHL68" s="8"/>
      <c r="HHM68" s="8"/>
      <c r="HHN68" s="8"/>
      <c r="HHO68" s="8"/>
      <c r="HHP68" s="8"/>
      <c r="HHQ68" s="8"/>
      <c r="HHR68" s="8"/>
      <c r="HHS68" s="8"/>
      <c r="HHT68" s="8"/>
      <c r="HHU68" s="8"/>
      <c r="HHV68" s="8"/>
      <c r="HHW68" s="8"/>
      <c r="HHX68" s="8"/>
      <c r="HHY68" s="8"/>
      <c r="HHZ68" s="8"/>
      <c r="HIA68" s="8"/>
      <c r="HIB68" s="8"/>
      <c r="HIC68" s="8"/>
      <c r="HID68" s="8"/>
      <c r="HIE68" s="8"/>
      <c r="HIF68" s="8"/>
      <c r="HIG68" s="8"/>
      <c r="HIH68" s="8"/>
      <c r="HII68" s="8"/>
      <c r="HIJ68" s="8"/>
      <c r="HIK68" s="8"/>
      <c r="HIL68" s="8"/>
      <c r="HIM68" s="8"/>
      <c r="HIN68" s="8"/>
      <c r="HIO68" s="8"/>
      <c r="HIP68" s="8"/>
      <c r="HIQ68" s="8"/>
      <c r="HIR68" s="8"/>
      <c r="HIS68" s="8"/>
      <c r="HIT68" s="8"/>
      <c r="HIU68" s="8"/>
      <c r="HIV68" s="8"/>
      <c r="HIW68" s="8"/>
      <c r="HIX68" s="8"/>
      <c r="HIY68" s="8"/>
      <c r="HIZ68" s="8"/>
      <c r="HJA68" s="8"/>
      <c r="HJB68" s="8"/>
      <c r="HJC68" s="8"/>
      <c r="HJD68" s="8"/>
      <c r="HJE68" s="8"/>
      <c r="HJF68" s="8"/>
      <c r="HJG68" s="8"/>
      <c r="HJH68" s="8"/>
      <c r="HJI68" s="8"/>
      <c r="HJJ68" s="8"/>
      <c r="HJK68" s="8"/>
      <c r="HJL68" s="8"/>
      <c r="HJM68" s="8"/>
      <c r="HJN68" s="8"/>
      <c r="HJO68" s="8"/>
      <c r="HJP68" s="8"/>
      <c r="HJQ68" s="8"/>
      <c r="HJR68" s="8"/>
      <c r="HJS68" s="8"/>
      <c r="HJT68" s="8"/>
      <c r="HJU68" s="8"/>
      <c r="HJV68" s="8"/>
      <c r="HJW68" s="8"/>
      <c r="HJX68" s="8"/>
      <c r="HJY68" s="8"/>
      <c r="HJZ68" s="8"/>
      <c r="HKA68" s="8"/>
      <c r="HKB68" s="8"/>
      <c r="HKC68" s="8"/>
      <c r="HKD68" s="8"/>
      <c r="HKE68" s="8"/>
      <c r="HKF68" s="8"/>
      <c r="HKG68" s="8"/>
      <c r="HKH68" s="8"/>
      <c r="HKI68" s="8"/>
      <c r="HKJ68" s="8"/>
      <c r="HKK68" s="8"/>
      <c r="HKL68" s="8"/>
      <c r="HKM68" s="8"/>
      <c r="HKN68" s="8"/>
      <c r="HKO68" s="8"/>
      <c r="HKP68" s="8"/>
      <c r="HKQ68" s="8"/>
      <c r="HKR68" s="8"/>
      <c r="HKS68" s="8"/>
      <c r="HKT68" s="8"/>
      <c r="HKU68" s="8"/>
      <c r="HKV68" s="8"/>
      <c r="HKW68" s="8"/>
      <c r="HKX68" s="8"/>
      <c r="HKY68" s="8"/>
      <c r="HKZ68" s="8"/>
      <c r="HLA68" s="8"/>
      <c r="HLB68" s="8"/>
      <c r="HLC68" s="8"/>
      <c r="HLD68" s="8"/>
      <c r="HLE68" s="8"/>
      <c r="HLF68" s="8"/>
      <c r="HLG68" s="8"/>
      <c r="HLH68" s="8"/>
      <c r="HLI68" s="8"/>
      <c r="HLJ68" s="8"/>
      <c r="HLK68" s="8"/>
      <c r="HLL68" s="8"/>
      <c r="HLM68" s="8"/>
      <c r="HLN68" s="8"/>
      <c r="HLO68" s="8"/>
      <c r="HLP68" s="8"/>
      <c r="HLQ68" s="8"/>
      <c r="HLR68" s="8"/>
      <c r="HLS68" s="8"/>
      <c r="HLT68" s="8"/>
      <c r="HLU68" s="8"/>
      <c r="HLV68" s="8"/>
      <c r="HLW68" s="8"/>
      <c r="HLX68" s="8"/>
      <c r="HLY68" s="8"/>
      <c r="HLZ68" s="8"/>
      <c r="HMA68" s="8"/>
      <c r="HMB68" s="8"/>
      <c r="HMC68" s="8"/>
      <c r="HMD68" s="8"/>
      <c r="HME68" s="8"/>
      <c r="HMF68" s="8"/>
      <c r="HMG68" s="8"/>
      <c r="HMH68" s="8"/>
      <c r="HMI68" s="8"/>
      <c r="HMJ68" s="8"/>
      <c r="HMK68" s="8"/>
      <c r="HML68" s="8"/>
      <c r="HMM68" s="8"/>
      <c r="HMN68" s="8"/>
      <c r="HMO68" s="8"/>
      <c r="HMP68" s="8"/>
      <c r="HMQ68" s="8"/>
      <c r="HMR68" s="8"/>
      <c r="HMS68" s="8"/>
      <c r="HMT68" s="8"/>
      <c r="HMU68" s="8"/>
      <c r="HMV68" s="8"/>
      <c r="HMW68" s="8"/>
      <c r="HMX68" s="8"/>
      <c r="HMY68" s="8"/>
      <c r="HMZ68" s="8"/>
      <c r="HNA68" s="8"/>
      <c r="HNB68" s="8"/>
      <c r="HNC68" s="8"/>
      <c r="HND68" s="8"/>
      <c r="HNE68" s="8"/>
      <c r="HNF68" s="8"/>
      <c r="HNG68" s="8"/>
      <c r="HNH68" s="8"/>
      <c r="HNI68" s="8"/>
      <c r="HNJ68" s="8"/>
      <c r="HNK68" s="8"/>
      <c r="HNL68" s="8"/>
      <c r="HNM68" s="8"/>
      <c r="HNN68" s="8"/>
      <c r="HNO68" s="8"/>
      <c r="HNP68" s="8"/>
      <c r="HNQ68" s="8"/>
      <c r="HNR68" s="8"/>
      <c r="HNS68" s="8"/>
      <c r="HNT68" s="8"/>
      <c r="HNU68" s="8"/>
      <c r="HNV68" s="8"/>
      <c r="HNW68" s="8"/>
      <c r="HNX68" s="8"/>
      <c r="HNY68" s="8"/>
      <c r="HNZ68" s="8"/>
      <c r="HOA68" s="8"/>
      <c r="HOB68" s="8"/>
      <c r="HOC68" s="8"/>
      <c r="HOD68" s="8"/>
      <c r="HOE68" s="8"/>
      <c r="HOF68" s="8"/>
      <c r="HOG68" s="8"/>
      <c r="HOH68" s="8"/>
      <c r="HOI68" s="8"/>
      <c r="HOJ68" s="8"/>
      <c r="HOK68" s="8"/>
      <c r="HOL68" s="8"/>
      <c r="HOM68" s="8"/>
      <c r="HON68" s="8"/>
      <c r="HOO68" s="8"/>
      <c r="HOP68" s="8"/>
      <c r="HOQ68" s="8"/>
      <c r="HOR68" s="8"/>
      <c r="HOS68" s="8"/>
      <c r="HOT68" s="8"/>
      <c r="HOU68" s="8"/>
      <c r="HOV68" s="8"/>
      <c r="HOW68" s="8"/>
      <c r="HOX68" s="8"/>
      <c r="HOY68" s="8"/>
      <c r="HOZ68" s="8"/>
      <c r="HPA68" s="8"/>
      <c r="HPB68" s="8"/>
      <c r="HPC68" s="8"/>
      <c r="HPD68" s="8"/>
      <c r="HPE68" s="8"/>
      <c r="HPF68" s="8"/>
      <c r="HPG68" s="8"/>
      <c r="HPH68" s="8"/>
      <c r="HPI68" s="8"/>
      <c r="HPJ68" s="8"/>
      <c r="HPK68" s="8"/>
      <c r="HPL68" s="8"/>
      <c r="HPM68" s="8"/>
      <c r="HPN68" s="8"/>
      <c r="HPO68" s="8"/>
      <c r="HPP68" s="8"/>
      <c r="HPQ68" s="8"/>
      <c r="HPR68" s="8"/>
      <c r="HPS68" s="8"/>
      <c r="HPT68" s="8"/>
      <c r="HPU68" s="8"/>
      <c r="HPV68" s="8"/>
      <c r="HPW68" s="8"/>
      <c r="HPX68" s="8"/>
      <c r="HPY68" s="8"/>
      <c r="HPZ68" s="8"/>
      <c r="HQA68" s="8"/>
      <c r="HQB68" s="8"/>
      <c r="HQC68" s="8"/>
      <c r="HQD68" s="8"/>
      <c r="HQE68" s="8"/>
      <c r="HQF68" s="8"/>
      <c r="HQG68" s="8"/>
      <c r="HQH68" s="8"/>
      <c r="HQI68" s="8"/>
      <c r="HQJ68" s="8"/>
      <c r="HQK68" s="8"/>
      <c r="HQL68" s="8"/>
      <c r="HQM68" s="8"/>
      <c r="HQN68" s="8"/>
      <c r="HQO68" s="8"/>
      <c r="HQP68" s="8"/>
      <c r="HQQ68" s="8"/>
      <c r="HQR68" s="8"/>
      <c r="HQS68" s="8"/>
      <c r="HQT68" s="8"/>
      <c r="HQU68" s="8"/>
      <c r="HQV68" s="8"/>
      <c r="HQW68" s="8"/>
      <c r="HQX68" s="8"/>
      <c r="HQY68" s="8"/>
      <c r="HQZ68" s="8"/>
      <c r="HRA68" s="8"/>
      <c r="HRB68" s="8"/>
      <c r="HRC68" s="8"/>
      <c r="HRD68" s="8"/>
      <c r="HRE68" s="8"/>
      <c r="HRF68" s="8"/>
      <c r="HRG68" s="8"/>
      <c r="HRH68" s="8"/>
      <c r="HRI68" s="8"/>
      <c r="HRJ68" s="8"/>
      <c r="HRK68" s="8"/>
      <c r="HRL68" s="8"/>
      <c r="HRM68" s="8"/>
      <c r="HRN68" s="8"/>
      <c r="HRO68" s="8"/>
      <c r="HRP68" s="8"/>
      <c r="HRQ68" s="8"/>
      <c r="HRR68" s="8"/>
      <c r="HRS68" s="8"/>
      <c r="HRT68" s="8"/>
      <c r="HRU68" s="8"/>
      <c r="HRV68" s="8"/>
      <c r="HRW68" s="8"/>
      <c r="HRX68" s="8"/>
      <c r="HRY68" s="8"/>
      <c r="HRZ68" s="8"/>
      <c r="HSA68" s="8"/>
      <c r="HSB68" s="8"/>
      <c r="HSC68" s="8"/>
      <c r="HSD68" s="8"/>
      <c r="HSE68" s="8"/>
      <c r="HSF68" s="8"/>
      <c r="HSG68" s="8"/>
      <c r="HSH68" s="8"/>
      <c r="HSI68" s="8"/>
      <c r="HSJ68" s="8"/>
      <c r="HSK68" s="8"/>
      <c r="HSL68" s="8"/>
      <c r="HSM68" s="8"/>
      <c r="HSN68" s="8"/>
      <c r="HSO68" s="8"/>
      <c r="HSP68" s="8"/>
      <c r="HSQ68" s="8"/>
      <c r="HSR68" s="8"/>
      <c r="HSS68" s="8"/>
      <c r="HST68" s="8"/>
      <c r="HSU68" s="8"/>
      <c r="HSV68" s="8"/>
      <c r="HSW68" s="8"/>
      <c r="HSX68" s="8"/>
      <c r="HSY68" s="8"/>
      <c r="HSZ68" s="8"/>
      <c r="HTA68" s="8"/>
      <c r="HTB68" s="8"/>
      <c r="HTC68" s="8"/>
      <c r="HTD68" s="8"/>
      <c r="HTE68" s="8"/>
      <c r="HTF68" s="8"/>
      <c r="HTG68" s="8"/>
      <c r="HTH68" s="8"/>
      <c r="HTI68" s="8"/>
      <c r="HTJ68" s="8"/>
      <c r="HTK68" s="8"/>
      <c r="HTL68" s="8"/>
      <c r="HTM68" s="8"/>
      <c r="HTN68" s="8"/>
      <c r="HTO68" s="8"/>
      <c r="HTP68" s="8"/>
      <c r="HTQ68" s="8"/>
      <c r="HTR68" s="8"/>
      <c r="HTS68" s="8"/>
      <c r="HTT68" s="8"/>
      <c r="HTU68" s="8"/>
      <c r="HTV68" s="8"/>
      <c r="HTW68" s="8"/>
      <c r="HTX68" s="8"/>
      <c r="HTY68" s="8"/>
      <c r="HTZ68" s="8"/>
      <c r="HUA68" s="8"/>
      <c r="HUB68" s="8"/>
      <c r="HUC68" s="8"/>
      <c r="HUD68" s="8"/>
      <c r="HUE68" s="8"/>
      <c r="HUF68" s="8"/>
      <c r="HUG68" s="8"/>
      <c r="HUH68" s="8"/>
      <c r="HUI68" s="8"/>
      <c r="HUJ68" s="8"/>
      <c r="HUK68" s="8"/>
      <c r="HUL68" s="8"/>
      <c r="HUM68" s="8"/>
      <c r="HUN68" s="8"/>
      <c r="HUO68" s="8"/>
      <c r="HUP68" s="8"/>
      <c r="HUQ68" s="8"/>
      <c r="HUR68" s="8"/>
      <c r="HUS68" s="8"/>
      <c r="HUT68" s="8"/>
      <c r="HUU68" s="8"/>
      <c r="HUV68" s="8"/>
      <c r="HUW68" s="8"/>
      <c r="HUX68" s="8"/>
      <c r="HUY68" s="8"/>
      <c r="HUZ68" s="8"/>
      <c r="HVA68" s="8"/>
      <c r="HVB68" s="8"/>
      <c r="HVC68" s="8"/>
      <c r="HVD68" s="8"/>
      <c r="HVE68" s="8"/>
      <c r="HVF68" s="8"/>
      <c r="HVG68" s="8"/>
      <c r="HVH68" s="8"/>
      <c r="HVI68" s="8"/>
      <c r="HVJ68" s="8"/>
      <c r="HVK68" s="8"/>
      <c r="HVL68" s="8"/>
      <c r="HVM68" s="8"/>
      <c r="HVN68" s="8"/>
      <c r="HVO68" s="8"/>
      <c r="HVP68" s="8"/>
      <c r="HVQ68" s="8"/>
      <c r="HVR68" s="8"/>
      <c r="HVS68" s="8"/>
      <c r="HVT68" s="8"/>
      <c r="HVU68" s="8"/>
      <c r="HVV68" s="8"/>
      <c r="HVW68" s="8"/>
      <c r="HVX68" s="8"/>
      <c r="HVY68" s="8"/>
      <c r="HVZ68" s="8"/>
      <c r="HWA68" s="8"/>
      <c r="HWB68" s="8"/>
      <c r="HWC68" s="8"/>
      <c r="HWD68" s="8"/>
      <c r="HWE68" s="8"/>
      <c r="HWF68" s="8"/>
      <c r="HWG68" s="8"/>
      <c r="HWH68" s="8"/>
      <c r="HWI68" s="8"/>
      <c r="HWJ68" s="8"/>
      <c r="HWK68" s="8"/>
      <c r="HWL68" s="8"/>
      <c r="HWM68" s="8"/>
      <c r="HWN68" s="8"/>
      <c r="HWO68" s="8"/>
      <c r="HWP68" s="8"/>
      <c r="HWQ68" s="8"/>
      <c r="HWR68" s="8"/>
      <c r="HWS68" s="8"/>
      <c r="HWT68" s="8"/>
      <c r="HWU68" s="8"/>
      <c r="HWV68" s="8"/>
      <c r="HWW68" s="8"/>
      <c r="HWX68" s="8"/>
      <c r="HWY68" s="8"/>
      <c r="HWZ68" s="8"/>
      <c r="HXA68" s="8"/>
      <c r="HXB68" s="8"/>
      <c r="HXC68" s="8"/>
      <c r="HXD68" s="8"/>
      <c r="HXE68" s="8"/>
      <c r="HXF68" s="8"/>
      <c r="HXG68" s="8"/>
      <c r="HXH68" s="8"/>
      <c r="HXI68" s="8"/>
      <c r="HXJ68" s="8"/>
      <c r="HXK68" s="8"/>
      <c r="HXL68" s="8"/>
      <c r="HXM68" s="8"/>
      <c r="HXN68" s="8"/>
      <c r="HXO68" s="8"/>
      <c r="HXP68" s="8"/>
      <c r="HXQ68" s="8"/>
      <c r="HXR68" s="8"/>
      <c r="HXS68" s="8"/>
      <c r="HXT68" s="8"/>
      <c r="HXU68" s="8"/>
      <c r="HXV68" s="8"/>
      <c r="HXW68" s="8"/>
      <c r="HXX68" s="8"/>
      <c r="HXY68" s="8"/>
      <c r="HXZ68" s="8"/>
      <c r="HYA68" s="8"/>
      <c r="HYB68" s="8"/>
      <c r="HYC68" s="8"/>
      <c r="HYD68" s="8"/>
      <c r="HYE68" s="8"/>
      <c r="HYF68" s="8"/>
      <c r="HYG68" s="8"/>
      <c r="HYH68" s="8"/>
      <c r="HYI68" s="8"/>
      <c r="HYJ68" s="8"/>
      <c r="HYK68" s="8"/>
      <c r="HYL68" s="8"/>
      <c r="HYM68" s="8"/>
      <c r="HYN68" s="8"/>
      <c r="HYO68" s="8"/>
      <c r="HYP68" s="8"/>
      <c r="HYQ68" s="8"/>
      <c r="HYR68" s="8"/>
      <c r="HYS68" s="8"/>
      <c r="HYT68" s="8"/>
      <c r="HYU68" s="8"/>
      <c r="HYV68" s="8"/>
      <c r="HYW68" s="8"/>
      <c r="HYX68" s="8"/>
      <c r="HYY68" s="8"/>
      <c r="HYZ68" s="8"/>
      <c r="HZA68" s="8"/>
      <c r="HZB68" s="8"/>
      <c r="HZC68" s="8"/>
      <c r="HZD68" s="8"/>
      <c r="HZE68" s="8"/>
      <c r="HZF68" s="8"/>
      <c r="HZG68" s="8"/>
      <c r="HZH68" s="8"/>
      <c r="HZI68" s="8"/>
      <c r="HZJ68" s="8"/>
      <c r="HZK68" s="8"/>
      <c r="HZL68" s="8"/>
      <c r="HZM68" s="8"/>
      <c r="HZN68" s="8"/>
      <c r="HZO68" s="8"/>
      <c r="HZP68" s="8"/>
      <c r="HZQ68" s="8"/>
      <c r="HZR68" s="8"/>
      <c r="HZS68" s="8"/>
      <c r="HZT68" s="8"/>
      <c r="HZU68" s="8"/>
      <c r="HZV68" s="8"/>
      <c r="HZW68" s="8"/>
      <c r="HZX68" s="8"/>
      <c r="HZY68" s="8"/>
      <c r="HZZ68" s="8"/>
      <c r="IAA68" s="8"/>
      <c r="IAB68" s="8"/>
      <c r="IAC68" s="8"/>
      <c r="IAD68" s="8"/>
      <c r="IAE68" s="8"/>
      <c r="IAF68" s="8"/>
      <c r="IAG68" s="8"/>
      <c r="IAH68" s="8"/>
      <c r="IAI68" s="8"/>
      <c r="IAJ68" s="8"/>
      <c r="IAK68" s="8"/>
      <c r="IAL68" s="8"/>
      <c r="IAM68" s="8"/>
      <c r="IAN68" s="8"/>
      <c r="IAO68" s="8"/>
      <c r="IAP68" s="8"/>
      <c r="IAQ68" s="8"/>
      <c r="IAR68" s="8"/>
      <c r="IAS68" s="8"/>
      <c r="IAT68" s="8"/>
      <c r="IAU68" s="8"/>
      <c r="IAV68" s="8"/>
      <c r="IAW68" s="8"/>
      <c r="IAX68" s="8"/>
      <c r="IAY68" s="8"/>
      <c r="IAZ68" s="8"/>
      <c r="IBA68" s="8"/>
      <c r="IBB68" s="8"/>
      <c r="IBC68" s="8"/>
      <c r="IBD68" s="8"/>
      <c r="IBE68" s="8"/>
      <c r="IBF68" s="8"/>
      <c r="IBG68" s="8"/>
      <c r="IBH68" s="8"/>
      <c r="IBI68" s="8"/>
      <c r="IBJ68" s="8"/>
      <c r="IBK68" s="8"/>
      <c r="IBL68" s="8"/>
      <c r="IBM68" s="8"/>
      <c r="IBN68" s="8"/>
      <c r="IBO68" s="8"/>
      <c r="IBP68" s="8"/>
      <c r="IBQ68" s="8"/>
      <c r="IBR68" s="8"/>
      <c r="IBS68" s="8"/>
      <c r="IBT68" s="8"/>
      <c r="IBU68" s="8"/>
      <c r="IBV68" s="8"/>
      <c r="IBW68" s="8"/>
      <c r="IBX68" s="8"/>
      <c r="IBY68" s="8"/>
      <c r="IBZ68" s="8"/>
      <c r="ICA68" s="8"/>
      <c r="ICB68" s="8"/>
      <c r="ICC68" s="8"/>
      <c r="ICD68" s="8"/>
      <c r="ICE68" s="8"/>
      <c r="ICF68" s="8"/>
      <c r="ICG68" s="8"/>
      <c r="ICH68" s="8"/>
      <c r="ICI68" s="8"/>
      <c r="ICJ68" s="8"/>
      <c r="ICK68" s="8"/>
      <c r="ICL68" s="8"/>
      <c r="ICM68" s="8"/>
      <c r="ICN68" s="8"/>
      <c r="ICO68" s="8"/>
      <c r="ICP68" s="8"/>
      <c r="ICQ68" s="8"/>
      <c r="ICR68" s="8"/>
      <c r="ICS68" s="8"/>
      <c r="ICT68" s="8"/>
      <c r="ICU68" s="8"/>
      <c r="ICV68" s="8"/>
      <c r="ICW68" s="8"/>
      <c r="ICX68" s="8"/>
      <c r="ICY68" s="8"/>
      <c r="ICZ68" s="8"/>
      <c r="IDA68" s="8"/>
      <c r="IDB68" s="8"/>
      <c r="IDC68" s="8"/>
      <c r="IDD68" s="8"/>
      <c r="IDE68" s="8"/>
      <c r="IDF68" s="8"/>
      <c r="IDG68" s="8"/>
      <c r="IDH68" s="8"/>
      <c r="IDI68" s="8"/>
      <c r="IDJ68" s="8"/>
      <c r="IDK68" s="8"/>
      <c r="IDL68" s="8"/>
      <c r="IDM68" s="8"/>
      <c r="IDN68" s="8"/>
      <c r="IDO68" s="8"/>
      <c r="IDP68" s="8"/>
      <c r="IDQ68" s="8"/>
      <c r="IDR68" s="8"/>
      <c r="IDS68" s="8"/>
      <c r="IDT68" s="8"/>
      <c r="IDU68" s="8"/>
      <c r="IDV68" s="8"/>
      <c r="IDW68" s="8"/>
      <c r="IDX68" s="8"/>
      <c r="IDY68" s="8"/>
      <c r="IDZ68" s="8"/>
      <c r="IEA68" s="8"/>
      <c r="IEB68" s="8"/>
      <c r="IEC68" s="8"/>
      <c r="IED68" s="8"/>
      <c r="IEE68" s="8"/>
      <c r="IEF68" s="8"/>
      <c r="IEG68" s="8"/>
      <c r="IEH68" s="8"/>
      <c r="IEI68" s="8"/>
      <c r="IEJ68" s="8"/>
      <c r="IEK68" s="8"/>
      <c r="IEL68" s="8"/>
      <c r="IEM68" s="8"/>
      <c r="IEN68" s="8"/>
      <c r="IEO68" s="8"/>
      <c r="IEP68" s="8"/>
      <c r="IEQ68" s="8"/>
      <c r="IER68" s="8"/>
      <c r="IES68" s="8"/>
      <c r="IET68" s="8"/>
      <c r="IEU68" s="8"/>
      <c r="IEV68" s="8"/>
      <c r="IEW68" s="8"/>
      <c r="IEX68" s="8"/>
      <c r="IEY68" s="8"/>
      <c r="IEZ68" s="8"/>
      <c r="IFA68" s="8"/>
      <c r="IFB68" s="8"/>
      <c r="IFC68" s="8"/>
      <c r="IFD68" s="8"/>
      <c r="IFE68" s="8"/>
      <c r="IFF68" s="8"/>
      <c r="IFG68" s="8"/>
      <c r="IFH68" s="8"/>
      <c r="IFI68" s="8"/>
      <c r="IFJ68" s="8"/>
      <c r="IFK68" s="8"/>
      <c r="IFL68" s="8"/>
      <c r="IFM68" s="8"/>
      <c r="IFN68" s="8"/>
      <c r="IFO68" s="8"/>
      <c r="IFP68" s="8"/>
      <c r="IFQ68" s="8"/>
      <c r="IFR68" s="8"/>
      <c r="IFS68" s="8"/>
      <c r="IFT68" s="8"/>
      <c r="IFU68" s="8"/>
      <c r="IFV68" s="8"/>
      <c r="IFW68" s="8"/>
      <c r="IFX68" s="8"/>
      <c r="IFY68" s="8"/>
      <c r="IFZ68" s="8"/>
      <c r="IGA68" s="8"/>
      <c r="IGB68" s="8"/>
      <c r="IGC68" s="8"/>
      <c r="IGD68" s="8"/>
      <c r="IGE68" s="8"/>
      <c r="IGF68" s="8"/>
      <c r="IGG68" s="8"/>
      <c r="IGH68" s="8"/>
      <c r="IGI68" s="8"/>
      <c r="IGJ68" s="8"/>
      <c r="IGK68" s="8"/>
      <c r="IGL68" s="8"/>
      <c r="IGM68" s="8"/>
      <c r="IGN68" s="8"/>
      <c r="IGO68" s="8"/>
      <c r="IGP68" s="8"/>
      <c r="IGQ68" s="8"/>
      <c r="IGR68" s="8"/>
      <c r="IGS68" s="8"/>
      <c r="IGT68" s="8"/>
      <c r="IGU68" s="8"/>
      <c r="IGV68" s="8"/>
      <c r="IGW68" s="8"/>
      <c r="IGX68" s="8"/>
      <c r="IGY68" s="8"/>
      <c r="IGZ68" s="8"/>
      <c r="IHA68" s="8"/>
      <c r="IHB68" s="8"/>
      <c r="IHC68" s="8"/>
      <c r="IHD68" s="8"/>
      <c r="IHE68" s="8"/>
      <c r="IHF68" s="8"/>
      <c r="IHG68" s="8"/>
      <c r="IHH68" s="8"/>
      <c r="IHI68" s="8"/>
      <c r="IHJ68" s="8"/>
      <c r="IHK68" s="8"/>
      <c r="IHL68" s="8"/>
      <c r="IHM68" s="8"/>
      <c r="IHN68" s="8"/>
      <c r="IHO68" s="8"/>
      <c r="IHP68" s="8"/>
      <c r="IHQ68" s="8"/>
      <c r="IHR68" s="8"/>
      <c r="IHS68" s="8"/>
      <c r="IHT68" s="8"/>
      <c r="IHU68" s="8"/>
      <c r="IHV68" s="8"/>
      <c r="IHW68" s="8"/>
      <c r="IHX68" s="8"/>
      <c r="IHY68" s="8"/>
      <c r="IHZ68" s="8"/>
      <c r="IIA68" s="8"/>
      <c r="IIB68" s="8"/>
      <c r="IIC68" s="8"/>
      <c r="IID68" s="8"/>
      <c r="IIE68" s="8"/>
      <c r="IIF68" s="8"/>
      <c r="IIG68" s="8"/>
      <c r="IIH68" s="8"/>
      <c r="III68" s="8"/>
      <c r="IIJ68" s="8"/>
      <c r="IIK68" s="8"/>
      <c r="IIL68" s="8"/>
      <c r="IIM68" s="8"/>
      <c r="IIN68" s="8"/>
      <c r="IIO68" s="8"/>
      <c r="IIP68" s="8"/>
      <c r="IIQ68" s="8"/>
      <c r="IIR68" s="8"/>
      <c r="IIS68" s="8"/>
      <c r="IIT68" s="8"/>
      <c r="IIU68" s="8"/>
      <c r="IIV68" s="8"/>
      <c r="IIW68" s="8"/>
      <c r="IIX68" s="8"/>
      <c r="IIY68" s="8"/>
      <c r="IIZ68" s="8"/>
      <c r="IJA68" s="8"/>
      <c r="IJB68" s="8"/>
      <c r="IJC68" s="8"/>
      <c r="IJD68" s="8"/>
      <c r="IJE68" s="8"/>
      <c r="IJF68" s="8"/>
      <c r="IJG68" s="8"/>
      <c r="IJH68" s="8"/>
      <c r="IJI68" s="8"/>
      <c r="IJJ68" s="8"/>
      <c r="IJK68" s="8"/>
      <c r="IJL68" s="8"/>
      <c r="IJM68" s="8"/>
      <c r="IJN68" s="8"/>
      <c r="IJO68" s="8"/>
      <c r="IJP68" s="8"/>
      <c r="IJQ68" s="8"/>
      <c r="IJR68" s="8"/>
      <c r="IJS68" s="8"/>
      <c r="IJT68" s="8"/>
      <c r="IJU68" s="8"/>
      <c r="IJV68" s="8"/>
      <c r="IJW68" s="8"/>
      <c r="IJX68" s="8"/>
      <c r="IJY68" s="8"/>
      <c r="IJZ68" s="8"/>
      <c r="IKA68" s="8"/>
      <c r="IKB68" s="8"/>
      <c r="IKC68" s="8"/>
      <c r="IKD68" s="8"/>
      <c r="IKE68" s="8"/>
      <c r="IKF68" s="8"/>
      <c r="IKG68" s="8"/>
      <c r="IKH68" s="8"/>
      <c r="IKI68" s="8"/>
      <c r="IKJ68" s="8"/>
      <c r="IKK68" s="8"/>
      <c r="IKL68" s="8"/>
      <c r="IKM68" s="8"/>
      <c r="IKN68" s="8"/>
      <c r="IKO68" s="8"/>
      <c r="IKP68" s="8"/>
      <c r="IKQ68" s="8"/>
      <c r="IKR68" s="8"/>
      <c r="IKS68" s="8"/>
      <c r="IKT68" s="8"/>
      <c r="IKU68" s="8"/>
      <c r="IKV68" s="8"/>
      <c r="IKW68" s="8"/>
      <c r="IKX68" s="8"/>
      <c r="IKY68" s="8"/>
      <c r="IKZ68" s="8"/>
      <c r="ILA68" s="8"/>
      <c r="ILB68" s="8"/>
      <c r="ILC68" s="8"/>
      <c r="ILD68" s="8"/>
      <c r="ILE68" s="8"/>
      <c r="ILF68" s="8"/>
      <c r="ILG68" s="8"/>
      <c r="ILH68" s="8"/>
      <c r="ILI68" s="8"/>
      <c r="ILJ68" s="8"/>
      <c r="ILK68" s="8"/>
      <c r="ILL68" s="8"/>
      <c r="ILM68" s="8"/>
      <c r="ILN68" s="8"/>
      <c r="ILO68" s="8"/>
      <c r="ILP68" s="8"/>
      <c r="ILQ68" s="8"/>
      <c r="ILR68" s="8"/>
      <c r="ILS68" s="8"/>
      <c r="ILT68" s="8"/>
      <c r="ILU68" s="8"/>
      <c r="ILV68" s="8"/>
      <c r="ILW68" s="8"/>
      <c r="ILX68" s="8"/>
      <c r="ILY68" s="8"/>
      <c r="ILZ68" s="8"/>
      <c r="IMA68" s="8"/>
      <c r="IMB68" s="8"/>
      <c r="IMC68" s="8"/>
      <c r="IMD68" s="8"/>
      <c r="IME68" s="8"/>
      <c r="IMF68" s="8"/>
      <c r="IMG68" s="8"/>
      <c r="IMH68" s="8"/>
      <c r="IMI68" s="8"/>
      <c r="IMJ68" s="8"/>
      <c r="IMK68" s="8"/>
      <c r="IML68" s="8"/>
      <c r="IMM68" s="8"/>
      <c r="IMN68" s="8"/>
      <c r="IMO68" s="8"/>
      <c r="IMP68" s="8"/>
      <c r="IMQ68" s="8"/>
      <c r="IMR68" s="8"/>
      <c r="IMS68" s="8"/>
      <c r="IMT68" s="8"/>
      <c r="IMU68" s="8"/>
      <c r="IMV68" s="8"/>
      <c r="IMW68" s="8"/>
      <c r="IMX68" s="8"/>
      <c r="IMY68" s="8"/>
      <c r="IMZ68" s="8"/>
      <c r="INA68" s="8"/>
      <c r="INB68" s="8"/>
      <c r="INC68" s="8"/>
      <c r="IND68" s="8"/>
      <c r="INE68" s="8"/>
      <c r="INF68" s="8"/>
      <c r="ING68" s="8"/>
      <c r="INH68" s="8"/>
      <c r="INI68" s="8"/>
      <c r="INJ68" s="8"/>
      <c r="INK68" s="8"/>
      <c r="INL68" s="8"/>
      <c r="INM68" s="8"/>
      <c r="INN68" s="8"/>
      <c r="INO68" s="8"/>
      <c r="INP68" s="8"/>
      <c r="INQ68" s="8"/>
      <c r="INR68" s="8"/>
      <c r="INS68" s="8"/>
      <c r="INT68" s="8"/>
      <c r="INU68" s="8"/>
      <c r="INV68" s="8"/>
      <c r="INW68" s="8"/>
      <c r="INX68" s="8"/>
      <c r="INY68" s="8"/>
      <c r="INZ68" s="8"/>
      <c r="IOA68" s="8"/>
      <c r="IOB68" s="8"/>
      <c r="IOC68" s="8"/>
      <c r="IOD68" s="8"/>
      <c r="IOE68" s="8"/>
      <c r="IOF68" s="8"/>
      <c r="IOG68" s="8"/>
      <c r="IOH68" s="8"/>
      <c r="IOI68" s="8"/>
      <c r="IOJ68" s="8"/>
      <c r="IOK68" s="8"/>
      <c r="IOL68" s="8"/>
      <c r="IOM68" s="8"/>
      <c r="ION68" s="8"/>
      <c r="IOO68" s="8"/>
      <c r="IOP68" s="8"/>
      <c r="IOQ68" s="8"/>
      <c r="IOR68" s="8"/>
      <c r="IOS68" s="8"/>
      <c r="IOT68" s="8"/>
      <c r="IOU68" s="8"/>
      <c r="IOV68" s="8"/>
      <c r="IOW68" s="8"/>
      <c r="IOX68" s="8"/>
      <c r="IOY68" s="8"/>
      <c r="IOZ68" s="8"/>
      <c r="IPA68" s="8"/>
      <c r="IPB68" s="8"/>
      <c r="IPC68" s="8"/>
      <c r="IPD68" s="8"/>
      <c r="IPE68" s="8"/>
      <c r="IPF68" s="8"/>
      <c r="IPG68" s="8"/>
      <c r="IPH68" s="8"/>
      <c r="IPI68" s="8"/>
      <c r="IPJ68" s="8"/>
      <c r="IPK68" s="8"/>
      <c r="IPL68" s="8"/>
      <c r="IPM68" s="8"/>
      <c r="IPN68" s="8"/>
      <c r="IPO68" s="8"/>
      <c r="IPP68" s="8"/>
      <c r="IPQ68" s="8"/>
      <c r="IPR68" s="8"/>
      <c r="IPS68" s="8"/>
      <c r="IPT68" s="8"/>
      <c r="IPU68" s="8"/>
      <c r="IPV68" s="8"/>
      <c r="IPW68" s="8"/>
      <c r="IPX68" s="8"/>
      <c r="IPY68" s="8"/>
      <c r="IPZ68" s="8"/>
      <c r="IQA68" s="8"/>
      <c r="IQB68" s="8"/>
      <c r="IQC68" s="8"/>
      <c r="IQD68" s="8"/>
      <c r="IQE68" s="8"/>
      <c r="IQF68" s="8"/>
      <c r="IQG68" s="8"/>
      <c r="IQH68" s="8"/>
      <c r="IQI68" s="8"/>
      <c r="IQJ68" s="8"/>
      <c r="IQK68" s="8"/>
      <c r="IQL68" s="8"/>
      <c r="IQM68" s="8"/>
      <c r="IQN68" s="8"/>
      <c r="IQO68" s="8"/>
      <c r="IQP68" s="8"/>
      <c r="IQQ68" s="8"/>
      <c r="IQR68" s="8"/>
      <c r="IQS68" s="8"/>
      <c r="IQT68" s="8"/>
      <c r="IQU68" s="8"/>
      <c r="IQV68" s="8"/>
      <c r="IQW68" s="8"/>
      <c r="IQX68" s="8"/>
      <c r="IQY68" s="8"/>
      <c r="IQZ68" s="8"/>
      <c r="IRA68" s="8"/>
      <c r="IRB68" s="8"/>
      <c r="IRC68" s="8"/>
      <c r="IRD68" s="8"/>
      <c r="IRE68" s="8"/>
      <c r="IRF68" s="8"/>
      <c r="IRG68" s="8"/>
      <c r="IRH68" s="8"/>
      <c r="IRI68" s="8"/>
      <c r="IRJ68" s="8"/>
      <c r="IRK68" s="8"/>
      <c r="IRL68" s="8"/>
      <c r="IRM68" s="8"/>
      <c r="IRN68" s="8"/>
      <c r="IRO68" s="8"/>
      <c r="IRP68" s="8"/>
      <c r="IRQ68" s="8"/>
      <c r="IRR68" s="8"/>
      <c r="IRS68" s="8"/>
      <c r="IRT68" s="8"/>
      <c r="IRU68" s="8"/>
      <c r="IRV68" s="8"/>
      <c r="IRW68" s="8"/>
      <c r="IRX68" s="8"/>
      <c r="IRY68" s="8"/>
      <c r="IRZ68" s="8"/>
      <c r="ISA68" s="8"/>
      <c r="ISB68" s="8"/>
      <c r="ISC68" s="8"/>
      <c r="ISD68" s="8"/>
      <c r="ISE68" s="8"/>
      <c r="ISF68" s="8"/>
      <c r="ISG68" s="8"/>
      <c r="ISH68" s="8"/>
      <c r="ISI68" s="8"/>
      <c r="ISJ68" s="8"/>
      <c r="ISK68" s="8"/>
      <c r="ISL68" s="8"/>
      <c r="ISM68" s="8"/>
      <c r="ISN68" s="8"/>
      <c r="ISO68" s="8"/>
      <c r="ISP68" s="8"/>
      <c r="ISQ68" s="8"/>
      <c r="ISR68" s="8"/>
      <c r="ISS68" s="8"/>
      <c r="IST68" s="8"/>
      <c r="ISU68" s="8"/>
      <c r="ISV68" s="8"/>
      <c r="ISW68" s="8"/>
      <c r="ISX68" s="8"/>
      <c r="ISY68" s="8"/>
      <c r="ISZ68" s="8"/>
      <c r="ITA68" s="8"/>
      <c r="ITB68" s="8"/>
      <c r="ITC68" s="8"/>
      <c r="ITD68" s="8"/>
      <c r="ITE68" s="8"/>
      <c r="ITF68" s="8"/>
      <c r="ITG68" s="8"/>
      <c r="ITH68" s="8"/>
      <c r="ITI68" s="8"/>
      <c r="ITJ68" s="8"/>
      <c r="ITK68" s="8"/>
      <c r="ITL68" s="8"/>
      <c r="ITM68" s="8"/>
      <c r="ITN68" s="8"/>
      <c r="ITO68" s="8"/>
      <c r="ITP68" s="8"/>
      <c r="ITQ68" s="8"/>
      <c r="ITR68" s="8"/>
      <c r="ITS68" s="8"/>
      <c r="ITT68" s="8"/>
      <c r="ITU68" s="8"/>
      <c r="ITV68" s="8"/>
      <c r="ITW68" s="8"/>
      <c r="ITX68" s="8"/>
      <c r="ITY68" s="8"/>
      <c r="ITZ68" s="8"/>
      <c r="IUA68" s="8"/>
      <c r="IUB68" s="8"/>
      <c r="IUC68" s="8"/>
      <c r="IUD68" s="8"/>
      <c r="IUE68" s="8"/>
      <c r="IUF68" s="8"/>
      <c r="IUG68" s="8"/>
      <c r="IUH68" s="8"/>
      <c r="IUI68" s="8"/>
      <c r="IUJ68" s="8"/>
      <c r="IUK68" s="8"/>
      <c r="IUL68" s="8"/>
      <c r="IUM68" s="8"/>
      <c r="IUN68" s="8"/>
      <c r="IUO68" s="8"/>
      <c r="IUP68" s="8"/>
      <c r="IUQ68" s="8"/>
      <c r="IUR68" s="8"/>
      <c r="IUS68" s="8"/>
      <c r="IUT68" s="8"/>
      <c r="IUU68" s="8"/>
      <c r="IUV68" s="8"/>
      <c r="IUW68" s="8"/>
      <c r="IUX68" s="8"/>
      <c r="IUY68" s="8"/>
      <c r="IUZ68" s="8"/>
      <c r="IVA68" s="8"/>
      <c r="IVB68" s="8"/>
      <c r="IVC68" s="8"/>
      <c r="IVD68" s="8"/>
      <c r="IVE68" s="8"/>
      <c r="IVF68" s="8"/>
      <c r="IVG68" s="8"/>
      <c r="IVH68" s="8"/>
      <c r="IVI68" s="8"/>
      <c r="IVJ68" s="8"/>
      <c r="IVK68" s="8"/>
      <c r="IVL68" s="8"/>
      <c r="IVM68" s="8"/>
      <c r="IVN68" s="8"/>
      <c r="IVO68" s="8"/>
      <c r="IVP68" s="8"/>
      <c r="IVQ68" s="8"/>
      <c r="IVR68" s="8"/>
      <c r="IVS68" s="8"/>
      <c r="IVT68" s="8"/>
      <c r="IVU68" s="8"/>
      <c r="IVV68" s="8"/>
      <c r="IVW68" s="8"/>
      <c r="IVX68" s="8"/>
      <c r="IVY68" s="8"/>
      <c r="IVZ68" s="8"/>
      <c r="IWA68" s="8"/>
      <c r="IWB68" s="8"/>
      <c r="IWC68" s="8"/>
      <c r="IWD68" s="8"/>
      <c r="IWE68" s="8"/>
      <c r="IWF68" s="8"/>
      <c r="IWG68" s="8"/>
      <c r="IWH68" s="8"/>
      <c r="IWI68" s="8"/>
      <c r="IWJ68" s="8"/>
      <c r="IWK68" s="8"/>
      <c r="IWL68" s="8"/>
      <c r="IWM68" s="8"/>
      <c r="IWN68" s="8"/>
      <c r="IWO68" s="8"/>
      <c r="IWP68" s="8"/>
      <c r="IWQ68" s="8"/>
      <c r="IWR68" s="8"/>
      <c r="IWS68" s="8"/>
      <c r="IWT68" s="8"/>
      <c r="IWU68" s="8"/>
      <c r="IWV68" s="8"/>
      <c r="IWW68" s="8"/>
      <c r="IWX68" s="8"/>
      <c r="IWY68" s="8"/>
      <c r="IWZ68" s="8"/>
      <c r="IXA68" s="8"/>
      <c r="IXB68" s="8"/>
      <c r="IXC68" s="8"/>
      <c r="IXD68" s="8"/>
      <c r="IXE68" s="8"/>
      <c r="IXF68" s="8"/>
      <c r="IXG68" s="8"/>
      <c r="IXH68" s="8"/>
      <c r="IXI68" s="8"/>
      <c r="IXJ68" s="8"/>
      <c r="IXK68" s="8"/>
      <c r="IXL68" s="8"/>
      <c r="IXM68" s="8"/>
      <c r="IXN68" s="8"/>
      <c r="IXO68" s="8"/>
      <c r="IXP68" s="8"/>
      <c r="IXQ68" s="8"/>
      <c r="IXR68" s="8"/>
      <c r="IXS68" s="8"/>
      <c r="IXT68" s="8"/>
      <c r="IXU68" s="8"/>
      <c r="IXV68" s="8"/>
      <c r="IXW68" s="8"/>
      <c r="IXX68" s="8"/>
      <c r="IXY68" s="8"/>
      <c r="IXZ68" s="8"/>
      <c r="IYA68" s="8"/>
      <c r="IYB68" s="8"/>
      <c r="IYC68" s="8"/>
      <c r="IYD68" s="8"/>
      <c r="IYE68" s="8"/>
      <c r="IYF68" s="8"/>
      <c r="IYG68" s="8"/>
      <c r="IYH68" s="8"/>
      <c r="IYI68" s="8"/>
      <c r="IYJ68" s="8"/>
      <c r="IYK68" s="8"/>
      <c r="IYL68" s="8"/>
      <c r="IYM68" s="8"/>
      <c r="IYN68" s="8"/>
      <c r="IYO68" s="8"/>
      <c r="IYP68" s="8"/>
      <c r="IYQ68" s="8"/>
      <c r="IYR68" s="8"/>
      <c r="IYS68" s="8"/>
      <c r="IYT68" s="8"/>
      <c r="IYU68" s="8"/>
      <c r="IYV68" s="8"/>
      <c r="IYW68" s="8"/>
      <c r="IYX68" s="8"/>
      <c r="IYY68" s="8"/>
      <c r="IYZ68" s="8"/>
      <c r="IZA68" s="8"/>
      <c r="IZB68" s="8"/>
      <c r="IZC68" s="8"/>
      <c r="IZD68" s="8"/>
      <c r="IZE68" s="8"/>
      <c r="IZF68" s="8"/>
      <c r="IZG68" s="8"/>
      <c r="IZH68" s="8"/>
      <c r="IZI68" s="8"/>
      <c r="IZJ68" s="8"/>
      <c r="IZK68" s="8"/>
      <c r="IZL68" s="8"/>
      <c r="IZM68" s="8"/>
      <c r="IZN68" s="8"/>
      <c r="IZO68" s="8"/>
      <c r="IZP68" s="8"/>
      <c r="IZQ68" s="8"/>
      <c r="IZR68" s="8"/>
      <c r="IZS68" s="8"/>
      <c r="IZT68" s="8"/>
      <c r="IZU68" s="8"/>
      <c r="IZV68" s="8"/>
      <c r="IZW68" s="8"/>
      <c r="IZX68" s="8"/>
      <c r="IZY68" s="8"/>
      <c r="IZZ68" s="8"/>
      <c r="JAA68" s="8"/>
      <c r="JAB68" s="8"/>
      <c r="JAC68" s="8"/>
      <c r="JAD68" s="8"/>
      <c r="JAE68" s="8"/>
      <c r="JAF68" s="8"/>
      <c r="JAG68" s="8"/>
      <c r="JAH68" s="8"/>
      <c r="JAI68" s="8"/>
      <c r="JAJ68" s="8"/>
      <c r="JAK68" s="8"/>
      <c r="JAL68" s="8"/>
      <c r="JAM68" s="8"/>
      <c r="JAN68" s="8"/>
      <c r="JAO68" s="8"/>
      <c r="JAP68" s="8"/>
      <c r="JAQ68" s="8"/>
      <c r="JAR68" s="8"/>
      <c r="JAS68" s="8"/>
      <c r="JAT68" s="8"/>
      <c r="JAU68" s="8"/>
      <c r="JAV68" s="8"/>
      <c r="JAW68" s="8"/>
      <c r="JAX68" s="8"/>
      <c r="JAY68" s="8"/>
      <c r="JAZ68" s="8"/>
      <c r="JBA68" s="8"/>
      <c r="JBB68" s="8"/>
      <c r="JBC68" s="8"/>
      <c r="JBD68" s="8"/>
      <c r="JBE68" s="8"/>
      <c r="JBF68" s="8"/>
      <c r="JBG68" s="8"/>
      <c r="JBH68" s="8"/>
      <c r="JBI68" s="8"/>
      <c r="JBJ68" s="8"/>
      <c r="JBK68" s="8"/>
      <c r="JBL68" s="8"/>
      <c r="JBM68" s="8"/>
      <c r="JBN68" s="8"/>
      <c r="JBO68" s="8"/>
      <c r="JBP68" s="8"/>
      <c r="JBQ68" s="8"/>
      <c r="JBR68" s="8"/>
      <c r="JBS68" s="8"/>
      <c r="JBT68" s="8"/>
      <c r="JBU68" s="8"/>
      <c r="JBV68" s="8"/>
      <c r="JBW68" s="8"/>
      <c r="JBX68" s="8"/>
      <c r="JBY68" s="8"/>
      <c r="JBZ68" s="8"/>
      <c r="JCA68" s="8"/>
      <c r="JCB68" s="8"/>
      <c r="JCC68" s="8"/>
      <c r="JCD68" s="8"/>
      <c r="JCE68" s="8"/>
      <c r="JCF68" s="8"/>
      <c r="JCG68" s="8"/>
      <c r="JCH68" s="8"/>
      <c r="JCI68" s="8"/>
      <c r="JCJ68" s="8"/>
      <c r="JCK68" s="8"/>
      <c r="JCL68" s="8"/>
      <c r="JCM68" s="8"/>
      <c r="JCN68" s="8"/>
      <c r="JCO68" s="8"/>
      <c r="JCP68" s="8"/>
      <c r="JCQ68" s="8"/>
      <c r="JCR68" s="8"/>
      <c r="JCS68" s="8"/>
      <c r="JCT68" s="8"/>
      <c r="JCU68" s="8"/>
      <c r="JCV68" s="8"/>
      <c r="JCW68" s="8"/>
      <c r="JCX68" s="8"/>
      <c r="JCY68" s="8"/>
      <c r="JCZ68" s="8"/>
      <c r="JDA68" s="8"/>
      <c r="JDB68" s="8"/>
      <c r="JDC68" s="8"/>
      <c r="JDD68" s="8"/>
      <c r="JDE68" s="8"/>
      <c r="JDF68" s="8"/>
      <c r="JDG68" s="8"/>
      <c r="JDH68" s="8"/>
      <c r="JDI68" s="8"/>
      <c r="JDJ68" s="8"/>
      <c r="JDK68" s="8"/>
      <c r="JDL68" s="8"/>
      <c r="JDM68" s="8"/>
      <c r="JDN68" s="8"/>
      <c r="JDO68" s="8"/>
      <c r="JDP68" s="8"/>
      <c r="JDQ68" s="8"/>
      <c r="JDR68" s="8"/>
      <c r="JDS68" s="8"/>
      <c r="JDT68" s="8"/>
      <c r="JDU68" s="8"/>
      <c r="JDV68" s="8"/>
      <c r="JDW68" s="8"/>
      <c r="JDX68" s="8"/>
      <c r="JDY68" s="8"/>
      <c r="JDZ68" s="8"/>
      <c r="JEA68" s="8"/>
      <c r="JEB68" s="8"/>
      <c r="JEC68" s="8"/>
      <c r="JED68" s="8"/>
      <c r="JEE68" s="8"/>
      <c r="JEF68" s="8"/>
      <c r="JEG68" s="8"/>
      <c r="JEH68" s="8"/>
      <c r="JEI68" s="8"/>
      <c r="JEJ68" s="8"/>
      <c r="JEK68" s="8"/>
      <c r="JEL68" s="8"/>
      <c r="JEM68" s="8"/>
      <c r="JEN68" s="8"/>
      <c r="JEO68" s="8"/>
      <c r="JEP68" s="8"/>
      <c r="JEQ68" s="8"/>
      <c r="JER68" s="8"/>
      <c r="JES68" s="8"/>
      <c r="JET68" s="8"/>
      <c r="JEU68" s="8"/>
      <c r="JEV68" s="8"/>
      <c r="JEW68" s="8"/>
      <c r="JEX68" s="8"/>
      <c r="JEY68" s="8"/>
      <c r="JEZ68" s="8"/>
      <c r="JFA68" s="8"/>
      <c r="JFB68" s="8"/>
      <c r="JFC68" s="8"/>
      <c r="JFD68" s="8"/>
      <c r="JFE68" s="8"/>
      <c r="JFF68" s="8"/>
      <c r="JFG68" s="8"/>
      <c r="JFH68" s="8"/>
      <c r="JFI68" s="8"/>
      <c r="JFJ68" s="8"/>
      <c r="JFK68" s="8"/>
      <c r="JFL68" s="8"/>
      <c r="JFM68" s="8"/>
      <c r="JFN68" s="8"/>
      <c r="JFO68" s="8"/>
      <c r="JFP68" s="8"/>
      <c r="JFQ68" s="8"/>
      <c r="JFR68" s="8"/>
      <c r="JFS68" s="8"/>
      <c r="JFT68" s="8"/>
      <c r="JFU68" s="8"/>
      <c r="JFV68" s="8"/>
      <c r="JFW68" s="8"/>
      <c r="JFX68" s="8"/>
      <c r="JFY68" s="8"/>
      <c r="JFZ68" s="8"/>
      <c r="JGA68" s="8"/>
      <c r="JGB68" s="8"/>
      <c r="JGC68" s="8"/>
      <c r="JGD68" s="8"/>
      <c r="JGE68" s="8"/>
      <c r="JGF68" s="8"/>
      <c r="JGG68" s="8"/>
      <c r="JGH68" s="8"/>
      <c r="JGI68" s="8"/>
      <c r="JGJ68" s="8"/>
      <c r="JGK68" s="8"/>
      <c r="JGL68" s="8"/>
      <c r="JGM68" s="8"/>
      <c r="JGN68" s="8"/>
      <c r="JGO68" s="8"/>
      <c r="JGP68" s="8"/>
      <c r="JGQ68" s="8"/>
      <c r="JGR68" s="8"/>
      <c r="JGS68" s="8"/>
      <c r="JGT68" s="8"/>
      <c r="JGU68" s="8"/>
      <c r="JGV68" s="8"/>
      <c r="JGW68" s="8"/>
      <c r="JGX68" s="8"/>
      <c r="JGY68" s="8"/>
      <c r="JGZ68" s="8"/>
      <c r="JHA68" s="8"/>
      <c r="JHB68" s="8"/>
      <c r="JHC68" s="8"/>
      <c r="JHD68" s="8"/>
      <c r="JHE68" s="8"/>
      <c r="JHF68" s="8"/>
      <c r="JHG68" s="8"/>
      <c r="JHH68" s="8"/>
      <c r="JHI68" s="8"/>
      <c r="JHJ68" s="8"/>
      <c r="JHK68" s="8"/>
      <c r="JHL68" s="8"/>
      <c r="JHM68" s="8"/>
      <c r="JHN68" s="8"/>
      <c r="JHO68" s="8"/>
      <c r="JHP68" s="8"/>
      <c r="JHQ68" s="8"/>
      <c r="JHR68" s="8"/>
      <c r="JHS68" s="8"/>
      <c r="JHT68" s="8"/>
      <c r="JHU68" s="8"/>
      <c r="JHV68" s="8"/>
      <c r="JHW68" s="8"/>
      <c r="JHX68" s="8"/>
      <c r="JHY68" s="8"/>
      <c r="JHZ68" s="8"/>
      <c r="JIA68" s="8"/>
      <c r="JIB68" s="8"/>
      <c r="JIC68" s="8"/>
      <c r="JID68" s="8"/>
      <c r="JIE68" s="8"/>
      <c r="JIF68" s="8"/>
      <c r="JIG68" s="8"/>
      <c r="JIH68" s="8"/>
      <c r="JII68" s="8"/>
      <c r="JIJ68" s="8"/>
      <c r="JIK68" s="8"/>
      <c r="JIL68" s="8"/>
      <c r="JIM68" s="8"/>
      <c r="JIN68" s="8"/>
      <c r="JIO68" s="8"/>
      <c r="JIP68" s="8"/>
      <c r="JIQ68" s="8"/>
      <c r="JIR68" s="8"/>
      <c r="JIS68" s="8"/>
      <c r="JIT68" s="8"/>
      <c r="JIU68" s="8"/>
      <c r="JIV68" s="8"/>
      <c r="JIW68" s="8"/>
      <c r="JIX68" s="8"/>
      <c r="JIY68" s="8"/>
      <c r="JIZ68" s="8"/>
      <c r="JJA68" s="8"/>
      <c r="JJB68" s="8"/>
      <c r="JJC68" s="8"/>
      <c r="JJD68" s="8"/>
      <c r="JJE68" s="8"/>
      <c r="JJF68" s="8"/>
      <c r="JJG68" s="8"/>
      <c r="JJH68" s="8"/>
      <c r="JJI68" s="8"/>
      <c r="JJJ68" s="8"/>
      <c r="JJK68" s="8"/>
      <c r="JJL68" s="8"/>
      <c r="JJM68" s="8"/>
      <c r="JJN68" s="8"/>
      <c r="JJO68" s="8"/>
      <c r="JJP68" s="8"/>
      <c r="JJQ68" s="8"/>
      <c r="JJR68" s="8"/>
      <c r="JJS68" s="8"/>
      <c r="JJT68" s="8"/>
      <c r="JJU68" s="8"/>
      <c r="JJV68" s="8"/>
      <c r="JJW68" s="8"/>
      <c r="JJX68" s="8"/>
      <c r="JJY68" s="8"/>
      <c r="JJZ68" s="8"/>
      <c r="JKA68" s="8"/>
      <c r="JKB68" s="8"/>
      <c r="JKC68" s="8"/>
      <c r="JKD68" s="8"/>
      <c r="JKE68" s="8"/>
      <c r="JKF68" s="8"/>
      <c r="JKG68" s="8"/>
      <c r="JKH68" s="8"/>
      <c r="JKI68" s="8"/>
      <c r="JKJ68" s="8"/>
      <c r="JKK68" s="8"/>
      <c r="JKL68" s="8"/>
      <c r="JKM68" s="8"/>
      <c r="JKN68" s="8"/>
      <c r="JKO68" s="8"/>
      <c r="JKP68" s="8"/>
      <c r="JKQ68" s="8"/>
      <c r="JKR68" s="8"/>
      <c r="JKS68" s="8"/>
      <c r="JKT68" s="8"/>
      <c r="JKU68" s="8"/>
      <c r="JKV68" s="8"/>
      <c r="JKW68" s="8"/>
      <c r="JKX68" s="8"/>
      <c r="JKY68" s="8"/>
      <c r="JKZ68" s="8"/>
      <c r="JLA68" s="8"/>
      <c r="JLB68" s="8"/>
      <c r="JLC68" s="8"/>
      <c r="JLD68" s="8"/>
      <c r="JLE68" s="8"/>
      <c r="JLF68" s="8"/>
      <c r="JLG68" s="8"/>
      <c r="JLH68" s="8"/>
      <c r="JLI68" s="8"/>
      <c r="JLJ68" s="8"/>
      <c r="JLK68" s="8"/>
      <c r="JLL68" s="8"/>
      <c r="JLM68" s="8"/>
      <c r="JLN68" s="8"/>
      <c r="JLO68" s="8"/>
      <c r="JLP68" s="8"/>
      <c r="JLQ68" s="8"/>
      <c r="JLR68" s="8"/>
      <c r="JLS68" s="8"/>
      <c r="JLT68" s="8"/>
      <c r="JLU68" s="8"/>
      <c r="JLV68" s="8"/>
      <c r="JLW68" s="8"/>
      <c r="JLX68" s="8"/>
      <c r="JLY68" s="8"/>
      <c r="JLZ68" s="8"/>
      <c r="JMA68" s="8"/>
      <c r="JMB68" s="8"/>
      <c r="JMC68" s="8"/>
      <c r="JMD68" s="8"/>
      <c r="JME68" s="8"/>
      <c r="JMF68" s="8"/>
      <c r="JMG68" s="8"/>
      <c r="JMH68" s="8"/>
      <c r="JMI68" s="8"/>
      <c r="JMJ68" s="8"/>
      <c r="JMK68" s="8"/>
      <c r="JML68" s="8"/>
      <c r="JMM68" s="8"/>
      <c r="JMN68" s="8"/>
      <c r="JMO68" s="8"/>
      <c r="JMP68" s="8"/>
      <c r="JMQ68" s="8"/>
      <c r="JMR68" s="8"/>
      <c r="JMS68" s="8"/>
      <c r="JMT68" s="8"/>
      <c r="JMU68" s="8"/>
      <c r="JMV68" s="8"/>
      <c r="JMW68" s="8"/>
      <c r="JMX68" s="8"/>
      <c r="JMY68" s="8"/>
      <c r="JMZ68" s="8"/>
      <c r="JNA68" s="8"/>
      <c r="JNB68" s="8"/>
      <c r="JNC68" s="8"/>
      <c r="JND68" s="8"/>
      <c r="JNE68" s="8"/>
      <c r="JNF68" s="8"/>
      <c r="JNG68" s="8"/>
      <c r="JNH68" s="8"/>
      <c r="JNI68" s="8"/>
      <c r="JNJ68" s="8"/>
      <c r="JNK68" s="8"/>
      <c r="JNL68" s="8"/>
      <c r="JNM68" s="8"/>
      <c r="JNN68" s="8"/>
      <c r="JNO68" s="8"/>
      <c r="JNP68" s="8"/>
      <c r="JNQ68" s="8"/>
      <c r="JNR68" s="8"/>
      <c r="JNS68" s="8"/>
      <c r="JNT68" s="8"/>
      <c r="JNU68" s="8"/>
      <c r="JNV68" s="8"/>
      <c r="JNW68" s="8"/>
      <c r="JNX68" s="8"/>
      <c r="JNY68" s="8"/>
      <c r="JNZ68" s="8"/>
      <c r="JOA68" s="8"/>
      <c r="JOB68" s="8"/>
      <c r="JOC68" s="8"/>
      <c r="JOD68" s="8"/>
      <c r="JOE68" s="8"/>
      <c r="JOF68" s="8"/>
      <c r="JOG68" s="8"/>
      <c r="JOH68" s="8"/>
      <c r="JOI68" s="8"/>
      <c r="JOJ68" s="8"/>
      <c r="JOK68" s="8"/>
      <c r="JOL68" s="8"/>
      <c r="JOM68" s="8"/>
      <c r="JON68" s="8"/>
      <c r="JOO68" s="8"/>
      <c r="JOP68" s="8"/>
      <c r="JOQ68" s="8"/>
      <c r="JOR68" s="8"/>
      <c r="JOS68" s="8"/>
      <c r="JOT68" s="8"/>
      <c r="JOU68" s="8"/>
      <c r="JOV68" s="8"/>
      <c r="JOW68" s="8"/>
      <c r="JOX68" s="8"/>
      <c r="JOY68" s="8"/>
      <c r="JOZ68" s="8"/>
      <c r="JPA68" s="8"/>
      <c r="JPB68" s="8"/>
      <c r="JPC68" s="8"/>
      <c r="JPD68" s="8"/>
      <c r="JPE68" s="8"/>
      <c r="JPF68" s="8"/>
      <c r="JPG68" s="8"/>
      <c r="JPH68" s="8"/>
      <c r="JPI68" s="8"/>
      <c r="JPJ68" s="8"/>
      <c r="JPK68" s="8"/>
      <c r="JPL68" s="8"/>
      <c r="JPM68" s="8"/>
      <c r="JPN68" s="8"/>
      <c r="JPO68" s="8"/>
      <c r="JPP68" s="8"/>
      <c r="JPQ68" s="8"/>
      <c r="JPR68" s="8"/>
      <c r="JPS68" s="8"/>
      <c r="JPT68" s="8"/>
      <c r="JPU68" s="8"/>
      <c r="JPV68" s="8"/>
      <c r="JPW68" s="8"/>
      <c r="JPX68" s="8"/>
      <c r="JPY68" s="8"/>
      <c r="JPZ68" s="8"/>
      <c r="JQA68" s="8"/>
      <c r="JQB68" s="8"/>
      <c r="JQC68" s="8"/>
      <c r="JQD68" s="8"/>
      <c r="JQE68" s="8"/>
      <c r="JQF68" s="8"/>
      <c r="JQG68" s="8"/>
      <c r="JQH68" s="8"/>
      <c r="JQI68" s="8"/>
      <c r="JQJ68" s="8"/>
      <c r="JQK68" s="8"/>
      <c r="JQL68" s="8"/>
      <c r="JQM68" s="8"/>
      <c r="JQN68" s="8"/>
      <c r="JQO68" s="8"/>
      <c r="JQP68" s="8"/>
      <c r="JQQ68" s="8"/>
      <c r="JQR68" s="8"/>
      <c r="JQS68" s="8"/>
      <c r="JQT68" s="8"/>
      <c r="JQU68" s="8"/>
      <c r="JQV68" s="8"/>
      <c r="JQW68" s="8"/>
      <c r="JQX68" s="8"/>
      <c r="JQY68" s="8"/>
      <c r="JQZ68" s="8"/>
      <c r="JRA68" s="8"/>
      <c r="JRB68" s="8"/>
      <c r="JRC68" s="8"/>
      <c r="JRD68" s="8"/>
      <c r="JRE68" s="8"/>
      <c r="JRF68" s="8"/>
      <c r="JRG68" s="8"/>
      <c r="JRH68" s="8"/>
      <c r="JRI68" s="8"/>
      <c r="JRJ68" s="8"/>
      <c r="JRK68" s="8"/>
      <c r="JRL68" s="8"/>
      <c r="JRM68" s="8"/>
      <c r="JRN68" s="8"/>
      <c r="JRO68" s="8"/>
      <c r="JRP68" s="8"/>
      <c r="JRQ68" s="8"/>
      <c r="JRR68" s="8"/>
      <c r="JRS68" s="8"/>
      <c r="JRT68" s="8"/>
      <c r="JRU68" s="8"/>
      <c r="JRV68" s="8"/>
      <c r="JRW68" s="8"/>
      <c r="JRX68" s="8"/>
      <c r="JRY68" s="8"/>
      <c r="JRZ68" s="8"/>
      <c r="JSA68" s="8"/>
      <c r="JSB68" s="8"/>
      <c r="JSC68" s="8"/>
      <c r="JSD68" s="8"/>
      <c r="JSE68" s="8"/>
      <c r="JSF68" s="8"/>
      <c r="JSG68" s="8"/>
      <c r="JSH68" s="8"/>
      <c r="JSI68" s="8"/>
      <c r="JSJ68" s="8"/>
      <c r="JSK68" s="8"/>
      <c r="JSL68" s="8"/>
      <c r="JSM68" s="8"/>
      <c r="JSN68" s="8"/>
      <c r="JSO68" s="8"/>
      <c r="JSP68" s="8"/>
      <c r="JSQ68" s="8"/>
      <c r="JSR68" s="8"/>
      <c r="JSS68" s="8"/>
      <c r="JST68" s="8"/>
      <c r="JSU68" s="8"/>
      <c r="JSV68" s="8"/>
      <c r="JSW68" s="8"/>
      <c r="JSX68" s="8"/>
      <c r="JSY68" s="8"/>
      <c r="JSZ68" s="8"/>
      <c r="JTA68" s="8"/>
      <c r="JTB68" s="8"/>
      <c r="JTC68" s="8"/>
      <c r="JTD68" s="8"/>
      <c r="JTE68" s="8"/>
      <c r="JTF68" s="8"/>
      <c r="JTG68" s="8"/>
      <c r="JTH68" s="8"/>
      <c r="JTI68" s="8"/>
      <c r="JTJ68" s="8"/>
      <c r="JTK68" s="8"/>
      <c r="JTL68" s="8"/>
      <c r="JTM68" s="8"/>
      <c r="JTN68" s="8"/>
      <c r="JTO68" s="8"/>
      <c r="JTP68" s="8"/>
      <c r="JTQ68" s="8"/>
      <c r="JTR68" s="8"/>
      <c r="JTS68" s="8"/>
      <c r="JTT68" s="8"/>
      <c r="JTU68" s="8"/>
      <c r="JTV68" s="8"/>
      <c r="JTW68" s="8"/>
      <c r="JTX68" s="8"/>
      <c r="JTY68" s="8"/>
      <c r="JTZ68" s="8"/>
      <c r="JUA68" s="8"/>
      <c r="JUB68" s="8"/>
      <c r="JUC68" s="8"/>
      <c r="JUD68" s="8"/>
      <c r="JUE68" s="8"/>
      <c r="JUF68" s="8"/>
      <c r="JUG68" s="8"/>
      <c r="JUH68" s="8"/>
      <c r="JUI68" s="8"/>
      <c r="JUJ68" s="8"/>
      <c r="JUK68" s="8"/>
      <c r="JUL68" s="8"/>
      <c r="JUM68" s="8"/>
      <c r="JUN68" s="8"/>
      <c r="JUO68" s="8"/>
      <c r="JUP68" s="8"/>
      <c r="JUQ68" s="8"/>
      <c r="JUR68" s="8"/>
      <c r="JUS68" s="8"/>
      <c r="JUT68" s="8"/>
      <c r="JUU68" s="8"/>
      <c r="JUV68" s="8"/>
      <c r="JUW68" s="8"/>
      <c r="JUX68" s="8"/>
      <c r="JUY68" s="8"/>
      <c r="JUZ68" s="8"/>
      <c r="JVA68" s="8"/>
      <c r="JVB68" s="8"/>
      <c r="JVC68" s="8"/>
      <c r="JVD68" s="8"/>
      <c r="JVE68" s="8"/>
      <c r="JVF68" s="8"/>
      <c r="JVG68" s="8"/>
      <c r="JVH68" s="8"/>
      <c r="JVI68" s="8"/>
      <c r="JVJ68" s="8"/>
      <c r="JVK68" s="8"/>
      <c r="JVL68" s="8"/>
      <c r="JVM68" s="8"/>
      <c r="JVN68" s="8"/>
      <c r="JVO68" s="8"/>
      <c r="JVP68" s="8"/>
      <c r="JVQ68" s="8"/>
      <c r="JVR68" s="8"/>
      <c r="JVS68" s="8"/>
      <c r="JVT68" s="8"/>
      <c r="JVU68" s="8"/>
      <c r="JVV68" s="8"/>
      <c r="JVW68" s="8"/>
      <c r="JVX68" s="8"/>
      <c r="JVY68" s="8"/>
      <c r="JVZ68" s="8"/>
      <c r="JWA68" s="8"/>
      <c r="JWB68" s="8"/>
      <c r="JWC68" s="8"/>
      <c r="JWD68" s="8"/>
      <c r="JWE68" s="8"/>
      <c r="JWF68" s="8"/>
      <c r="JWG68" s="8"/>
      <c r="JWH68" s="8"/>
      <c r="JWI68" s="8"/>
      <c r="JWJ68" s="8"/>
      <c r="JWK68" s="8"/>
      <c r="JWL68" s="8"/>
      <c r="JWM68" s="8"/>
      <c r="JWN68" s="8"/>
      <c r="JWO68" s="8"/>
      <c r="JWP68" s="8"/>
      <c r="JWQ68" s="8"/>
      <c r="JWR68" s="8"/>
      <c r="JWS68" s="8"/>
      <c r="JWT68" s="8"/>
      <c r="JWU68" s="8"/>
      <c r="JWV68" s="8"/>
      <c r="JWW68" s="8"/>
      <c r="JWX68" s="8"/>
      <c r="JWY68" s="8"/>
      <c r="JWZ68" s="8"/>
      <c r="JXA68" s="8"/>
      <c r="JXB68" s="8"/>
      <c r="JXC68" s="8"/>
      <c r="JXD68" s="8"/>
      <c r="JXE68" s="8"/>
      <c r="JXF68" s="8"/>
      <c r="JXG68" s="8"/>
      <c r="JXH68" s="8"/>
      <c r="JXI68" s="8"/>
      <c r="JXJ68" s="8"/>
      <c r="JXK68" s="8"/>
      <c r="JXL68" s="8"/>
      <c r="JXM68" s="8"/>
      <c r="JXN68" s="8"/>
      <c r="JXO68" s="8"/>
      <c r="JXP68" s="8"/>
      <c r="JXQ68" s="8"/>
      <c r="JXR68" s="8"/>
      <c r="JXS68" s="8"/>
      <c r="JXT68" s="8"/>
      <c r="JXU68" s="8"/>
      <c r="JXV68" s="8"/>
      <c r="JXW68" s="8"/>
      <c r="JXX68" s="8"/>
      <c r="JXY68" s="8"/>
      <c r="JXZ68" s="8"/>
      <c r="JYA68" s="8"/>
      <c r="JYB68" s="8"/>
      <c r="JYC68" s="8"/>
      <c r="JYD68" s="8"/>
      <c r="JYE68" s="8"/>
      <c r="JYF68" s="8"/>
      <c r="JYG68" s="8"/>
      <c r="JYH68" s="8"/>
      <c r="JYI68" s="8"/>
      <c r="JYJ68" s="8"/>
      <c r="JYK68" s="8"/>
      <c r="JYL68" s="8"/>
      <c r="JYM68" s="8"/>
      <c r="JYN68" s="8"/>
      <c r="JYO68" s="8"/>
      <c r="JYP68" s="8"/>
      <c r="JYQ68" s="8"/>
      <c r="JYR68" s="8"/>
      <c r="JYS68" s="8"/>
      <c r="JYT68" s="8"/>
      <c r="JYU68" s="8"/>
      <c r="JYV68" s="8"/>
      <c r="JYW68" s="8"/>
      <c r="JYX68" s="8"/>
      <c r="JYY68" s="8"/>
      <c r="JYZ68" s="8"/>
      <c r="JZA68" s="8"/>
      <c r="JZB68" s="8"/>
      <c r="JZC68" s="8"/>
      <c r="JZD68" s="8"/>
      <c r="JZE68" s="8"/>
      <c r="JZF68" s="8"/>
      <c r="JZG68" s="8"/>
      <c r="JZH68" s="8"/>
      <c r="JZI68" s="8"/>
      <c r="JZJ68" s="8"/>
      <c r="JZK68" s="8"/>
      <c r="JZL68" s="8"/>
      <c r="JZM68" s="8"/>
      <c r="JZN68" s="8"/>
      <c r="JZO68" s="8"/>
      <c r="JZP68" s="8"/>
      <c r="JZQ68" s="8"/>
      <c r="JZR68" s="8"/>
      <c r="JZS68" s="8"/>
      <c r="JZT68" s="8"/>
      <c r="JZU68" s="8"/>
      <c r="JZV68" s="8"/>
      <c r="JZW68" s="8"/>
      <c r="JZX68" s="8"/>
      <c r="JZY68" s="8"/>
      <c r="JZZ68" s="8"/>
      <c r="KAA68" s="8"/>
      <c r="KAB68" s="8"/>
      <c r="KAC68" s="8"/>
      <c r="KAD68" s="8"/>
      <c r="KAE68" s="8"/>
      <c r="KAF68" s="8"/>
      <c r="KAG68" s="8"/>
      <c r="KAH68" s="8"/>
      <c r="KAI68" s="8"/>
      <c r="KAJ68" s="8"/>
      <c r="KAK68" s="8"/>
      <c r="KAL68" s="8"/>
      <c r="KAM68" s="8"/>
      <c r="KAN68" s="8"/>
      <c r="KAO68" s="8"/>
      <c r="KAP68" s="8"/>
      <c r="KAQ68" s="8"/>
      <c r="KAR68" s="8"/>
      <c r="KAS68" s="8"/>
      <c r="KAT68" s="8"/>
      <c r="KAU68" s="8"/>
      <c r="KAV68" s="8"/>
      <c r="KAW68" s="8"/>
      <c r="KAX68" s="8"/>
      <c r="KAY68" s="8"/>
      <c r="KAZ68" s="8"/>
      <c r="KBA68" s="8"/>
      <c r="KBB68" s="8"/>
      <c r="KBC68" s="8"/>
      <c r="KBD68" s="8"/>
      <c r="KBE68" s="8"/>
      <c r="KBF68" s="8"/>
      <c r="KBG68" s="8"/>
      <c r="KBH68" s="8"/>
      <c r="KBI68" s="8"/>
      <c r="KBJ68" s="8"/>
      <c r="KBK68" s="8"/>
      <c r="KBL68" s="8"/>
      <c r="KBM68" s="8"/>
      <c r="KBN68" s="8"/>
      <c r="KBO68" s="8"/>
      <c r="KBP68" s="8"/>
      <c r="KBQ68" s="8"/>
      <c r="KBR68" s="8"/>
      <c r="KBS68" s="8"/>
      <c r="KBT68" s="8"/>
      <c r="KBU68" s="8"/>
      <c r="KBV68" s="8"/>
      <c r="KBW68" s="8"/>
      <c r="KBX68" s="8"/>
      <c r="KBY68" s="8"/>
      <c r="KBZ68" s="8"/>
      <c r="KCA68" s="8"/>
      <c r="KCB68" s="8"/>
      <c r="KCC68" s="8"/>
      <c r="KCD68" s="8"/>
      <c r="KCE68" s="8"/>
      <c r="KCF68" s="8"/>
      <c r="KCG68" s="8"/>
      <c r="KCH68" s="8"/>
      <c r="KCI68" s="8"/>
      <c r="KCJ68" s="8"/>
      <c r="KCK68" s="8"/>
      <c r="KCL68" s="8"/>
      <c r="KCM68" s="8"/>
      <c r="KCN68" s="8"/>
      <c r="KCO68" s="8"/>
      <c r="KCP68" s="8"/>
      <c r="KCQ68" s="8"/>
      <c r="KCR68" s="8"/>
      <c r="KCS68" s="8"/>
      <c r="KCT68" s="8"/>
      <c r="KCU68" s="8"/>
      <c r="KCV68" s="8"/>
      <c r="KCW68" s="8"/>
      <c r="KCX68" s="8"/>
      <c r="KCY68" s="8"/>
      <c r="KCZ68" s="8"/>
      <c r="KDA68" s="8"/>
      <c r="KDB68" s="8"/>
      <c r="KDC68" s="8"/>
      <c r="KDD68" s="8"/>
      <c r="KDE68" s="8"/>
      <c r="KDF68" s="8"/>
      <c r="KDG68" s="8"/>
      <c r="KDH68" s="8"/>
      <c r="KDI68" s="8"/>
      <c r="KDJ68" s="8"/>
      <c r="KDK68" s="8"/>
      <c r="KDL68" s="8"/>
      <c r="KDM68" s="8"/>
      <c r="KDN68" s="8"/>
      <c r="KDO68" s="8"/>
      <c r="KDP68" s="8"/>
      <c r="KDQ68" s="8"/>
      <c r="KDR68" s="8"/>
      <c r="KDS68" s="8"/>
      <c r="KDT68" s="8"/>
      <c r="KDU68" s="8"/>
      <c r="KDV68" s="8"/>
      <c r="KDW68" s="8"/>
      <c r="KDX68" s="8"/>
      <c r="KDY68" s="8"/>
      <c r="KDZ68" s="8"/>
      <c r="KEA68" s="8"/>
      <c r="KEB68" s="8"/>
      <c r="KEC68" s="8"/>
      <c r="KED68" s="8"/>
      <c r="KEE68" s="8"/>
      <c r="KEF68" s="8"/>
      <c r="KEG68" s="8"/>
      <c r="KEH68" s="8"/>
      <c r="KEI68" s="8"/>
      <c r="KEJ68" s="8"/>
      <c r="KEK68" s="8"/>
      <c r="KEL68" s="8"/>
      <c r="KEM68" s="8"/>
      <c r="KEN68" s="8"/>
      <c r="KEO68" s="8"/>
      <c r="KEP68" s="8"/>
      <c r="KEQ68" s="8"/>
      <c r="KER68" s="8"/>
      <c r="KES68" s="8"/>
      <c r="KET68" s="8"/>
      <c r="KEU68" s="8"/>
      <c r="KEV68" s="8"/>
      <c r="KEW68" s="8"/>
      <c r="KEX68" s="8"/>
      <c r="KEY68" s="8"/>
      <c r="KEZ68" s="8"/>
      <c r="KFA68" s="8"/>
      <c r="KFB68" s="8"/>
      <c r="KFC68" s="8"/>
      <c r="KFD68" s="8"/>
      <c r="KFE68" s="8"/>
      <c r="KFF68" s="8"/>
      <c r="KFG68" s="8"/>
      <c r="KFH68" s="8"/>
      <c r="KFI68" s="8"/>
      <c r="KFJ68" s="8"/>
      <c r="KFK68" s="8"/>
      <c r="KFL68" s="8"/>
      <c r="KFM68" s="8"/>
      <c r="KFN68" s="8"/>
      <c r="KFO68" s="8"/>
      <c r="KFP68" s="8"/>
      <c r="KFQ68" s="8"/>
      <c r="KFR68" s="8"/>
      <c r="KFS68" s="8"/>
      <c r="KFT68" s="8"/>
      <c r="KFU68" s="8"/>
      <c r="KFV68" s="8"/>
      <c r="KFW68" s="8"/>
      <c r="KFX68" s="8"/>
      <c r="KFY68" s="8"/>
      <c r="KFZ68" s="8"/>
      <c r="KGA68" s="8"/>
      <c r="KGB68" s="8"/>
      <c r="KGC68" s="8"/>
      <c r="KGD68" s="8"/>
      <c r="KGE68" s="8"/>
      <c r="KGF68" s="8"/>
      <c r="KGG68" s="8"/>
      <c r="KGH68" s="8"/>
      <c r="KGI68" s="8"/>
      <c r="KGJ68" s="8"/>
      <c r="KGK68" s="8"/>
      <c r="KGL68" s="8"/>
      <c r="KGM68" s="8"/>
      <c r="KGN68" s="8"/>
      <c r="KGO68" s="8"/>
      <c r="KGP68" s="8"/>
      <c r="KGQ68" s="8"/>
      <c r="KGR68" s="8"/>
      <c r="KGS68" s="8"/>
      <c r="KGT68" s="8"/>
      <c r="KGU68" s="8"/>
      <c r="KGV68" s="8"/>
      <c r="KGW68" s="8"/>
      <c r="KGX68" s="8"/>
      <c r="KGY68" s="8"/>
      <c r="KGZ68" s="8"/>
      <c r="KHA68" s="8"/>
      <c r="KHB68" s="8"/>
      <c r="KHC68" s="8"/>
      <c r="KHD68" s="8"/>
      <c r="KHE68" s="8"/>
      <c r="KHF68" s="8"/>
      <c r="KHG68" s="8"/>
      <c r="KHH68" s="8"/>
      <c r="KHI68" s="8"/>
      <c r="KHJ68" s="8"/>
      <c r="KHK68" s="8"/>
      <c r="KHL68" s="8"/>
      <c r="KHM68" s="8"/>
      <c r="KHN68" s="8"/>
      <c r="KHO68" s="8"/>
      <c r="KHP68" s="8"/>
      <c r="KHQ68" s="8"/>
      <c r="KHR68" s="8"/>
      <c r="KHS68" s="8"/>
      <c r="KHT68" s="8"/>
      <c r="KHU68" s="8"/>
      <c r="KHV68" s="8"/>
      <c r="KHW68" s="8"/>
      <c r="KHX68" s="8"/>
      <c r="KHY68" s="8"/>
      <c r="KHZ68" s="8"/>
      <c r="KIA68" s="8"/>
      <c r="KIB68" s="8"/>
      <c r="KIC68" s="8"/>
      <c r="KID68" s="8"/>
      <c r="KIE68" s="8"/>
      <c r="KIF68" s="8"/>
      <c r="KIG68" s="8"/>
      <c r="KIH68" s="8"/>
      <c r="KII68" s="8"/>
      <c r="KIJ68" s="8"/>
      <c r="KIK68" s="8"/>
      <c r="KIL68" s="8"/>
      <c r="KIM68" s="8"/>
      <c r="KIN68" s="8"/>
      <c r="KIO68" s="8"/>
      <c r="KIP68" s="8"/>
      <c r="KIQ68" s="8"/>
      <c r="KIR68" s="8"/>
      <c r="KIS68" s="8"/>
      <c r="KIT68" s="8"/>
      <c r="KIU68" s="8"/>
      <c r="KIV68" s="8"/>
      <c r="KIW68" s="8"/>
      <c r="KIX68" s="8"/>
      <c r="KIY68" s="8"/>
      <c r="KIZ68" s="8"/>
      <c r="KJA68" s="8"/>
      <c r="KJB68" s="8"/>
      <c r="KJC68" s="8"/>
      <c r="KJD68" s="8"/>
      <c r="KJE68" s="8"/>
      <c r="KJF68" s="8"/>
      <c r="KJG68" s="8"/>
      <c r="KJH68" s="8"/>
      <c r="KJI68" s="8"/>
      <c r="KJJ68" s="8"/>
      <c r="KJK68" s="8"/>
      <c r="KJL68" s="8"/>
      <c r="KJM68" s="8"/>
      <c r="KJN68" s="8"/>
      <c r="KJO68" s="8"/>
      <c r="KJP68" s="8"/>
      <c r="KJQ68" s="8"/>
      <c r="KJR68" s="8"/>
      <c r="KJS68" s="8"/>
      <c r="KJT68" s="8"/>
      <c r="KJU68" s="8"/>
      <c r="KJV68" s="8"/>
      <c r="KJW68" s="8"/>
      <c r="KJX68" s="8"/>
      <c r="KJY68" s="8"/>
      <c r="KJZ68" s="8"/>
      <c r="KKA68" s="8"/>
      <c r="KKB68" s="8"/>
      <c r="KKC68" s="8"/>
      <c r="KKD68" s="8"/>
      <c r="KKE68" s="8"/>
      <c r="KKF68" s="8"/>
      <c r="KKG68" s="8"/>
      <c r="KKH68" s="8"/>
      <c r="KKI68" s="8"/>
      <c r="KKJ68" s="8"/>
      <c r="KKK68" s="8"/>
      <c r="KKL68" s="8"/>
      <c r="KKM68" s="8"/>
      <c r="KKN68" s="8"/>
      <c r="KKO68" s="8"/>
      <c r="KKP68" s="8"/>
      <c r="KKQ68" s="8"/>
      <c r="KKR68" s="8"/>
      <c r="KKS68" s="8"/>
      <c r="KKT68" s="8"/>
      <c r="KKU68" s="8"/>
      <c r="KKV68" s="8"/>
      <c r="KKW68" s="8"/>
      <c r="KKX68" s="8"/>
      <c r="KKY68" s="8"/>
      <c r="KKZ68" s="8"/>
      <c r="KLA68" s="8"/>
      <c r="KLB68" s="8"/>
      <c r="KLC68" s="8"/>
      <c r="KLD68" s="8"/>
      <c r="KLE68" s="8"/>
      <c r="KLF68" s="8"/>
      <c r="KLG68" s="8"/>
      <c r="KLH68" s="8"/>
      <c r="KLI68" s="8"/>
      <c r="KLJ68" s="8"/>
      <c r="KLK68" s="8"/>
      <c r="KLL68" s="8"/>
      <c r="KLM68" s="8"/>
      <c r="KLN68" s="8"/>
      <c r="KLO68" s="8"/>
      <c r="KLP68" s="8"/>
      <c r="KLQ68" s="8"/>
      <c r="KLR68" s="8"/>
      <c r="KLS68" s="8"/>
      <c r="KLT68" s="8"/>
      <c r="KLU68" s="8"/>
      <c r="KLV68" s="8"/>
      <c r="KLW68" s="8"/>
      <c r="KLX68" s="8"/>
      <c r="KLY68" s="8"/>
      <c r="KLZ68" s="8"/>
      <c r="KMA68" s="8"/>
      <c r="KMB68" s="8"/>
      <c r="KMC68" s="8"/>
      <c r="KMD68" s="8"/>
      <c r="KME68" s="8"/>
      <c r="KMF68" s="8"/>
      <c r="KMG68" s="8"/>
      <c r="KMH68" s="8"/>
      <c r="KMI68" s="8"/>
      <c r="KMJ68" s="8"/>
      <c r="KMK68" s="8"/>
      <c r="KML68" s="8"/>
      <c r="KMM68" s="8"/>
      <c r="KMN68" s="8"/>
      <c r="KMO68" s="8"/>
      <c r="KMP68" s="8"/>
      <c r="KMQ68" s="8"/>
      <c r="KMR68" s="8"/>
      <c r="KMS68" s="8"/>
      <c r="KMT68" s="8"/>
      <c r="KMU68" s="8"/>
      <c r="KMV68" s="8"/>
      <c r="KMW68" s="8"/>
      <c r="KMX68" s="8"/>
      <c r="KMY68" s="8"/>
      <c r="KMZ68" s="8"/>
      <c r="KNA68" s="8"/>
      <c r="KNB68" s="8"/>
      <c r="KNC68" s="8"/>
      <c r="KND68" s="8"/>
      <c r="KNE68" s="8"/>
      <c r="KNF68" s="8"/>
      <c r="KNG68" s="8"/>
      <c r="KNH68" s="8"/>
      <c r="KNI68" s="8"/>
      <c r="KNJ68" s="8"/>
      <c r="KNK68" s="8"/>
      <c r="KNL68" s="8"/>
      <c r="KNM68" s="8"/>
      <c r="KNN68" s="8"/>
      <c r="KNO68" s="8"/>
      <c r="KNP68" s="8"/>
      <c r="KNQ68" s="8"/>
      <c r="KNR68" s="8"/>
      <c r="KNS68" s="8"/>
      <c r="KNT68" s="8"/>
      <c r="KNU68" s="8"/>
      <c r="KNV68" s="8"/>
      <c r="KNW68" s="8"/>
      <c r="KNX68" s="8"/>
      <c r="KNY68" s="8"/>
      <c r="KNZ68" s="8"/>
      <c r="KOA68" s="8"/>
      <c r="KOB68" s="8"/>
      <c r="KOC68" s="8"/>
      <c r="KOD68" s="8"/>
      <c r="KOE68" s="8"/>
      <c r="KOF68" s="8"/>
      <c r="KOG68" s="8"/>
      <c r="KOH68" s="8"/>
      <c r="KOI68" s="8"/>
      <c r="KOJ68" s="8"/>
      <c r="KOK68" s="8"/>
      <c r="KOL68" s="8"/>
      <c r="KOM68" s="8"/>
      <c r="KON68" s="8"/>
      <c r="KOO68" s="8"/>
      <c r="KOP68" s="8"/>
      <c r="KOQ68" s="8"/>
      <c r="KOR68" s="8"/>
      <c r="KOS68" s="8"/>
      <c r="KOT68" s="8"/>
      <c r="KOU68" s="8"/>
      <c r="KOV68" s="8"/>
      <c r="KOW68" s="8"/>
      <c r="KOX68" s="8"/>
      <c r="KOY68" s="8"/>
      <c r="KOZ68" s="8"/>
      <c r="KPA68" s="8"/>
      <c r="KPB68" s="8"/>
      <c r="KPC68" s="8"/>
      <c r="KPD68" s="8"/>
      <c r="KPE68" s="8"/>
      <c r="KPF68" s="8"/>
      <c r="KPG68" s="8"/>
      <c r="KPH68" s="8"/>
      <c r="KPI68" s="8"/>
      <c r="KPJ68" s="8"/>
      <c r="KPK68" s="8"/>
      <c r="KPL68" s="8"/>
      <c r="KPM68" s="8"/>
      <c r="KPN68" s="8"/>
      <c r="KPO68" s="8"/>
      <c r="KPP68" s="8"/>
      <c r="KPQ68" s="8"/>
      <c r="KPR68" s="8"/>
      <c r="KPS68" s="8"/>
      <c r="KPT68" s="8"/>
      <c r="KPU68" s="8"/>
      <c r="KPV68" s="8"/>
      <c r="KPW68" s="8"/>
      <c r="KPX68" s="8"/>
      <c r="KPY68" s="8"/>
      <c r="KPZ68" s="8"/>
      <c r="KQA68" s="8"/>
      <c r="KQB68" s="8"/>
      <c r="KQC68" s="8"/>
      <c r="KQD68" s="8"/>
      <c r="KQE68" s="8"/>
      <c r="KQF68" s="8"/>
      <c r="KQG68" s="8"/>
      <c r="KQH68" s="8"/>
      <c r="KQI68" s="8"/>
      <c r="KQJ68" s="8"/>
      <c r="KQK68" s="8"/>
      <c r="KQL68" s="8"/>
      <c r="KQM68" s="8"/>
      <c r="KQN68" s="8"/>
      <c r="KQO68" s="8"/>
      <c r="KQP68" s="8"/>
      <c r="KQQ68" s="8"/>
      <c r="KQR68" s="8"/>
      <c r="KQS68" s="8"/>
      <c r="KQT68" s="8"/>
      <c r="KQU68" s="8"/>
      <c r="KQV68" s="8"/>
      <c r="KQW68" s="8"/>
      <c r="KQX68" s="8"/>
      <c r="KQY68" s="8"/>
      <c r="KQZ68" s="8"/>
      <c r="KRA68" s="8"/>
      <c r="KRB68" s="8"/>
      <c r="KRC68" s="8"/>
      <c r="KRD68" s="8"/>
      <c r="KRE68" s="8"/>
      <c r="KRF68" s="8"/>
      <c r="KRG68" s="8"/>
      <c r="KRH68" s="8"/>
      <c r="KRI68" s="8"/>
      <c r="KRJ68" s="8"/>
      <c r="KRK68" s="8"/>
      <c r="KRL68" s="8"/>
      <c r="KRM68" s="8"/>
      <c r="KRN68" s="8"/>
      <c r="KRO68" s="8"/>
      <c r="KRP68" s="8"/>
      <c r="KRQ68" s="8"/>
      <c r="KRR68" s="8"/>
      <c r="KRS68" s="8"/>
      <c r="KRT68" s="8"/>
      <c r="KRU68" s="8"/>
      <c r="KRV68" s="8"/>
      <c r="KRW68" s="8"/>
      <c r="KRX68" s="8"/>
      <c r="KRY68" s="8"/>
      <c r="KRZ68" s="8"/>
      <c r="KSA68" s="8"/>
      <c r="KSB68" s="8"/>
      <c r="KSC68" s="8"/>
      <c r="KSD68" s="8"/>
      <c r="KSE68" s="8"/>
      <c r="KSF68" s="8"/>
      <c r="KSG68" s="8"/>
      <c r="KSH68" s="8"/>
      <c r="KSI68" s="8"/>
      <c r="KSJ68" s="8"/>
      <c r="KSK68" s="8"/>
      <c r="KSL68" s="8"/>
      <c r="KSM68" s="8"/>
      <c r="KSN68" s="8"/>
      <c r="KSO68" s="8"/>
      <c r="KSP68" s="8"/>
      <c r="KSQ68" s="8"/>
      <c r="KSR68" s="8"/>
      <c r="KSS68" s="8"/>
      <c r="KST68" s="8"/>
      <c r="KSU68" s="8"/>
      <c r="KSV68" s="8"/>
      <c r="KSW68" s="8"/>
      <c r="KSX68" s="8"/>
      <c r="KSY68" s="8"/>
      <c r="KSZ68" s="8"/>
      <c r="KTA68" s="8"/>
      <c r="KTB68" s="8"/>
      <c r="KTC68" s="8"/>
      <c r="KTD68" s="8"/>
      <c r="KTE68" s="8"/>
      <c r="KTF68" s="8"/>
      <c r="KTG68" s="8"/>
      <c r="KTH68" s="8"/>
      <c r="KTI68" s="8"/>
      <c r="KTJ68" s="8"/>
      <c r="KTK68" s="8"/>
      <c r="KTL68" s="8"/>
      <c r="KTM68" s="8"/>
      <c r="KTN68" s="8"/>
      <c r="KTO68" s="8"/>
      <c r="KTP68" s="8"/>
      <c r="KTQ68" s="8"/>
      <c r="KTR68" s="8"/>
      <c r="KTS68" s="8"/>
      <c r="KTT68" s="8"/>
      <c r="KTU68" s="8"/>
      <c r="KTV68" s="8"/>
      <c r="KTW68" s="8"/>
      <c r="KTX68" s="8"/>
      <c r="KTY68" s="8"/>
      <c r="KTZ68" s="8"/>
      <c r="KUA68" s="8"/>
      <c r="KUB68" s="8"/>
      <c r="KUC68" s="8"/>
      <c r="KUD68" s="8"/>
      <c r="KUE68" s="8"/>
      <c r="KUF68" s="8"/>
      <c r="KUG68" s="8"/>
      <c r="KUH68" s="8"/>
      <c r="KUI68" s="8"/>
      <c r="KUJ68" s="8"/>
      <c r="KUK68" s="8"/>
      <c r="KUL68" s="8"/>
      <c r="KUM68" s="8"/>
      <c r="KUN68" s="8"/>
      <c r="KUO68" s="8"/>
      <c r="KUP68" s="8"/>
      <c r="KUQ68" s="8"/>
      <c r="KUR68" s="8"/>
      <c r="KUS68" s="8"/>
      <c r="KUT68" s="8"/>
      <c r="KUU68" s="8"/>
      <c r="KUV68" s="8"/>
      <c r="KUW68" s="8"/>
      <c r="KUX68" s="8"/>
      <c r="KUY68" s="8"/>
      <c r="KUZ68" s="8"/>
      <c r="KVA68" s="8"/>
      <c r="KVB68" s="8"/>
      <c r="KVC68" s="8"/>
      <c r="KVD68" s="8"/>
      <c r="KVE68" s="8"/>
      <c r="KVF68" s="8"/>
      <c r="KVG68" s="8"/>
      <c r="KVH68" s="8"/>
      <c r="KVI68" s="8"/>
      <c r="KVJ68" s="8"/>
      <c r="KVK68" s="8"/>
      <c r="KVL68" s="8"/>
      <c r="KVM68" s="8"/>
      <c r="KVN68" s="8"/>
      <c r="KVO68" s="8"/>
      <c r="KVP68" s="8"/>
      <c r="KVQ68" s="8"/>
      <c r="KVR68" s="8"/>
      <c r="KVS68" s="8"/>
      <c r="KVT68" s="8"/>
      <c r="KVU68" s="8"/>
      <c r="KVV68" s="8"/>
      <c r="KVW68" s="8"/>
      <c r="KVX68" s="8"/>
      <c r="KVY68" s="8"/>
      <c r="KVZ68" s="8"/>
      <c r="KWA68" s="8"/>
      <c r="KWB68" s="8"/>
      <c r="KWC68" s="8"/>
      <c r="KWD68" s="8"/>
      <c r="KWE68" s="8"/>
      <c r="KWF68" s="8"/>
      <c r="KWG68" s="8"/>
      <c r="KWH68" s="8"/>
      <c r="KWI68" s="8"/>
      <c r="KWJ68" s="8"/>
      <c r="KWK68" s="8"/>
      <c r="KWL68" s="8"/>
      <c r="KWM68" s="8"/>
      <c r="KWN68" s="8"/>
      <c r="KWO68" s="8"/>
      <c r="KWP68" s="8"/>
      <c r="KWQ68" s="8"/>
      <c r="KWR68" s="8"/>
      <c r="KWS68" s="8"/>
      <c r="KWT68" s="8"/>
      <c r="KWU68" s="8"/>
      <c r="KWV68" s="8"/>
      <c r="KWW68" s="8"/>
      <c r="KWX68" s="8"/>
      <c r="KWY68" s="8"/>
      <c r="KWZ68" s="8"/>
      <c r="KXA68" s="8"/>
      <c r="KXB68" s="8"/>
      <c r="KXC68" s="8"/>
      <c r="KXD68" s="8"/>
      <c r="KXE68" s="8"/>
      <c r="KXF68" s="8"/>
      <c r="KXG68" s="8"/>
      <c r="KXH68" s="8"/>
      <c r="KXI68" s="8"/>
      <c r="KXJ68" s="8"/>
      <c r="KXK68" s="8"/>
      <c r="KXL68" s="8"/>
      <c r="KXM68" s="8"/>
      <c r="KXN68" s="8"/>
      <c r="KXO68" s="8"/>
      <c r="KXP68" s="8"/>
      <c r="KXQ68" s="8"/>
      <c r="KXR68" s="8"/>
      <c r="KXS68" s="8"/>
      <c r="KXT68" s="8"/>
      <c r="KXU68" s="8"/>
      <c r="KXV68" s="8"/>
      <c r="KXW68" s="8"/>
      <c r="KXX68" s="8"/>
      <c r="KXY68" s="8"/>
      <c r="KXZ68" s="8"/>
      <c r="KYA68" s="8"/>
      <c r="KYB68" s="8"/>
      <c r="KYC68" s="8"/>
      <c r="KYD68" s="8"/>
      <c r="KYE68" s="8"/>
      <c r="KYF68" s="8"/>
      <c r="KYG68" s="8"/>
      <c r="KYH68" s="8"/>
      <c r="KYI68" s="8"/>
      <c r="KYJ68" s="8"/>
      <c r="KYK68" s="8"/>
      <c r="KYL68" s="8"/>
      <c r="KYM68" s="8"/>
      <c r="KYN68" s="8"/>
      <c r="KYO68" s="8"/>
      <c r="KYP68" s="8"/>
      <c r="KYQ68" s="8"/>
      <c r="KYR68" s="8"/>
      <c r="KYS68" s="8"/>
      <c r="KYT68" s="8"/>
      <c r="KYU68" s="8"/>
      <c r="KYV68" s="8"/>
      <c r="KYW68" s="8"/>
      <c r="KYX68" s="8"/>
      <c r="KYY68" s="8"/>
      <c r="KYZ68" s="8"/>
      <c r="KZA68" s="8"/>
      <c r="KZB68" s="8"/>
      <c r="KZC68" s="8"/>
      <c r="KZD68" s="8"/>
      <c r="KZE68" s="8"/>
      <c r="KZF68" s="8"/>
      <c r="KZG68" s="8"/>
      <c r="KZH68" s="8"/>
      <c r="KZI68" s="8"/>
      <c r="KZJ68" s="8"/>
      <c r="KZK68" s="8"/>
      <c r="KZL68" s="8"/>
      <c r="KZM68" s="8"/>
      <c r="KZN68" s="8"/>
      <c r="KZO68" s="8"/>
      <c r="KZP68" s="8"/>
      <c r="KZQ68" s="8"/>
      <c r="KZR68" s="8"/>
      <c r="KZS68" s="8"/>
      <c r="KZT68" s="8"/>
      <c r="KZU68" s="8"/>
      <c r="KZV68" s="8"/>
      <c r="KZW68" s="8"/>
      <c r="KZX68" s="8"/>
      <c r="KZY68" s="8"/>
      <c r="KZZ68" s="8"/>
      <c r="LAA68" s="8"/>
      <c r="LAB68" s="8"/>
      <c r="LAC68" s="8"/>
      <c r="LAD68" s="8"/>
      <c r="LAE68" s="8"/>
      <c r="LAF68" s="8"/>
      <c r="LAG68" s="8"/>
      <c r="LAH68" s="8"/>
      <c r="LAI68" s="8"/>
      <c r="LAJ68" s="8"/>
      <c r="LAK68" s="8"/>
      <c r="LAL68" s="8"/>
      <c r="LAM68" s="8"/>
      <c r="LAN68" s="8"/>
      <c r="LAO68" s="8"/>
      <c r="LAP68" s="8"/>
      <c r="LAQ68" s="8"/>
      <c r="LAR68" s="8"/>
      <c r="LAS68" s="8"/>
      <c r="LAT68" s="8"/>
      <c r="LAU68" s="8"/>
      <c r="LAV68" s="8"/>
      <c r="LAW68" s="8"/>
      <c r="LAX68" s="8"/>
      <c r="LAY68" s="8"/>
      <c r="LAZ68" s="8"/>
      <c r="LBA68" s="8"/>
      <c r="LBB68" s="8"/>
      <c r="LBC68" s="8"/>
      <c r="LBD68" s="8"/>
      <c r="LBE68" s="8"/>
      <c r="LBF68" s="8"/>
      <c r="LBG68" s="8"/>
      <c r="LBH68" s="8"/>
      <c r="LBI68" s="8"/>
      <c r="LBJ68" s="8"/>
      <c r="LBK68" s="8"/>
      <c r="LBL68" s="8"/>
      <c r="LBM68" s="8"/>
      <c r="LBN68" s="8"/>
      <c r="LBO68" s="8"/>
      <c r="LBP68" s="8"/>
      <c r="LBQ68" s="8"/>
      <c r="LBR68" s="8"/>
      <c r="LBS68" s="8"/>
      <c r="LBT68" s="8"/>
      <c r="LBU68" s="8"/>
      <c r="LBV68" s="8"/>
      <c r="LBW68" s="8"/>
      <c r="LBX68" s="8"/>
      <c r="LBY68" s="8"/>
      <c r="LBZ68" s="8"/>
      <c r="LCA68" s="8"/>
      <c r="LCB68" s="8"/>
      <c r="LCC68" s="8"/>
      <c r="LCD68" s="8"/>
      <c r="LCE68" s="8"/>
      <c r="LCF68" s="8"/>
      <c r="LCG68" s="8"/>
      <c r="LCH68" s="8"/>
      <c r="LCI68" s="8"/>
      <c r="LCJ68" s="8"/>
      <c r="LCK68" s="8"/>
      <c r="LCL68" s="8"/>
      <c r="LCM68" s="8"/>
      <c r="LCN68" s="8"/>
      <c r="LCO68" s="8"/>
      <c r="LCP68" s="8"/>
      <c r="LCQ68" s="8"/>
      <c r="LCR68" s="8"/>
      <c r="LCS68" s="8"/>
      <c r="LCT68" s="8"/>
      <c r="LCU68" s="8"/>
      <c r="LCV68" s="8"/>
      <c r="LCW68" s="8"/>
      <c r="LCX68" s="8"/>
      <c r="LCY68" s="8"/>
      <c r="LCZ68" s="8"/>
      <c r="LDA68" s="8"/>
      <c r="LDB68" s="8"/>
      <c r="LDC68" s="8"/>
      <c r="LDD68" s="8"/>
      <c r="LDE68" s="8"/>
      <c r="LDF68" s="8"/>
      <c r="LDG68" s="8"/>
      <c r="LDH68" s="8"/>
      <c r="LDI68" s="8"/>
      <c r="LDJ68" s="8"/>
      <c r="LDK68" s="8"/>
      <c r="LDL68" s="8"/>
      <c r="LDM68" s="8"/>
      <c r="LDN68" s="8"/>
      <c r="LDO68" s="8"/>
      <c r="LDP68" s="8"/>
      <c r="LDQ68" s="8"/>
      <c r="LDR68" s="8"/>
      <c r="LDS68" s="8"/>
      <c r="LDT68" s="8"/>
      <c r="LDU68" s="8"/>
      <c r="LDV68" s="8"/>
      <c r="LDW68" s="8"/>
      <c r="LDX68" s="8"/>
      <c r="LDY68" s="8"/>
      <c r="LDZ68" s="8"/>
      <c r="LEA68" s="8"/>
      <c r="LEB68" s="8"/>
      <c r="LEC68" s="8"/>
      <c r="LED68" s="8"/>
      <c r="LEE68" s="8"/>
      <c r="LEF68" s="8"/>
      <c r="LEG68" s="8"/>
      <c r="LEH68" s="8"/>
      <c r="LEI68" s="8"/>
      <c r="LEJ68" s="8"/>
      <c r="LEK68" s="8"/>
      <c r="LEL68" s="8"/>
      <c r="LEM68" s="8"/>
      <c r="LEN68" s="8"/>
      <c r="LEO68" s="8"/>
      <c r="LEP68" s="8"/>
      <c r="LEQ68" s="8"/>
      <c r="LER68" s="8"/>
      <c r="LES68" s="8"/>
      <c r="LET68" s="8"/>
      <c r="LEU68" s="8"/>
      <c r="LEV68" s="8"/>
      <c r="LEW68" s="8"/>
      <c r="LEX68" s="8"/>
      <c r="LEY68" s="8"/>
      <c r="LEZ68" s="8"/>
      <c r="LFA68" s="8"/>
      <c r="LFB68" s="8"/>
      <c r="LFC68" s="8"/>
      <c r="LFD68" s="8"/>
      <c r="LFE68" s="8"/>
      <c r="LFF68" s="8"/>
      <c r="LFG68" s="8"/>
      <c r="LFH68" s="8"/>
      <c r="LFI68" s="8"/>
      <c r="LFJ68" s="8"/>
      <c r="LFK68" s="8"/>
      <c r="LFL68" s="8"/>
      <c r="LFM68" s="8"/>
      <c r="LFN68" s="8"/>
      <c r="LFO68" s="8"/>
      <c r="LFP68" s="8"/>
      <c r="LFQ68" s="8"/>
      <c r="LFR68" s="8"/>
      <c r="LFS68" s="8"/>
      <c r="LFT68" s="8"/>
      <c r="LFU68" s="8"/>
      <c r="LFV68" s="8"/>
      <c r="LFW68" s="8"/>
      <c r="LFX68" s="8"/>
      <c r="LFY68" s="8"/>
      <c r="LFZ68" s="8"/>
      <c r="LGA68" s="8"/>
      <c r="LGB68" s="8"/>
      <c r="LGC68" s="8"/>
      <c r="LGD68" s="8"/>
      <c r="LGE68" s="8"/>
      <c r="LGF68" s="8"/>
      <c r="LGG68" s="8"/>
      <c r="LGH68" s="8"/>
      <c r="LGI68" s="8"/>
      <c r="LGJ68" s="8"/>
      <c r="LGK68" s="8"/>
      <c r="LGL68" s="8"/>
      <c r="LGM68" s="8"/>
      <c r="LGN68" s="8"/>
      <c r="LGO68" s="8"/>
      <c r="LGP68" s="8"/>
      <c r="LGQ68" s="8"/>
      <c r="LGR68" s="8"/>
      <c r="LGS68" s="8"/>
      <c r="LGT68" s="8"/>
      <c r="LGU68" s="8"/>
      <c r="LGV68" s="8"/>
      <c r="LGW68" s="8"/>
      <c r="LGX68" s="8"/>
      <c r="LGY68" s="8"/>
      <c r="LGZ68" s="8"/>
      <c r="LHA68" s="8"/>
      <c r="LHB68" s="8"/>
      <c r="LHC68" s="8"/>
      <c r="LHD68" s="8"/>
      <c r="LHE68" s="8"/>
      <c r="LHF68" s="8"/>
      <c r="LHG68" s="8"/>
      <c r="LHH68" s="8"/>
      <c r="LHI68" s="8"/>
      <c r="LHJ68" s="8"/>
      <c r="LHK68" s="8"/>
      <c r="LHL68" s="8"/>
      <c r="LHM68" s="8"/>
      <c r="LHN68" s="8"/>
      <c r="LHO68" s="8"/>
      <c r="LHP68" s="8"/>
      <c r="LHQ68" s="8"/>
      <c r="LHR68" s="8"/>
      <c r="LHS68" s="8"/>
      <c r="LHT68" s="8"/>
      <c r="LHU68" s="8"/>
      <c r="LHV68" s="8"/>
      <c r="LHW68" s="8"/>
      <c r="LHX68" s="8"/>
      <c r="LHY68" s="8"/>
      <c r="LHZ68" s="8"/>
      <c r="LIA68" s="8"/>
      <c r="LIB68" s="8"/>
      <c r="LIC68" s="8"/>
      <c r="LID68" s="8"/>
      <c r="LIE68" s="8"/>
      <c r="LIF68" s="8"/>
      <c r="LIG68" s="8"/>
      <c r="LIH68" s="8"/>
      <c r="LII68" s="8"/>
      <c r="LIJ68" s="8"/>
      <c r="LIK68" s="8"/>
      <c r="LIL68" s="8"/>
      <c r="LIM68" s="8"/>
      <c r="LIN68" s="8"/>
      <c r="LIO68" s="8"/>
      <c r="LIP68" s="8"/>
      <c r="LIQ68" s="8"/>
      <c r="LIR68" s="8"/>
      <c r="LIS68" s="8"/>
      <c r="LIT68" s="8"/>
      <c r="LIU68" s="8"/>
      <c r="LIV68" s="8"/>
      <c r="LIW68" s="8"/>
      <c r="LIX68" s="8"/>
      <c r="LIY68" s="8"/>
      <c r="LIZ68" s="8"/>
      <c r="LJA68" s="8"/>
      <c r="LJB68" s="8"/>
      <c r="LJC68" s="8"/>
      <c r="LJD68" s="8"/>
      <c r="LJE68" s="8"/>
      <c r="LJF68" s="8"/>
      <c r="LJG68" s="8"/>
      <c r="LJH68" s="8"/>
      <c r="LJI68" s="8"/>
      <c r="LJJ68" s="8"/>
      <c r="LJK68" s="8"/>
      <c r="LJL68" s="8"/>
      <c r="LJM68" s="8"/>
      <c r="LJN68" s="8"/>
      <c r="LJO68" s="8"/>
      <c r="LJP68" s="8"/>
      <c r="LJQ68" s="8"/>
      <c r="LJR68" s="8"/>
      <c r="LJS68" s="8"/>
      <c r="LJT68" s="8"/>
      <c r="LJU68" s="8"/>
      <c r="LJV68" s="8"/>
      <c r="LJW68" s="8"/>
      <c r="LJX68" s="8"/>
      <c r="LJY68" s="8"/>
      <c r="LJZ68" s="8"/>
      <c r="LKA68" s="8"/>
      <c r="LKB68" s="8"/>
      <c r="LKC68" s="8"/>
      <c r="LKD68" s="8"/>
      <c r="LKE68" s="8"/>
      <c r="LKF68" s="8"/>
      <c r="LKG68" s="8"/>
      <c r="LKH68" s="8"/>
      <c r="LKI68" s="8"/>
      <c r="LKJ68" s="8"/>
      <c r="LKK68" s="8"/>
      <c r="LKL68" s="8"/>
      <c r="LKM68" s="8"/>
      <c r="LKN68" s="8"/>
      <c r="LKO68" s="8"/>
      <c r="LKP68" s="8"/>
      <c r="LKQ68" s="8"/>
      <c r="LKR68" s="8"/>
      <c r="LKS68" s="8"/>
      <c r="LKT68" s="8"/>
      <c r="LKU68" s="8"/>
      <c r="LKV68" s="8"/>
      <c r="LKW68" s="8"/>
      <c r="LKX68" s="8"/>
      <c r="LKY68" s="8"/>
      <c r="LKZ68" s="8"/>
      <c r="LLA68" s="8"/>
      <c r="LLB68" s="8"/>
      <c r="LLC68" s="8"/>
      <c r="LLD68" s="8"/>
      <c r="LLE68" s="8"/>
      <c r="LLF68" s="8"/>
      <c r="LLG68" s="8"/>
      <c r="LLH68" s="8"/>
      <c r="LLI68" s="8"/>
      <c r="LLJ68" s="8"/>
      <c r="LLK68" s="8"/>
      <c r="LLL68" s="8"/>
      <c r="LLM68" s="8"/>
      <c r="LLN68" s="8"/>
      <c r="LLO68" s="8"/>
      <c r="LLP68" s="8"/>
      <c r="LLQ68" s="8"/>
      <c r="LLR68" s="8"/>
      <c r="LLS68" s="8"/>
      <c r="LLT68" s="8"/>
      <c r="LLU68" s="8"/>
      <c r="LLV68" s="8"/>
      <c r="LLW68" s="8"/>
      <c r="LLX68" s="8"/>
      <c r="LLY68" s="8"/>
      <c r="LLZ68" s="8"/>
      <c r="LMA68" s="8"/>
      <c r="LMB68" s="8"/>
      <c r="LMC68" s="8"/>
      <c r="LMD68" s="8"/>
      <c r="LME68" s="8"/>
      <c r="LMF68" s="8"/>
      <c r="LMG68" s="8"/>
      <c r="LMH68" s="8"/>
      <c r="LMI68" s="8"/>
      <c r="LMJ68" s="8"/>
      <c r="LMK68" s="8"/>
      <c r="LML68" s="8"/>
      <c r="LMM68" s="8"/>
      <c r="LMN68" s="8"/>
      <c r="LMO68" s="8"/>
      <c r="LMP68" s="8"/>
      <c r="LMQ68" s="8"/>
      <c r="LMR68" s="8"/>
      <c r="LMS68" s="8"/>
      <c r="LMT68" s="8"/>
      <c r="LMU68" s="8"/>
      <c r="LMV68" s="8"/>
      <c r="LMW68" s="8"/>
      <c r="LMX68" s="8"/>
      <c r="LMY68" s="8"/>
      <c r="LMZ68" s="8"/>
      <c r="LNA68" s="8"/>
      <c r="LNB68" s="8"/>
      <c r="LNC68" s="8"/>
      <c r="LND68" s="8"/>
      <c r="LNE68" s="8"/>
      <c r="LNF68" s="8"/>
      <c r="LNG68" s="8"/>
      <c r="LNH68" s="8"/>
      <c r="LNI68" s="8"/>
      <c r="LNJ68" s="8"/>
      <c r="LNK68" s="8"/>
      <c r="LNL68" s="8"/>
      <c r="LNM68" s="8"/>
      <c r="LNN68" s="8"/>
      <c r="LNO68" s="8"/>
      <c r="LNP68" s="8"/>
      <c r="LNQ68" s="8"/>
      <c r="LNR68" s="8"/>
      <c r="LNS68" s="8"/>
      <c r="LNT68" s="8"/>
      <c r="LNU68" s="8"/>
      <c r="LNV68" s="8"/>
      <c r="LNW68" s="8"/>
      <c r="LNX68" s="8"/>
      <c r="LNY68" s="8"/>
      <c r="LNZ68" s="8"/>
      <c r="LOA68" s="8"/>
      <c r="LOB68" s="8"/>
      <c r="LOC68" s="8"/>
      <c r="LOD68" s="8"/>
      <c r="LOE68" s="8"/>
      <c r="LOF68" s="8"/>
      <c r="LOG68" s="8"/>
      <c r="LOH68" s="8"/>
      <c r="LOI68" s="8"/>
      <c r="LOJ68" s="8"/>
      <c r="LOK68" s="8"/>
      <c r="LOL68" s="8"/>
      <c r="LOM68" s="8"/>
      <c r="LON68" s="8"/>
      <c r="LOO68" s="8"/>
      <c r="LOP68" s="8"/>
      <c r="LOQ68" s="8"/>
      <c r="LOR68" s="8"/>
      <c r="LOS68" s="8"/>
      <c r="LOT68" s="8"/>
      <c r="LOU68" s="8"/>
      <c r="LOV68" s="8"/>
      <c r="LOW68" s="8"/>
      <c r="LOX68" s="8"/>
      <c r="LOY68" s="8"/>
      <c r="LOZ68" s="8"/>
      <c r="LPA68" s="8"/>
      <c r="LPB68" s="8"/>
      <c r="LPC68" s="8"/>
      <c r="LPD68" s="8"/>
      <c r="LPE68" s="8"/>
      <c r="LPF68" s="8"/>
      <c r="LPG68" s="8"/>
      <c r="LPH68" s="8"/>
      <c r="LPI68" s="8"/>
      <c r="LPJ68" s="8"/>
      <c r="LPK68" s="8"/>
      <c r="LPL68" s="8"/>
      <c r="LPM68" s="8"/>
      <c r="LPN68" s="8"/>
      <c r="LPO68" s="8"/>
      <c r="LPP68" s="8"/>
      <c r="LPQ68" s="8"/>
      <c r="LPR68" s="8"/>
      <c r="LPS68" s="8"/>
      <c r="LPT68" s="8"/>
      <c r="LPU68" s="8"/>
      <c r="LPV68" s="8"/>
      <c r="LPW68" s="8"/>
      <c r="LPX68" s="8"/>
      <c r="LPY68" s="8"/>
      <c r="LPZ68" s="8"/>
      <c r="LQA68" s="8"/>
      <c r="LQB68" s="8"/>
      <c r="LQC68" s="8"/>
      <c r="LQD68" s="8"/>
      <c r="LQE68" s="8"/>
      <c r="LQF68" s="8"/>
      <c r="LQG68" s="8"/>
      <c r="LQH68" s="8"/>
      <c r="LQI68" s="8"/>
      <c r="LQJ68" s="8"/>
      <c r="LQK68" s="8"/>
      <c r="LQL68" s="8"/>
      <c r="LQM68" s="8"/>
      <c r="LQN68" s="8"/>
      <c r="LQO68" s="8"/>
      <c r="LQP68" s="8"/>
      <c r="LQQ68" s="8"/>
      <c r="LQR68" s="8"/>
      <c r="LQS68" s="8"/>
      <c r="LQT68" s="8"/>
      <c r="LQU68" s="8"/>
      <c r="LQV68" s="8"/>
      <c r="LQW68" s="8"/>
      <c r="LQX68" s="8"/>
      <c r="LQY68" s="8"/>
      <c r="LQZ68" s="8"/>
      <c r="LRA68" s="8"/>
      <c r="LRB68" s="8"/>
      <c r="LRC68" s="8"/>
      <c r="LRD68" s="8"/>
      <c r="LRE68" s="8"/>
      <c r="LRF68" s="8"/>
      <c r="LRG68" s="8"/>
      <c r="LRH68" s="8"/>
      <c r="LRI68" s="8"/>
      <c r="LRJ68" s="8"/>
      <c r="LRK68" s="8"/>
      <c r="LRL68" s="8"/>
      <c r="LRM68" s="8"/>
      <c r="LRN68" s="8"/>
      <c r="LRO68" s="8"/>
      <c r="LRP68" s="8"/>
      <c r="LRQ68" s="8"/>
      <c r="LRR68" s="8"/>
      <c r="LRS68" s="8"/>
      <c r="LRT68" s="8"/>
      <c r="LRU68" s="8"/>
      <c r="LRV68" s="8"/>
      <c r="LRW68" s="8"/>
      <c r="LRX68" s="8"/>
      <c r="LRY68" s="8"/>
      <c r="LRZ68" s="8"/>
      <c r="LSA68" s="8"/>
      <c r="LSB68" s="8"/>
      <c r="LSC68" s="8"/>
      <c r="LSD68" s="8"/>
      <c r="LSE68" s="8"/>
      <c r="LSF68" s="8"/>
      <c r="LSG68" s="8"/>
      <c r="LSH68" s="8"/>
      <c r="LSI68" s="8"/>
      <c r="LSJ68" s="8"/>
      <c r="LSK68" s="8"/>
      <c r="LSL68" s="8"/>
      <c r="LSM68" s="8"/>
      <c r="LSN68" s="8"/>
      <c r="LSO68" s="8"/>
      <c r="LSP68" s="8"/>
      <c r="LSQ68" s="8"/>
      <c r="LSR68" s="8"/>
      <c r="LSS68" s="8"/>
      <c r="LST68" s="8"/>
      <c r="LSU68" s="8"/>
      <c r="LSV68" s="8"/>
      <c r="LSW68" s="8"/>
      <c r="LSX68" s="8"/>
      <c r="LSY68" s="8"/>
      <c r="LSZ68" s="8"/>
      <c r="LTA68" s="8"/>
      <c r="LTB68" s="8"/>
      <c r="LTC68" s="8"/>
      <c r="LTD68" s="8"/>
      <c r="LTE68" s="8"/>
      <c r="LTF68" s="8"/>
      <c r="LTG68" s="8"/>
      <c r="LTH68" s="8"/>
      <c r="LTI68" s="8"/>
      <c r="LTJ68" s="8"/>
      <c r="LTK68" s="8"/>
      <c r="LTL68" s="8"/>
      <c r="LTM68" s="8"/>
      <c r="LTN68" s="8"/>
      <c r="LTO68" s="8"/>
      <c r="LTP68" s="8"/>
      <c r="LTQ68" s="8"/>
      <c r="LTR68" s="8"/>
      <c r="LTS68" s="8"/>
      <c r="LTT68" s="8"/>
      <c r="LTU68" s="8"/>
      <c r="LTV68" s="8"/>
      <c r="LTW68" s="8"/>
      <c r="LTX68" s="8"/>
      <c r="LTY68" s="8"/>
      <c r="LTZ68" s="8"/>
      <c r="LUA68" s="8"/>
      <c r="LUB68" s="8"/>
      <c r="LUC68" s="8"/>
      <c r="LUD68" s="8"/>
      <c r="LUE68" s="8"/>
      <c r="LUF68" s="8"/>
      <c r="LUG68" s="8"/>
      <c r="LUH68" s="8"/>
      <c r="LUI68" s="8"/>
      <c r="LUJ68" s="8"/>
      <c r="LUK68" s="8"/>
      <c r="LUL68" s="8"/>
      <c r="LUM68" s="8"/>
      <c r="LUN68" s="8"/>
      <c r="LUO68" s="8"/>
      <c r="LUP68" s="8"/>
      <c r="LUQ68" s="8"/>
      <c r="LUR68" s="8"/>
      <c r="LUS68" s="8"/>
      <c r="LUT68" s="8"/>
      <c r="LUU68" s="8"/>
      <c r="LUV68" s="8"/>
      <c r="LUW68" s="8"/>
      <c r="LUX68" s="8"/>
      <c r="LUY68" s="8"/>
      <c r="LUZ68" s="8"/>
      <c r="LVA68" s="8"/>
      <c r="LVB68" s="8"/>
      <c r="LVC68" s="8"/>
      <c r="LVD68" s="8"/>
      <c r="LVE68" s="8"/>
      <c r="LVF68" s="8"/>
      <c r="LVG68" s="8"/>
      <c r="LVH68" s="8"/>
      <c r="LVI68" s="8"/>
      <c r="LVJ68" s="8"/>
      <c r="LVK68" s="8"/>
      <c r="LVL68" s="8"/>
      <c r="LVM68" s="8"/>
      <c r="LVN68" s="8"/>
      <c r="LVO68" s="8"/>
      <c r="LVP68" s="8"/>
      <c r="LVQ68" s="8"/>
      <c r="LVR68" s="8"/>
      <c r="LVS68" s="8"/>
      <c r="LVT68" s="8"/>
      <c r="LVU68" s="8"/>
      <c r="LVV68" s="8"/>
      <c r="LVW68" s="8"/>
      <c r="LVX68" s="8"/>
      <c r="LVY68" s="8"/>
      <c r="LVZ68" s="8"/>
      <c r="LWA68" s="8"/>
      <c r="LWB68" s="8"/>
      <c r="LWC68" s="8"/>
      <c r="LWD68" s="8"/>
      <c r="LWE68" s="8"/>
      <c r="LWF68" s="8"/>
      <c r="LWG68" s="8"/>
      <c r="LWH68" s="8"/>
      <c r="LWI68" s="8"/>
      <c r="LWJ68" s="8"/>
      <c r="LWK68" s="8"/>
      <c r="LWL68" s="8"/>
      <c r="LWM68" s="8"/>
      <c r="LWN68" s="8"/>
      <c r="LWO68" s="8"/>
      <c r="LWP68" s="8"/>
      <c r="LWQ68" s="8"/>
      <c r="LWR68" s="8"/>
      <c r="LWS68" s="8"/>
      <c r="LWT68" s="8"/>
      <c r="LWU68" s="8"/>
      <c r="LWV68" s="8"/>
      <c r="LWW68" s="8"/>
      <c r="LWX68" s="8"/>
      <c r="LWY68" s="8"/>
      <c r="LWZ68" s="8"/>
      <c r="LXA68" s="8"/>
      <c r="LXB68" s="8"/>
      <c r="LXC68" s="8"/>
      <c r="LXD68" s="8"/>
      <c r="LXE68" s="8"/>
      <c r="LXF68" s="8"/>
      <c r="LXG68" s="8"/>
      <c r="LXH68" s="8"/>
      <c r="LXI68" s="8"/>
      <c r="LXJ68" s="8"/>
      <c r="LXK68" s="8"/>
      <c r="LXL68" s="8"/>
      <c r="LXM68" s="8"/>
      <c r="LXN68" s="8"/>
      <c r="LXO68" s="8"/>
      <c r="LXP68" s="8"/>
      <c r="LXQ68" s="8"/>
      <c r="LXR68" s="8"/>
      <c r="LXS68" s="8"/>
      <c r="LXT68" s="8"/>
      <c r="LXU68" s="8"/>
      <c r="LXV68" s="8"/>
      <c r="LXW68" s="8"/>
      <c r="LXX68" s="8"/>
      <c r="LXY68" s="8"/>
      <c r="LXZ68" s="8"/>
      <c r="LYA68" s="8"/>
      <c r="LYB68" s="8"/>
      <c r="LYC68" s="8"/>
      <c r="LYD68" s="8"/>
      <c r="LYE68" s="8"/>
      <c r="LYF68" s="8"/>
      <c r="LYG68" s="8"/>
      <c r="LYH68" s="8"/>
      <c r="LYI68" s="8"/>
      <c r="LYJ68" s="8"/>
      <c r="LYK68" s="8"/>
      <c r="LYL68" s="8"/>
      <c r="LYM68" s="8"/>
      <c r="LYN68" s="8"/>
      <c r="LYO68" s="8"/>
      <c r="LYP68" s="8"/>
      <c r="LYQ68" s="8"/>
      <c r="LYR68" s="8"/>
      <c r="LYS68" s="8"/>
      <c r="LYT68" s="8"/>
      <c r="LYU68" s="8"/>
      <c r="LYV68" s="8"/>
      <c r="LYW68" s="8"/>
      <c r="LYX68" s="8"/>
      <c r="LYY68" s="8"/>
      <c r="LYZ68" s="8"/>
      <c r="LZA68" s="8"/>
      <c r="LZB68" s="8"/>
      <c r="LZC68" s="8"/>
      <c r="LZD68" s="8"/>
      <c r="LZE68" s="8"/>
      <c r="LZF68" s="8"/>
      <c r="LZG68" s="8"/>
      <c r="LZH68" s="8"/>
      <c r="LZI68" s="8"/>
      <c r="LZJ68" s="8"/>
      <c r="LZK68" s="8"/>
      <c r="LZL68" s="8"/>
      <c r="LZM68" s="8"/>
      <c r="LZN68" s="8"/>
      <c r="LZO68" s="8"/>
      <c r="LZP68" s="8"/>
      <c r="LZQ68" s="8"/>
      <c r="LZR68" s="8"/>
      <c r="LZS68" s="8"/>
      <c r="LZT68" s="8"/>
      <c r="LZU68" s="8"/>
      <c r="LZV68" s="8"/>
      <c r="LZW68" s="8"/>
      <c r="LZX68" s="8"/>
      <c r="LZY68" s="8"/>
      <c r="LZZ68" s="8"/>
      <c r="MAA68" s="8"/>
      <c r="MAB68" s="8"/>
      <c r="MAC68" s="8"/>
      <c r="MAD68" s="8"/>
      <c r="MAE68" s="8"/>
      <c r="MAF68" s="8"/>
      <c r="MAG68" s="8"/>
      <c r="MAH68" s="8"/>
      <c r="MAI68" s="8"/>
      <c r="MAJ68" s="8"/>
      <c r="MAK68" s="8"/>
      <c r="MAL68" s="8"/>
      <c r="MAM68" s="8"/>
      <c r="MAN68" s="8"/>
      <c r="MAO68" s="8"/>
      <c r="MAP68" s="8"/>
      <c r="MAQ68" s="8"/>
      <c r="MAR68" s="8"/>
      <c r="MAS68" s="8"/>
      <c r="MAT68" s="8"/>
      <c r="MAU68" s="8"/>
      <c r="MAV68" s="8"/>
      <c r="MAW68" s="8"/>
      <c r="MAX68" s="8"/>
      <c r="MAY68" s="8"/>
      <c r="MAZ68" s="8"/>
      <c r="MBA68" s="8"/>
      <c r="MBB68" s="8"/>
      <c r="MBC68" s="8"/>
      <c r="MBD68" s="8"/>
      <c r="MBE68" s="8"/>
      <c r="MBF68" s="8"/>
      <c r="MBG68" s="8"/>
      <c r="MBH68" s="8"/>
      <c r="MBI68" s="8"/>
      <c r="MBJ68" s="8"/>
      <c r="MBK68" s="8"/>
      <c r="MBL68" s="8"/>
      <c r="MBM68" s="8"/>
      <c r="MBN68" s="8"/>
      <c r="MBO68" s="8"/>
      <c r="MBP68" s="8"/>
      <c r="MBQ68" s="8"/>
      <c r="MBR68" s="8"/>
      <c r="MBS68" s="8"/>
      <c r="MBT68" s="8"/>
      <c r="MBU68" s="8"/>
      <c r="MBV68" s="8"/>
      <c r="MBW68" s="8"/>
      <c r="MBX68" s="8"/>
      <c r="MBY68" s="8"/>
      <c r="MBZ68" s="8"/>
      <c r="MCA68" s="8"/>
      <c r="MCB68" s="8"/>
      <c r="MCC68" s="8"/>
      <c r="MCD68" s="8"/>
      <c r="MCE68" s="8"/>
      <c r="MCF68" s="8"/>
      <c r="MCG68" s="8"/>
      <c r="MCH68" s="8"/>
      <c r="MCI68" s="8"/>
      <c r="MCJ68" s="8"/>
      <c r="MCK68" s="8"/>
      <c r="MCL68" s="8"/>
      <c r="MCM68" s="8"/>
      <c r="MCN68" s="8"/>
      <c r="MCO68" s="8"/>
      <c r="MCP68" s="8"/>
      <c r="MCQ68" s="8"/>
      <c r="MCR68" s="8"/>
      <c r="MCS68" s="8"/>
      <c r="MCT68" s="8"/>
      <c r="MCU68" s="8"/>
      <c r="MCV68" s="8"/>
      <c r="MCW68" s="8"/>
      <c r="MCX68" s="8"/>
      <c r="MCY68" s="8"/>
      <c r="MCZ68" s="8"/>
      <c r="MDA68" s="8"/>
      <c r="MDB68" s="8"/>
      <c r="MDC68" s="8"/>
      <c r="MDD68" s="8"/>
      <c r="MDE68" s="8"/>
      <c r="MDF68" s="8"/>
      <c r="MDG68" s="8"/>
      <c r="MDH68" s="8"/>
      <c r="MDI68" s="8"/>
      <c r="MDJ68" s="8"/>
      <c r="MDK68" s="8"/>
      <c r="MDL68" s="8"/>
      <c r="MDM68" s="8"/>
      <c r="MDN68" s="8"/>
      <c r="MDO68" s="8"/>
      <c r="MDP68" s="8"/>
      <c r="MDQ68" s="8"/>
      <c r="MDR68" s="8"/>
      <c r="MDS68" s="8"/>
      <c r="MDT68" s="8"/>
      <c r="MDU68" s="8"/>
      <c r="MDV68" s="8"/>
      <c r="MDW68" s="8"/>
      <c r="MDX68" s="8"/>
      <c r="MDY68" s="8"/>
      <c r="MDZ68" s="8"/>
      <c r="MEA68" s="8"/>
      <c r="MEB68" s="8"/>
      <c r="MEC68" s="8"/>
      <c r="MED68" s="8"/>
      <c r="MEE68" s="8"/>
      <c r="MEF68" s="8"/>
      <c r="MEG68" s="8"/>
      <c r="MEH68" s="8"/>
      <c r="MEI68" s="8"/>
      <c r="MEJ68" s="8"/>
      <c r="MEK68" s="8"/>
      <c r="MEL68" s="8"/>
      <c r="MEM68" s="8"/>
      <c r="MEN68" s="8"/>
      <c r="MEO68" s="8"/>
      <c r="MEP68" s="8"/>
      <c r="MEQ68" s="8"/>
      <c r="MER68" s="8"/>
      <c r="MES68" s="8"/>
      <c r="MET68" s="8"/>
      <c r="MEU68" s="8"/>
      <c r="MEV68" s="8"/>
      <c r="MEW68" s="8"/>
      <c r="MEX68" s="8"/>
      <c r="MEY68" s="8"/>
      <c r="MEZ68" s="8"/>
      <c r="MFA68" s="8"/>
      <c r="MFB68" s="8"/>
      <c r="MFC68" s="8"/>
      <c r="MFD68" s="8"/>
      <c r="MFE68" s="8"/>
      <c r="MFF68" s="8"/>
      <c r="MFG68" s="8"/>
      <c r="MFH68" s="8"/>
      <c r="MFI68" s="8"/>
      <c r="MFJ68" s="8"/>
      <c r="MFK68" s="8"/>
      <c r="MFL68" s="8"/>
      <c r="MFM68" s="8"/>
      <c r="MFN68" s="8"/>
      <c r="MFO68" s="8"/>
      <c r="MFP68" s="8"/>
      <c r="MFQ68" s="8"/>
      <c r="MFR68" s="8"/>
      <c r="MFS68" s="8"/>
      <c r="MFT68" s="8"/>
      <c r="MFU68" s="8"/>
      <c r="MFV68" s="8"/>
      <c r="MFW68" s="8"/>
      <c r="MFX68" s="8"/>
      <c r="MFY68" s="8"/>
      <c r="MFZ68" s="8"/>
      <c r="MGA68" s="8"/>
      <c r="MGB68" s="8"/>
      <c r="MGC68" s="8"/>
      <c r="MGD68" s="8"/>
      <c r="MGE68" s="8"/>
      <c r="MGF68" s="8"/>
      <c r="MGG68" s="8"/>
      <c r="MGH68" s="8"/>
      <c r="MGI68" s="8"/>
      <c r="MGJ68" s="8"/>
      <c r="MGK68" s="8"/>
      <c r="MGL68" s="8"/>
      <c r="MGM68" s="8"/>
      <c r="MGN68" s="8"/>
      <c r="MGO68" s="8"/>
      <c r="MGP68" s="8"/>
      <c r="MGQ68" s="8"/>
      <c r="MGR68" s="8"/>
      <c r="MGS68" s="8"/>
      <c r="MGT68" s="8"/>
      <c r="MGU68" s="8"/>
      <c r="MGV68" s="8"/>
      <c r="MGW68" s="8"/>
      <c r="MGX68" s="8"/>
      <c r="MGY68" s="8"/>
      <c r="MGZ68" s="8"/>
      <c r="MHA68" s="8"/>
      <c r="MHB68" s="8"/>
      <c r="MHC68" s="8"/>
      <c r="MHD68" s="8"/>
      <c r="MHE68" s="8"/>
      <c r="MHF68" s="8"/>
      <c r="MHG68" s="8"/>
      <c r="MHH68" s="8"/>
      <c r="MHI68" s="8"/>
      <c r="MHJ68" s="8"/>
      <c r="MHK68" s="8"/>
      <c r="MHL68" s="8"/>
      <c r="MHM68" s="8"/>
      <c r="MHN68" s="8"/>
      <c r="MHO68" s="8"/>
      <c r="MHP68" s="8"/>
      <c r="MHQ68" s="8"/>
      <c r="MHR68" s="8"/>
      <c r="MHS68" s="8"/>
      <c r="MHT68" s="8"/>
      <c r="MHU68" s="8"/>
      <c r="MHV68" s="8"/>
      <c r="MHW68" s="8"/>
      <c r="MHX68" s="8"/>
      <c r="MHY68" s="8"/>
      <c r="MHZ68" s="8"/>
      <c r="MIA68" s="8"/>
      <c r="MIB68" s="8"/>
      <c r="MIC68" s="8"/>
      <c r="MID68" s="8"/>
      <c r="MIE68" s="8"/>
      <c r="MIF68" s="8"/>
      <c r="MIG68" s="8"/>
      <c r="MIH68" s="8"/>
      <c r="MII68" s="8"/>
      <c r="MIJ68" s="8"/>
      <c r="MIK68" s="8"/>
      <c r="MIL68" s="8"/>
      <c r="MIM68" s="8"/>
      <c r="MIN68" s="8"/>
      <c r="MIO68" s="8"/>
      <c r="MIP68" s="8"/>
      <c r="MIQ68" s="8"/>
      <c r="MIR68" s="8"/>
      <c r="MIS68" s="8"/>
      <c r="MIT68" s="8"/>
      <c r="MIU68" s="8"/>
      <c r="MIV68" s="8"/>
      <c r="MIW68" s="8"/>
      <c r="MIX68" s="8"/>
      <c r="MIY68" s="8"/>
      <c r="MIZ68" s="8"/>
      <c r="MJA68" s="8"/>
      <c r="MJB68" s="8"/>
      <c r="MJC68" s="8"/>
      <c r="MJD68" s="8"/>
      <c r="MJE68" s="8"/>
      <c r="MJF68" s="8"/>
      <c r="MJG68" s="8"/>
      <c r="MJH68" s="8"/>
      <c r="MJI68" s="8"/>
      <c r="MJJ68" s="8"/>
      <c r="MJK68" s="8"/>
      <c r="MJL68" s="8"/>
      <c r="MJM68" s="8"/>
      <c r="MJN68" s="8"/>
      <c r="MJO68" s="8"/>
      <c r="MJP68" s="8"/>
      <c r="MJQ68" s="8"/>
      <c r="MJR68" s="8"/>
      <c r="MJS68" s="8"/>
      <c r="MJT68" s="8"/>
      <c r="MJU68" s="8"/>
      <c r="MJV68" s="8"/>
      <c r="MJW68" s="8"/>
      <c r="MJX68" s="8"/>
      <c r="MJY68" s="8"/>
      <c r="MJZ68" s="8"/>
      <c r="MKA68" s="8"/>
      <c r="MKB68" s="8"/>
      <c r="MKC68" s="8"/>
      <c r="MKD68" s="8"/>
      <c r="MKE68" s="8"/>
      <c r="MKF68" s="8"/>
      <c r="MKG68" s="8"/>
      <c r="MKH68" s="8"/>
      <c r="MKI68" s="8"/>
      <c r="MKJ68" s="8"/>
      <c r="MKK68" s="8"/>
      <c r="MKL68" s="8"/>
      <c r="MKM68" s="8"/>
      <c r="MKN68" s="8"/>
      <c r="MKO68" s="8"/>
      <c r="MKP68" s="8"/>
      <c r="MKQ68" s="8"/>
      <c r="MKR68" s="8"/>
      <c r="MKS68" s="8"/>
      <c r="MKT68" s="8"/>
      <c r="MKU68" s="8"/>
      <c r="MKV68" s="8"/>
      <c r="MKW68" s="8"/>
      <c r="MKX68" s="8"/>
      <c r="MKY68" s="8"/>
      <c r="MKZ68" s="8"/>
      <c r="MLA68" s="8"/>
      <c r="MLB68" s="8"/>
      <c r="MLC68" s="8"/>
      <c r="MLD68" s="8"/>
      <c r="MLE68" s="8"/>
      <c r="MLF68" s="8"/>
      <c r="MLG68" s="8"/>
      <c r="MLH68" s="8"/>
      <c r="MLI68" s="8"/>
      <c r="MLJ68" s="8"/>
      <c r="MLK68" s="8"/>
      <c r="MLL68" s="8"/>
      <c r="MLM68" s="8"/>
      <c r="MLN68" s="8"/>
      <c r="MLO68" s="8"/>
      <c r="MLP68" s="8"/>
      <c r="MLQ68" s="8"/>
      <c r="MLR68" s="8"/>
      <c r="MLS68" s="8"/>
      <c r="MLT68" s="8"/>
      <c r="MLU68" s="8"/>
      <c r="MLV68" s="8"/>
      <c r="MLW68" s="8"/>
      <c r="MLX68" s="8"/>
      <c r="MLY68" s="8"/>
      <c r="MLZ68" s="8"/>
      <c r="MMA68" s="8"/>
      <c r="MMB68" s="8"/>
      <c r="MMC68" s="8"/>
      <c r="MMD68" s="8"/>
      <c r="MME68" s="8"/>
      <c r="MMF68" s="8"/>
      <c r="MMG68" s="8"/>
      <c r="MMH68" s="8"/>
      <c r="MMI68" s="8"/>
      <c r="MMJ68" s="8"/>
      <c r="MMK68" s="8"/>
      <c r="MML68" s="8"/>
      <c r="MMM68" s="8"/>
      <c r="MMN68" s="8"/>
      <c r="MMO68" s="8"/>
      <c r="MMP68" s="8"/>
      <c r="MMQ68" s="8"/>
      <c r="MMR68" s="8"/>
      <c r="MMS68" s="8"/>
      <c r="MMT68" s="8"/>
      <c r="MMU68" s="8"/>
      <c r="MMV68" s="8"/>
      <c r="MMW68" s="8"/>
      <c r="MMX68" s="8"/>
      <c r="MMY68" s="8"/>
      <c r="MMZ68" s="8"/>
      <c r="MNA68" s="8"/>
      <c r="MNB68" s="8"/>
      <c r="MNC68" s="8"/>
      <c r="MND68" s="8"/>
      <c r="MNE68" s="8"/>
      <c r="MNF68" s="8"/>
      <c r="MNG68" s="8"/>
      <c r="MNH68" s="8"/>
      <c r="MNI68" s="8"/>
      <c r="MNJ68" s="8"/>
      <c r="MNK68" s="8"/>
      <c r="MNL68" s="8"/>
      <c r="MNM68" s="8"/>
      <c r="MNN68" s="8"/>
      <c r="MNO68" s="8"/>
      <c r="MNP68" s="8"/>
      <c r="MNQ68" s="8"/>
      <c r="MNR68" s="8"/>
      <c r="MNS68" s="8"/>
      <c r="MNT68" s="8"/>
      <c r="MNU68" s="8"/>
      <c r="MNV68" s="8"/>
      <c r="MNW68" s="8"/>
      <c r="MNX68" s="8"/>
      <c r="MNY68" s="8"/>
      <c r="MNZ68" s="8"/>
      <c r="MOA68" s="8"/>
      <c r="MOB68" s="8"/>
      <c r="MOC68" s="8"/>
      <c r="MOD68" s="8"/>
      <c r="MOE68" s="8"/>
      <c r="MOF68" s="8"/>
      <c r="MOG68" s="8"/>
      <c r="MOH68" s="8"/>
      <c r="MOI68" s="8"/>
      <c r="MOJ68" s="8"/>
      <c r="MOK68" s="8"/>
      <c r="MOL68" s="8"/>
      <c r="MOM68" s="8"/>
      <c r="MON68" s="8"/>
      <c r="MOO68" s="8"/>
      <c r="MOP68" s="8"/>
      <c r="MOQ68" s="8"/>
      <c r="MOR68" s="8"/>
      <c r="MOS68" s="8"/>
      <c r="MOT68" s="8"/>
      <c r="MOU68" s="8"/>
      <c r="MOV68" s="8"/>
      <c r="MOW68" s="8"/>
      <c r="MOX68" s="8"/>
      <c r="MOY68" s="8"/>
      <c r="MOZ68" s="8"/>
      <c r="MPA68" s="8"/>
      <c r="MPB68" s="8"/>
      <c r="MPC68" s="8"/>
      <c r="MPD68" s="8"/>
      <c r="MPE68" s="8"/>
      <c r="MPF68" s="8"/>
      <c r="MPG68" s="8"/>
      <c r="MPH68" s="8"/>
      <c r="MPI68" s="8"/>
      <c r="MPJ68" s="8"/>
      <c r="MPK68" s="8"/>
      <c r="MPL68" s="8"/>
      <c r="MPM68" s="8"/>
      <c r="MPN68" s="8"/>
      <c r="MPO68" s="8"/>
      <c r="MPP68" s="8"/>
      <c r="MPQ68" s="8"/>
      <c r="MPR68" s="8"/>
      <c r="MPS68" s="8"/>
      <c r="MPT68" s="8"/>
      <c r="MPU68" s="8"/>
      <c r="MPV68" s="8"/>
      <c r="MPW68" s="8"/>
      <c r="MPX68" s="8"/>
      <c r="MPY68" s="8"/>
      <c r="MPZ68" s="8"/>
      <c r="MQA68" s="8"/>
      <c r="MQB68" s="8"/>
      <c r="MQC68" s="8"/>
      <c r="MQD68" s="8"/>
      <c r="MQE68" s="8"/>
      <c r="MQF68" s="8"/>
      <c r="MQG68" s="8"/>
      <c r="MQH68" s="8"/>
      <c r="MQI68" s="8"/>
      <c r="MQJ68" s="8"/>
      <c r="MQK68" s="8"/>
      <c r="MQL68" s="8"/>
      <c r="MQM68" s="8"/>
      <c r="MQN68" s="8"/>
      <c r="MQO68" s="8"/>
      <c r="MQP68" s="8"/>
      <c r="MQQ68" s="8"/>
      <c r="MQR68" s="8"/>
      <c r="MQS68" s="8"/>
      <c r="MQT68" s="8"/>
      <c r="MQU68" s="8"/>
      <c r="MQV68" s="8"/>
      <c r="MQW68" s="8"/>
      <c r="MQX68" s="8"/>
      <c r="MQY68" s="8"/>
      <c r="MQZ68" s="8"/>
      <c r="MRA68" s="8"/>
      <c r="MRB68" s="8"/>
      <c r="MRC68" s="8"/>
      <c r="MRD68" s="8"/>
      <c r="MRE68" s="8"/>
      <c r="MRF68" s="8"/>
      <c r="MRG68" s="8"/>
      <c r="MRH68" s="8"/>
      <c r="MRI68" s="8"/>
      <c r="MRJ68" s="8"/>
      <c r="MRK68" s="8"/>
      <c r="MRL68" s="8"/>
      <c r="MRM68" s="8"/>
      <c r="MRN68" s="8"/>
      <c r="MRO68" s="8"/>
      <c r="MRP68" s="8"/>
      <c r="MRQ68" s="8"/>
      <c r="MRR68" s="8"/>
      <c r="MRS68" s="8"/>
      <c r="MRT68" s="8"/>
      <c r="MRU68" s="8"/>
      <c r="MRV68" s="8"/>
      <c r="MRW68" s="8"/>
      <c r="MRX68" s="8"/>
      <c r="MRY68" s="8"/>
      <c r="MRZ68" s="8"/>
      <c r="MSA68" s="8"/>
      <c r="MSB68" s="8"/>
      <c r="MSC68" s="8"/>
      <c r="MSD68" s="8"/>
      <c r="MSE68" s="8"/>
      <c r="MSF68" s="8"/>
      <c r="MSG68" s="8"/>
      <c r="MSH68" s="8"/>
      <c r="MSI68" s="8"/>
      <c r="MSJ68" s="8"/>
      <c r="MSK68" s="8"/>
      <c r="MSL68" s="8"/>
      <c r="MSM68" s="8"/>
      <c r="MSN68" s="8"/>
      <c r="MSO68" s="8"/>
      <c r="MSP68" s="8"/>
      <c r="MSQ68" s="8"/>
      <c r="MSR68" s="8"/>
      <c r="MSS68" s="8"/>
      <c r="MST68" s="8"/>
      <c r="MSU68" s="8"/>
      <c r="MSV68" s="8"/>
      <c r="MSW68" s="8"/>
      <c r="MSX68" s="8"/>
      <c r="MSY68" s="8"/>
      <c r="MSZ68" s="8"/>
      <c r="MTA68" s="8"/>
      <c r="MTB68" s="8"/>
      <c r="MTC68" s="8"/>
      <c r="MTD68" s="8"/>
      <c r="MTE68" s="8"/>
      <c r="MTF68" s="8"/>
      <c r="MTG68" s="8"/>
      <c r="MTH68" s="8"/>
      <c r="MTI68" s="8"/>
      <c r="MTJ68" s="8"/>
      <c r="MTK68" s="8"/>
      <c r="MTL68" s="8"/>
      <c r="MTM68" s="8"/>
      <c r="MTN68" s="8"/>
      <c r="MTO68" s="8"/>
      <c r="MTP68" s="8"/>
      <c r="MTQ68" s="8"/>
      <c r="MTR68" s="8"/>
      <c r="MTS68" s="8"/>
      <c r="MTT68" s="8"/>
      <c r="MTU68" s="8"/>
      <c r="MTV68" s="8"/>
      <c r="MTW68" s="8"/>
      <c r="MTX68" s="8"/>
      <c r="MTY68" s="8"/>
      <c r="MTZ68" s="8"/>
      <c r="MUA68" s="8"/>
      <c r="MUB68" s="8"/>
      <c r="MUC68" s="8"/>
      <c r="MUD68" s="8"/>
      <c r="MUE68" s="8"/>
      <c r="MUF68" s="8"/>
      <c r="MUG68" s="8"/>
      <c r="MUH68" s="8"/>
      <c r="MUI68" s="8"/>
      <c r="MUJ68" s="8"/>
      <c r="MUK68" s="8"/>
      <c r="MUL68" s="8"/>
      <c r="MUM68" s="8"/>
      <c r="MUN68" s="8"/>
      <c r="MUO68" s="8"/>
      <c r="MUP68" s="8"/>
      <c r="MUQ68" s="8"/>
      <c r="MUR68" s="8"/>
      <c r="MUS68" s="8"/>
      <c r="MUT68" s="8"/>
      <c r="MUU68" s="8"/>
      <c r="MUV68" s="8"/>
      <c r="MUW68" s="8"/>
      <c r="MUX68" s="8"/>
      <c r="MUY68" s="8"/>
      <c r="MUZ68" s="8"/>
      <c r="MVA68" s="8"/>
      <c r="MVB68" s="8"/>
      <c r="MVC68" s="8"/>
      <c r="MVD68" s="8"/>
      <c r="MVE68" s="8"/>
      <c r="MVF68" s="8"/>
      <c r="MVG68" s="8"/>
      <c r="MVH68" s="8"/>
      <c r="MVI68" s="8"/>
      <c r="MVJ68" s="8"/>
      <c r="MVK68" s="8"/>
      <c r="MVL68" s="8"/>
      <c r="MVM68" s="8"/>
      <c r="MVN68" s="8"/>
      <c r="MVO68" s="8"/>
      <c r="MVP68" s="8"/>
      <c r="MVQ68" s="8"/>
      <c r="MVR68" s="8"/>
      <c r="MVS68" s="8"/>
      <c r="MVT68" s="8"/>
      <c r="MVU68" s="8"/>
      <c r="MVV68" s="8"/>
      <c r="MVW68" s="8"/>
      <c r="MVX68" s="8"/>
      <c r="MVY68" s="8"/>
      <c r="MVZ68" s="8"/>
      <c r="MWA68" s="8"/>
      <c r="MWB68" s="8"/>
      <c r="MWC68" s="8"/>
      <c r="MWD68" s="8"/>
      <c r="MWE68" s="8"/>
      <c r="MWF68" s="8"/>
      <c r="MWG68" s="8"/>
      <c r="MWH68" s="8"/>
      <c r="MWI68" s="8"/>
      <c r="MWJ68" s="8"/>
      <c r="MWK68" s="8"/>
      <c r="MWL68" s="8"/>
      <c r="MWM68" s="8"/>
      <c r="MWN68" s="8"/>
      <c r="MWO68" s="8"/>
      <c r="MWP68" s="8"/>
      <c r="MWQ68" s="8"/>
      <c r="MWR68" s="8"/>
      <c r="MWS68" s="8"/>
      <c r="MWT68" s="8"/>
      <c r="MWU68" s="8"/>
      <c r="MWV68" s="8"/>
      <c r="MWW68" s="8"/>
      <c r="MWX68" s="8"/>
      <c r="MWY68" s="8"/>
      <c r="MWZ68" s="8"/>
      <c r="MXA68" s="8"/>
      <c r="MXB68" s="8"/>
      <c r="MXC68" s="8"/>
      <c r="MXD68" s="8"/>
      <c r="MXE68" s="8"/>
      <c r="MXF68" s="8"/>
      <c r="MXG68" s="8"/>
      <c r="MXH68" s="8"/>
      <c r="MXI68" s="8"/>
      <c r="MXJ68" s="8"/>
      <c r="MXK68" s="8"/>
      <c r="MXL68" s="8"/>
      <c r="MXM68" s="8"/>
      <c r="MXN68" s="8"/>
      <c r="MXO68" s="8"/>
      <c r="MXP68" s="8"/>
      <c r="MXQ68" s="8"/>
      <c r="MXR68" s="8"/>
      <c r="MXS68" s="8"/>
      <c r="MXT68" s="8"/>
      <c r="MXU68" s="8"/>
      <c r="MXV68" s="8"/>
      <c r="MXW68" s="8"/>
      <c r="MXX68" s="8"/>
      <c r="MXY68" s="8"/>
      <c r="MXZ68" s="8"/>
      <c r="MYA68" s="8"/>
      <c r="MYB68" s="8"/>
      <c r="MYC68" s="8"/>
      <c r="MYD68" s="8"/>
      <c r="MYE68" s="8"/>
      <c r="MYF68" s="8"/>
      <c r="MYG68" s="8"/>
      <c r="MYH68" s="8"/>
      <c r="MYI68" s="8"/>
      <c r="MYJ68" s="8"/>
      <c r="MYK68" s="8"/>
      <c r="MYL68" s="8"/>
      <c r="MYM68" s="8"/>
      <c r="MYN68" s="8"/>
      <c r="MYO68" s="8"/>
      <c r="MYP68" s="8"/>
      <c r="MYQ68" s="8"/>
      <c r="MYR68" s="8"/>
      <c r="MYS68" s="8"/>
      <c r="MYT68" s="8"/>
      <c r="MYU68" s="8"/>
      <c r="MYV68" s="8"/>
      <c r="MYW68" s="8"/>
      <c r="MYX68" s="8"/>
      <c r="MYY68" s="8"/>
      <c r="MYZ68" s="8"/>
      <c r="MZA68" s="8"/>
      <c r="MZB68" s="8"/>
      <c r="MZC68" s="8"/>
      <c r="MZD68" s="8"/>
      <c r="MZE68" s="8"/>
      <c r="MZF68" s="8"/>
      <c r="MZG68" s="8"/>
      <c r="MZH68" s="8"/>
      <c r="MZI68" s="8"/>
      <c r="MZJ68" s="8"/>
      <c r="MZK68" s="8"/>
      <c r="MZL68" s="8"/>
      <c r="MZM68" s="8"/>
      <c r="MZN68" s="8"/>
      <c r="MZO68" s="8"/>
      <c r="MZP68" s="8"/>
      <c r="MZQ68" s="8"/>
      <c r="MZR68" s="8"/>
      <c r="MZS68" s="8"/>
      <c r="MZT68" s="8"/>
      <c r="MZU68" s="8"/>
      <c r="MZV68" s="8"/>
      <c r="MZW68" s="8"/>
      <c r="MZX68" s="8"/>
      <c r="MZY68" s="8"/>
      <c r="MZZ68" s="8"/>
      <c r="NAA68" s="8"/>
      <c r="NAB68" s="8"/>
      <c r="NAC68" s="8"/>
      <c r="NAD68" s="8"/>
      <c r="NAE68" s="8"/>
      <c r="NAF68" s="8"/>
      <c r="NAG68" s="8"/>
      <c r="NAH68" s="8"/>
      <c r="NAI68" s="8"/>
      <c r="NAJ68" s="8"/>
      <c r="NAK68" s="8"/>
      <c r="NAL68" s="8"/>
      <c r="NAM68" s="8"/>
      <c r="NAN68" s="8"/>
      <c r="NAO68" s="8"/>
      <c r="NAP68" s="8"/>
      <c r="NAQ68" s="8"/>
      <c r="NAR68" s="8"/>
      <c r="NAS68" s="8"/>
      <c r="NAT68" s="8"/>
      <c r="NAU68" s="8"/>
      <c r="NAV68" s="8"/>
      <c r="NAW68" s="8"/>
      <c r="NAX68" s="8"/>
      <c r="NAY68" s="8"/>
      <c r="NAZ68" s="8"/>
      <c r="NBA68" s="8"/>
      <c r="NBB68" s="8"/>
      <c r="NBC68" s="8"/>
      <c r="NBD68" s="8"/>
      <c r="NBE68" s="8"/>
      <c r="NBF68" s="8"/>
      <c r="NBG68" s="8"/>
      <c r="NBH68" s="8"/>
      <c r="NBI68" s="8"/>
      <c r="NBJ68" s="8"/>
      <c r="NBK68" s="8"/>
      <c r="NBL68" s="8"/>
      <c r="NBM68" s="8"/>
      <c r="NBN68" s="8"/>
      <c r="NBO68" s="8"/>
      <c r="NBP68" s="8"/>
      <c r="NBQ68" s="8"/>
      <c r="NBR68" s="8"/>
      <c r="NBS68" s="8"/>
      <c r="NBT68" s="8"/>
      <c r="NBU68" s="8"/>
      <c r="NBV68" s="8"/>
      <c r="NBW68" s="8"/>
      <c r="NBX68" s="8"/>
      <c r="NBY68" s="8"/>
      <c r="NBZ68" s="8"/>
      <c r="NCA68" s="8"/>
      <c r="NCB68" s="8"/>
      <c r="NCC68" s="8"/>
      <c r="NCD68" s="8"/>
      <c r="NCE68" s="8"/>
      <c r="NCF68" s="8"/>
      <c r="NCG68" s="8"/>
      <c r="NCH68" s="8"/>
      <c r="NCI68" s="8"/>
      <c r="NCJ68" s="8"/>
      <c r="NCK68" s="8"/>
      <c r="NCL68" s="8"/>
      <c r="NCM68" s="8"/>
      <c r="NCN68" s="8"/>
      <c r="NCO68" s="8"/>
      <c r="NCP68" s="8"/>
      <c r="NCQ68" s="8"/>
      <c r="NCR68" s="8"/>
      <c r="NCS68" s="8"/>
      <c r="NCT68" s="8"/>
      <c r="NCU68" s="8"/>
      <c r="NCV68" s="8"/>
      <c r="NCW68" s="8"/>
      <c r="NCX68" s="8"/>
      <c r="NCY68" s="8"/>
      <c r="NCZ68" s="8"/>
      <c r="NDA68" s="8"/>
      <c r="NDB68" s="8"/>
      <c r="NDC68" s="8"/>
      <c r="NDD68" s="8"/>
      <c r="NDE68" s="8"/>
      <c r="NDF68" s="8"/>
      <c r="NDG68" s="8"/>
      <c r="NDH68" s="8"/>
      <c r="NDI68" s="8"/>
      <c r="NDJ68" s="8"/>
      <c r="NDK68" s="8"/>
      <c r="NDL68" s="8"/>
      <c r="NDM68" s="8"/>
      <c r="NDN68" s="8"/>
      <c r="NDO68" s="8"/>
      <c r="NDP68" s="8"/>
      <c r="NDQ68" s="8"/>
      <c r="NDR68" s="8"/>
      <c r="NDS68" s="8"/>
      <c r="NDT68" s="8"/>
      <c r="NDU68" s="8"/>
      <c r="NDV68" s="8"/>
      <c r="NDW68" s="8"/>
      <c r="NDX68" s="8"/>
      <c r="NDY68" s="8"/>
      <c r="NDZ68" s="8"/>
      <c r="NEA68" s="8"/>
      <c r="NEB68" s="8"/>
      <c r="NEC68" s="8"/>
      <c r="NED68" s="8"/>
      <c r="NEE68" s="8"/>
      <c r="NEF68" s="8"/>
      <c r="NEG68" s="8"/>
      <c r="NEH68" s="8"/>
      <c r="NEI68" s="8"/>
      <c r="NEJ68" s="8"/>
      <c r="NEK68" s="8"/>
      <c r="NEL68" s="8"/>
      <c r="NEM68" s="8"/>
      <c r="NEN68" s="8"/>
      <c r="NEO68" s="8"/>
      <c r="NEP68" s="8"/>
      <c r="NEQ68" s="8"/>
      <c r="NER68" s="8"/>
      <c r="NES68" s="8"/>
      <c r="NET68" s="8"/>
      <c r="NEU68" s="8"/>
      <c r="NEV68" s="8"/>
      <c r="NEW68" s="8"/>
      <c r="NEX68" s="8"/>
      <c r="NEY68" s="8"/>
      <c r="NEZ68" s="8"/>
      <c r="NFA68" s="8"/>
      <c r="NFB68" s="8"/>
      <c r="NFC68" s="8"/>
      <c r="NFD68" s="8"/>
      <c r="NFE68" s="8"/>
      <c r="NFF68" s="8"/>
      <c r="NFG68" s="8"/>
      <c r="NFH68" s="8"/>
      <c r="NFI68" s="8"/>
      <c r="NFJ68" s="8"/>
      <c r="NFK68" s="8"/>
      <c r="NFL68" s="8"/>
      <c r="NFM68" s="8"/>
      <c r="NFN68" s="8"/>
      <c r="NFO68" s="8"/>
      <c r="NFP68" s="8"/>
      <c r="NFQ68" s="8"/>
      <c r="NFR68" s="8"/>
      <c r="NFS68" s="8"/>
      <c r="NFT68" s="8"/>
      <c r="NFU68" s="8"/>
      <c r="NFV68" s="8"/>
      <c r="NFW68" s="8"/>
      <c r="NFX68" s="8"/>
      <c r="NFY68" s="8"/>
      <c r="NFZ68" s="8"/>
      <c r="NGA68" s="8"/>
      <c r="NGB68" s="8"/>
      <c r="NGC68" s="8"/>
      <c r="NGD68" s="8"/>
      <c r="NGE68" s="8"/>
      <c r="NGF68" s="8"/>
      <c r="NGG68" s="8"/>
      <c r="NGH68" s="8"/>
      <c r="NGI68" s="8"/>
      <c r="NGJ68" s="8"/>
      <c r="NGK68" s="8"/>
      <c r="NGL68" s="8"/>
      <c r="NGM68" s="8"/>
      <c r="NGN68" s="8"/>
      <c r="NGO68" s="8"/>
      <c r="NGP68" s="8"/>
      <c r="NGQ68" s="8"/>
      <c r="NGR68" s="8"/>
      <c r="NGS68" s="8"/>
      <c r="NGT68" s="8"/>
      <c r="NGU68" s="8"/>
      <c r="NGV68" s="8"/>
      <c r="NGW68" s="8"/>
      <c r="NGX68" s="8"/>
      <c r="NGY68" s="8"/>
      <c r="NGZ68" s="8"/>
      <c r="NHA68" s="8"/>
      <c r="NHB68" s="8"/>
      <c r="NHC68" s="8"/>
      <c r="NHD68" s="8"/>
      <c r="NHE68" s="8"/>
      <c r="NHF68" s="8"/>
      <c r="NHG68" s="8"/>
      <c r="NHH68" s="8"/>
      <c r="NHI68" s="8"/>
      <c r="NHJ68" s="8"/>
      <c r="NHK68" s="8"/>
      <c r="NHL68" s="8"/>
      <c r="NHM68" s="8"/>
      <c r="NHN68" s="8"/>
      <c r="NHO68" s="8"/>
      <c r="NHP68" s="8"/>
      <c r="NHQ68" s="8"/>
      <c r="NHR68" s="8"/>
      <c r="NHS68" s="8"/>
      <c r="NHT68" s="8"/>
      <c r="NHU68" s="8"/>
      <c r="NHV68" s="8"/>
      <c r="NHW68" s="8"/>
      <c r="NHX68" s="8"/>
      <c r="NHY68" s="8"/>
      <c r="NHZ68" s="8"/>
      <c r="NIA68" s="8"/>
      <c r="NIB68" s="8"/>
      <c r="NIC68" s="8"/>
      <c r="NID68" s="8"/>
      <c r="NIE68" s="8"/>
      <c r="NIF68" s="8"/>
      <c r="NIG68" s="8"/>
      <c r="NIH68" s="8"/>
      <c r="NII68" s="8"/>
      <c r="NIJ68" s="8"/>
      <c r="NIK68" s="8"/>
      <c r="NIL68" s="8"/>
      <c r="NIM68" s="8"/>
      <c r="NIN68" s="8"/>
      <c r="NIO68" s="8"/>
      <c r="NIP68" s="8"/>
      <c r="NIQ68" s="8"/>
      <c r="NIR68" s="8"/>
      <c r="NIS68" s="8"/>
      <c r="NIT68" s="8"/>
      <c r="NIU68" s="8"/>
      <c r="NIV68" s="8"/>
      <c r="NIW68" s="8"/>
      <c r="NIX68" s="8"/>
      <c r="NIY68" s="8"/>
      <c r="NIZ68" s="8"/>
      <c r="NJA68" s="8"/>
      <c r="NJB68" s="8"/>
      <c r="NJC68" s="8"/>
      <c r="NJD68" s="8"/>
      <c r="NJE68" s="8"/>
      <c r="NJF68" s="8"/>
      <c r="NJG68" s="8"/>
      <c r="NJH68" s="8"/>
      <c r="NJI68" s="8"/>
      <c r="NJJ68" s="8"/>
      <c r="NJK68" s="8"/>
      <c r="NJL68" s="8"/>
      <c r="NJM68" s="8"/>
      <c r="NJN68" s="8"/>
      <c r="NJO68" s="8"/>
      <c r="NJP68" s="8"/>
      <c r="NJQ68" s="8"/>
      <c r="NJR68" s="8"/>
      <c r="NJS68" s="8"/>
      <c r="NJT68" s="8"/>
      <c r="NJU68" s="8"/>
      <c r="NJV68" s="8"/>
      <c r="NJW68" s="8"/>
      <c r="NJX68" s="8"/>
      <c r="NJY68" s="8"/>
      <c r="NJZ68" s="8"/>
      <c r="NKA68" s="8"/>
      <c r="NKB68" s="8"/>
      <c r="NKC68" s="8"/>
      <c r="NKD68" s="8"/>
      <c r="NKE68" s="8"/>
      <c r="NKF68" s="8"/>
      <c r="NKG68" s="8"/>
      <c r="NKH68" s="8"/>
      <c r="NKI68" s="8"/>
      <c r="NKJ68" s="8"/>
      <c r="NKK68" s="8"/>
      <c r="NKL68" s="8"/>
      <c r="NKM68" s="8"/>
      <c r="NKN68" s="8"/>
      <c r="NKO68" s="8"/>
      <c r="NKP68" s="8"/>
      <c r="NKQ68" s="8"/>
      <c r="NKR68" s="8"/>
      <c r="NKS68" s="8"/>
      <c r="NKT68" s="8"/>
      <c r="NKU68" s="8"/>
      <c r="NKV68" s="8"/>
      <c r="NKW68" s="8"/>
      <c r="NKX68" s="8"/>
      <c r="NKY68" s="8"/>
      <c r="NKZ68" s="8"/>
      <c r="NLA68" s="8"/>
      <c r="NLB68" s="8"/>
      <c r="NLC68" s="8"/>
      <c r="NLD68" s="8"/>
      <c r="NLE68" s="8"/>
      <c r="NLF68" s="8"/>
      <c r="NLG68" s="8"/>
      <c r="NLH68" s="8"/>
      <c r="NLI68" s="8"/>
      <c r="NLJ68" s="8"/>
      <c r="NLK68" s="8"/>
      <c r="NLL68" s="8"/>
      <c r="NLM68" s="8"/>
      <c r="NLN68" s="8"/>
      <c r="NLO68" s="8"/>
      <c r="NLP68" s="8"/>
      <c r="NLQ68" s="8"/>
      <c r="NLR68" s="8"/>
      <c r="NLS68" s="8"/>
      <c r="NLT68" s="8"/>
      <c r="NLU68" s="8"/>
      <c r="NLV68" s="8"/>
      <c r="NLW68" s="8"/>
      <c r="NLX68" s="8"/>
      <c r="NLY68" s="8"/>
      <c r="NLZ68" s="8"/>
      <c r="NMA68" s="8"/>
      <c r="NMB68" s="8"/>
      <c r="NMC68" s="8"/>
      <c r="NMD68" s="8"/>
      <c r="NME68" s="8"/>
      <c r="NMF68" s="8"/>
      <c r="NMG68" s="8"/>
      <c r="NMH68" s="8"/>
      <c r="NMI68" s="8"/>
      <c r="NMJ68" s="8"/>
      <c r="NMK68" s="8"/>
      <c r="NML68" s="8"/>
      <c r="NMM68" s="8"/>
      <c r="NMN68" s="8"/>
      <c r="NMO68" s="8"/>
      <c r="NMP68" s="8"/>
      <c r="NMQ68" s="8"/>
      <c r="NMR68" s="8"/>
      <c r="NMS68" s="8"/>
      <c r="NMT68" s="8"/>
      <c r="NMU68" s="8"/>
      <c r="NMV68" s="8"/>
      <c r="NMW68" s="8"/>
      <c r="NMX68" s="8"/>
      <c r="NMY68" s="8"/>
      <c r="NMZ68" s="8"/>
      <c r="NNA68" s="8"/>
      <c r="NNB68" s="8"/>
      <c r="NNC68" s="8"/>
      <c r="NND68" s="8"/>
      <c r="NNE68" s="8"/>
      <c r="NNF68" s="8"/>
      <c r="NNG68" s="8"/>
      <c r="NNH68" s="8"/>
      <c r="NNI68" s="8"/>
      <c r="NNJ68" s="8"/>
      <c r="NNK68" s="8"/>
      <c r="NNL68" s="8"/>
      <c r="NNM68" s="8"/>
      <c r="NNN68" s="8"/>
      <c r="NNO68" s="8"/>
      <c r="NNP68" s="8"/>
      <c r="NNQ68" s="8"/>
      <c r="NNR68" s="8"/>
      <c r="NNS68" s="8"/>
      <c r="NNT68" s="8"/>
      <c r="NNU68" s="8"/>
      <c r="NNV68" s="8"/>
      <c r="NNW68" s="8"/>
      <c r="NNX68" s="8"/>
      <c r="NNY68" s="8"/>
      <c r="NNZ68" s="8"/>
      <c r="NOA68" s="8"/>
      <c r="NOB68" s="8"/>
      <c r="NOC68" s="8"/>
      <c r="NOD68" s="8"/>
      <c r="NOE68" s="8"/>
      <c r="NOF68" s="8"/>
      <c r="NOG68" s="8"/>
      <c r="NOH68" s="8"/>
      <c r="NOI68" s="8"/>
      <c r="NOJ68" s="8"/>
      <c r="NOK68" s="8"/>
      <c r="NOL68" s="8"/>
      <c r="NOM68" s="8"/>
      <c r="NON68" s="8"/>
      <c r="NOO68" s="8"/>
      <c r="NOP68" s="8"/>
      <c r="NOQ68" s="8"/>
      <c r="NOR68" s="8"/>
      <c r="NOS68" s="8"/>
      <c r="NOT68" s="8"/>
      <c r="NOU68" s="8"/>
      <c r="NOV68" s="8"/>
      <c r="NOW68" s="8"/>
      <c r="NOX68" s="8"/>
      <c r="NOY68" s="8"/>
      <c r="NOZ68" s="8"/>
      <c r="NPA68" s="8"/>
      <c r="NPB68" s="8"/>
      <c r="NPC68" s="8"/>
      <c r="NPD68" s="8"/>
      <c r="NPE68" s="8"/>
      <c r="NPF68" s="8"/>
      <c r="NPG68" s="8"/>
      <c r="NPH68" s="8"/>
      <c r="NPI68" s="8"/>
      <c r="NPJ68" s="8"/>
      <c r="NPK68" s="8"/>
      <c r="NPL68" s="8"/>
      <c r="NPM68" s="8"/>
      <c r="NPN68" s="8"/>
      <c r="NPO68" s="8"/>
      <c r="NPP68" s="8"/>
      <c r="NPQ68" s="8"/>
      <c r="NPR68" s="8"/>
      <c r="NPS68" s="8"/>
      <c r="NPT68" s="8"/>
      <c r="NPU68" s="8"/>
      <c r="NPV68" s="8"/>
      <c r="NPW68" s="8"/>
      <c r="NPX68" s="8"/>
      <c r="NPY68" s="8"/>
      <c r="NPZ68" s="8"/>
      <c r="NQA68" s="8"/>
      <c r="NQB68" s="8"/>
      <c r="NQC68" s="8"/>
      <c r="NQD68" s="8"/>
      <c r="NQE68" s="8"/>
      <c r="NQF68" s="8"/>
      <c r="NQG68" s="8"/>
      <c r="NQH68" s="8"/>
      <c r="NQI68" s="8"/>
      <c r="NQJ68" s="8"/>
      <c r="NQK68" s="8"/>
      <c r="NQL68" s="8"/>
      <c r="NQM68" s="8"/>
      <c r="NQN68" s="8"/>
      <c r="NQO68" s="8"/>
      <c r="NQP68" s="8"/>
      <c r="NQQ68" s="8"/>
      <c r="NQR68" s="8"/>
      <c r="NQS68" s="8"/>
      <c r="NQT68" s="8"/>
      <c r="NQU68" s="8"/>
      <c r="NQV68" s="8"/>
      <c r="NQW68" s="8"/>
      <c r="NQX68" s="8"/>
      <c r="NQY68" s="8"/>
      <c r="NQZ68" s="8"/>
      <c r="NRA68" s="8"/>
      <c r="NRB68" s="8"/>
      <c r="NRC68" s="8"/>
      <c r="NRD68" s="8"/>
      <c r="NRE68" s="8"/>
      <c r="NRF68" s="8"/>
      <c r="NRG68" s="8"/>
      <c r="NRH68" s="8"/>
      <c r="NRI68" s="8"/>
      <c r="NRJ68" s="8"/>
      <c r="NRK68" s="8"/>
      <c r="NRL68" s="8"/>
      <c r="NRM68" s="8"/>
      <c r="NRN68" s="8"/>
      <c r="NRO68" s="8"/>
      <c r="NRP68" s="8"/>
      <c r="NRQ68" s="8"/>
      <c r="NRR68" s="8"/>
      <c r="NRS68" s="8"/>
      <c r="NRT68" s="8"/>
      <c r="NRU68" s="8"/>
      <c r="NRV68" s="8"/>
      <c r="NRW68" s="8"/>
      <c r="NRX68" s="8"/>
      <c r="NRY68" s="8"/>
      <c r="NRZ68" s="8"/>
      <c r="NSA68" s="8"/>
      <c r="NSB68" s="8"/>
      <c r="NSC68" s="8"/>
      <c r="NSD68" s="8"/>
      <c r="NSE68" s="8"/>
      <c r="NSF68" s="8"/>
      <c r="NSG68" s="8"/>
      <c r="NSH68" s="8"/>
      <c r="NSI68" s="8"/>
      <c r="NSJ68" s="8"/>
      <c r="NSK68" s="8"/>
      <c r="NSL68" s="8"/>
      <c r="NSM68" s="8"/>
      <c r="NSN68" s="8"/>
      <c r="NSO68" s="8"/>
      <c r="NSP68" s="8"/>
      <c r="NSQ68" s="8"/>
      <c r="NSR68" s="8"/>
      <c r="NSS68" s="8"/>
      <c r="NST68" s="8"/>
      <c r="NSU68" s="8"/>
      <c r="NSV68" s="8"/>
      <c r="NSW68" s="8"/>
      <c r="NSX68" s="8"/>
      <c r="NSY68" s="8"/>
      <c r="NSZ68" s="8"/>
      <c r="NTA68" s="8"/>
      <c r="NTB68" s="8"/>
      <c r="NTC68" s="8"/>
      <c r="NTD68" s="8"/>
      <c r="NTE68" s="8"/>
      <c r="NTF68" s="8"/>
      <c r="NTG68" s="8"/>
      <c r="NTH68" s="8"/>
      <c r="NTI68" s="8"/>
      <c r="NTJ68" s="8"/>
      <c r="NTK68" s="8"/>
      <c r="NTL68" s="8"/>
      <c r="NTM68" s="8"/>
      <c r="NTN68" s="8"/>
      <c r="NTO68" s="8"/>
      <c r="NTP68" s="8"/>
      <c r="NTQ68" s="8"/>
      <c r="NTR68" s="8"/>
      <c r="NTS68" s="8"/>
      <c r="NTT68" s="8"/>
      <c r="NTU68" s="8"/>
      <c r="NTV68" s="8"/>
      <c r="NTW68" s="8"/>
      <c r="NTX68" s="8"/>
      <c r="NTY68" s="8"/>
      <c r="NTZ68" s="8"/>
      <c r="NUA68" s="8"/>
      <c r="NUB68" s="8"/>
      <c r="NUC68" s="8"/>
      <c r="NUD68" s="8"/>
      <c r="NUE68" s="8"/>
      <c r="NUF68" s="8"/>
      <c r="NUG68" s="8"/>
      <c r="NUH68" s="8"/>
      <c r="NUI68" s="8"/>
      <c r="NUJ68" s="8"/>
      <c r="NUK68" s="8"/>
      <c r="NUL68" s="8"/>
      <c r="NUM68" s="8"/>
      <c r="NUN68" s="8"/>
      <c r="NUO68" s="8"/>
      <c r="NUP68" s="8"/>
      <c r="NUQ68" s="8"/>
      <c r="NUR68" s="8"/>
      <c r="NUS68" s="8"/>
      <c r="NUT68" s="8"/>
      <c r="NUU68" s="8"/>
      <c r="NUV68" s="8"/>
      <c r="NUW68" s="8"/>
      <c r="NUX68" s="8"/>
      <c r="NUY68" s="8"/>
      <c r="NUZ68" s="8"/>
      <c r="NVA68" s="8"/>
      <c r="NVB68" s="8"/>
      <c r="NVC68" s="8"/>
      <c r="NVD68" s="8"/>
      <c r="NVE68" s="8"/>
      <c r="NVF68" s="8"/>
      <c r="NVG68" s="8"/>
      <c r="NVH68" s="8"/>
      <c r="NVI68" s="8"/>
      <c r="NVJ68" s="8"/>
      <c r="NVK68" s="8"/>
      <c r="NVL68" s="8"/>
      <c r="NVM68" s="8"/>
      <c r="NVN68" s="8"/>
      <c r="NVO68" s="8"/>
      <c r="NVP68" s="8"/>
      <c r="NVQ68" s="8"/>
      <c r="NVR68" s="8"/>
      <c r="NVS68" s="8"/>
      <c r="NVT68" s="8"/>
      <c r="NVU68" s="8"/>
      <c r="NVV68" s="8"/>
      <c r="NVW68" s="8"/>
      <c r="NVX68" s="8"/>
      <c r="NVY68" s="8"/>
      <c r="NVZ68" s="8"/>
      <c r="NWA68" s="8"/>
      <c r="NWB68" s="8"/>
      <c r="NWC68" s="8"/>
      <c r="NWD68" s="8"/>
      <c r="NWE68" s="8"/>
      <c r="NWF68" s="8"/>
      <c r="NWG68" s="8"/>
      <c r="NWH68" s="8"/>
      <c r="NWI68" s="8"/>
      <c r="NWJ68" s="8"/>
      <c r="NWK68" s="8"/>
      <c r="NWL68" s="8"/>
      <c r="NWM68" s="8"/>
      <c r="NWN68" s="8"/>
      <c r="NWO68" s="8"/>
      <c r="NWP68" s="8"/>
      <c r="NWQ68" s="8"/>
      <c r="NWR68" s="8"/>
      <c r="NWS68" s="8"/>
      <c r="NWT68" s="8"/>
      <c r="NWU68" s="8"/>
      <c r="NWV68" s="8"/>
      <c r="NWW68" s="8"/>
      <c r="NWX68" s="8"/>
      <c r="NWY68" s="8"/>
      <c r="NWZ68" s="8"/>
      <c r="NXA68" s="8"/>
      <c r="NXB68" s="8"/>
      <c r="NXC68" s="8"/>
      <c r="NXD68" s="8"/>
      <c r="NXE68" s="8"/>
      <c r="NXF68" s="8"/>
      <c r="NXG68" s="8"/>
      <c r="NXH68" s="8"/>
      <c r="NXI68" s="8"/>
      <c r="NXJ68" s="8"/>
      <c r="NXK68" s="8"/>
      <c r="NXL68" s="8"/>
      <c r="NXM68" s="8"/>
      <c r="NXN68" s="8"/>
      <c r="NXO68" s="8"/>
      <c r="NXP68" s="8"/>
      <c r="NXQ68" s="8"/>
      <c r="NXR68" s="8"/>
      <c r="NXS68" s="8"/>
      <c r="NXT68" s="8"/>
      <c r="NXU68" s="8"/>
      <c r="NXV68" s="8"/>
      <c r="NXW68" s="8"/>
      <c r="NXX68" s="8"/>
      <c r="NXY68" s="8"/>
      <c r="NXZ68" s="8"/>
      <c r="NYA68" s="8"/>
      <c r="NYB68" s="8"/>
      <c r="NYC68" s="8"/>
      <c r="NYD68" s="8"/>
      <c r="NYE68" s="8"/>
      <c r="NYF68" s="8"/>
      <c r="NYG68" s="8"/>
      <c r="NYH68" s="8"/>
      <c r="NYI68" s="8"/>
      <c r="NYJ68" s="8"/>
      <c r="NYK68" s="8"/>
      <c r="NYL68" s="8"/>
      <c r="NYM68" s="8"/>
      <c r="NYN68" s="8"/>
      <c r="NYO68" s="8"/>
      <c r="NYP68" s="8"/>
      <c r="NYQ68" s="8"/>
      <c r="NYR68" s="8"/>
      <c r="NYS68" s="8"/>
      <c r="NYT68" s="8"/>
      <c r="NYU68" s="8"/>
      <c r="NYV68" s="8"/>
      <c r="NYW68" s="8"/>
      <c r="NYX68" s="8"/>
      <c r="NYY68" s="8"/>
      <c r="NYZ68" s="8"/>
      <c r="NZA68" s="8"/>
      <c r="NZB68" s="8"/>
      <c r="NZC68" s="8"/>
      <c r="NZD68" s="8"/>
      <c r="NZE68" s="8"/>
      <c r="NZF68" s="8"/>
      <c r="NZG68" s="8"/>
      <c r="NZH68" s="8"/>
      <c r="NZI68" s="8"/>
      <c r="NZJ68" s="8"/>
      <c r="NZK68" s="8"/>
      <c r="NZL68" s="8"/>
      <c r="NZM68" s="8"/>
      <c r="NZN68" s="8"/>
      <c r="NZO68" s="8"/>
      <c r="NZP68" s="8"/>
      <c r="NZQ68" s="8"/>
      <c r="NZR68" s="8"/>
      <c r="NZS68" s="8"/>
      <c r="NZT68" s="8"/>
      <c r="NZU68" s="8"/>
      <c r="NZV68" s="8"/>
      <c r="NZW68" s="8"/>
      <c r="NZX68" s="8"/>
      <c r="NZY68" s="8"/>
      <c r="NZZ68" s="8"/>
      <c r="OAA68" s="8"/>
      <c r="OAB68" s="8"/>
      <c r="OAC68" s="8"/>
      <c r="OAD68" s="8"/>
      <c r="OAE68" s="8"/>
      <c r="OAF68" s="8"/>
      <c r="OAG68" s="8"/>
      <c r="OAH68" s="8"/>
      <c r="OAI68" s="8"/>
      <c r="OAJ68" s="8"/>
      <c r="OAK68" s="8"/>
      <c r="OAL68" s="8"/>
      <c r="OAM68" s="8"/>
      <c r="OAN68" s="8"/>
      <c r="OAO68" s="8"/>
      <c r="OAP68" s="8"/>
      <c r="OAQ68" s="8"/>
      <c r="OAR68" s="8"/>
      <c r="OAS68" s="8"/>
      <c r="OAT68" s="8"/>
      <c r="OAU68" s="8"/>
      <c r="OAV68" s="8"/>
      <c r="OAW68" s="8"/>
      <c r="OAX68" s="8"/>
      <c r="OAY68" s="8"/>
      <c r="OAZ68" s="8"/>
      <c r="OBA68" s="8"/>
      <c r="OBB68" s="8"/>
      <c r="OBC68" s="8"/>
      <c r="OBD68" s="8"/>
      <c r="OBE68" s="8"/>
      <c r="OBF68" s="8"/>
      <c r="OBG68" s="8"/>
      <c r="OBH68" s="8"/>
      <c r="OBI68" s="8"/>
      <c r="OBJ68" s="8"/>
      <c r="OBK68" s="8"/>
      <c r="OBL68" s="8"/>
      <c r="OBM68" s="8"/>
      <c r="OBN68" s="8"/>
      <c r="OBO68" s="8"/>
      <c r="OBP68" s="8"/>
      <c r="OBQ68" s="8"/>
      <c r="OBR68" s="8"/>
      <c r="OBS68" s="8"/>
      <c r="OBT68" s="8"/>
      <c r="OBU68" s="8"/>
      <c r="OBV68" s="8"/>
      <c r="OBW68" s="8"/>
      <c r="OBX68" s="8"/>
      <c r="OBY68" s="8"/>
      <c r="OBZ68" s="8"/>
      <c r="OCA68" s="8"/>
      <c r="OCB68" s="8"/>
      <c r="OCC68" s="8"/>
      <c r="OCD68" s="8"/>
      <c r="OCE68" s="8"/>
      <c r="OCF68" s="8"/>
      <c r="OCG68" s="8"/>
      <c r="OCH68" s="8"/>
      <c r="OCI68" s="8"/>
      <c r="OCJ68" s="8"/>
      <c r="OCK68" s="8"/>
      <c r="OCL68" s="8"/>
      <c r="OCM68" s="8"/>
      <c r="OCN68" s="8"/>
      <c r="OCO68" s="8"/>
      <c r="OCP68" s="8"/>
      <c r="OCQ68" s="8"/>
      <c r="OCR68" s="8"/>
      <c r="OCS68" s="8"/>
      <c r="OCT68" s="8"/>
      <c r="OCU68" s="8"/>
      <c r="OCV68" s="8"/>
      <c r="OCW68" s="8"/>
      <c r="OCX68" s="8"/>
      <c r="OCY68" s="8"/>
      <c r="OCZ68" s="8"/>
      <c r="ODA68" s="8"/>
      <c r="ODB68" s="8"/>
      <c r="ODC68" s="8"/>
      <c r="ODD68" s="8"/>
      <c r="ODE68" s="8"/>
      <c r="ODF68" s="8"/>
      <c r="ODG68" s="8"/>
      <c r="ODH68" s="8"/>
      <c r="ODI68" s="8"/>
      <c r="ODJ68" s="8"/>
      <c r="ODK68" s="8"/>
      <c r="ODL68" s="8"/>
      <c r="ODM68" s="8"/>
      <c r="ODN68" s="8"/>
      <c r="ODO68" s="8"/>
      <c r="ODP68" s="8"/>
      <c r="ODQ68" s="8"/>
      <c r="ODR68" s="8"/>
      <c r="ODS68" s="8"/>
      <c r="ODT68" s="8"/>
      <c r="ODU68" s="8"/>
      <c r="ODV68" s="8"/>
      <c r="ODW68" s="8"/>
      <c r="ODX68" s="8"/>
      <c r="ODY68" s="8"/>
      <c r="ODZ68" s="8"/>
      <c r="OEA68" s="8"/>
      <c r="OEB68" s="8"/>
      <c r="OEC68" s="8"/>
      <c r="OED68" s="8"/>
      <c r="OEE68" s="8"/>
      <c r="OEF68" s="8"/>
      <c r="OEG68" s="8"/>
      <c r="OEH68" s="8"/>
      <c r="OEI68" s="8"/>
      <c r="OEJ68" s="8"/>
      <c r="OEK68" s="8"/>
      <c r="OEL68" s="8"/>
      <c r="OEM68" s="8"/>
      <c r="OEN68" s="8"/>
      <c r="OEO68" s="8"/>
      <c r="OEP68" s="8"/>
      <c r="OEQ68" s="8"/>
      <c r="OER68" s="8"/>
      <c r="OES68" s="8"/>
      <c r="OET68" s="8"/>
      <c r="OEU68" s="8"/>
      <c r="OEV68" s="8"/>
      <c r="OEW68" s="8"/>
      <c r="OEX68" s="8"/>
      <c r="OEY68" s="8"/>
      <c r="OEZ68" s="8"/>
      <c r="OFA68" s="8"/>
      <c r="OFB68" s="8"/>
      <c r="OFC68" s="8"/>
      <c r="OFD68" s="8"/>
      <c r="OFE68" s="8"/>
      <c r="OFF68" s="8"/>
      <c r="OFG68" s="8"/>
      <c r="OFH68" s="8"/>
      <c r="OFI68" s="8"/>
      <c r="OFJ68" s="8"/>
      <c r="OFK68" s="8"/>
      <c r="OFL68" s="8"/>
      <c r="OFM68" s="8"/>
      <c r="OFN68" s="8"/>
      <c r="OFO68" s="8"/>
      <c r="OFP68" s="8"/>
      <c r="OFQ68" s="8"/>
      <c r="OFR68" s="8"/>
      <c r="OFS68" s="8"/>
      <c r="OFT68" s="8"/>
      <c r="OFU68" s="8"/>
      <c r="OFV68" s="8"/>
      <c r="OFW68" s="8"/>
      <c r="OFX68" s="8"/>
      <c r="OFY68" s="8"/>
      <c r="OFZ68" s="8"/>
      <c r="OGA68" s="8"/>
      <c r="OGB68" s="8"/>
      <c r="OGC68" s="8"/>
      <c r="OGD68" s="8"/>
      <c r="OGE68" s="8"/>
      <c r="OGF68" s="8"/>
      <c r="OGG68" s="8"/>
      <c r="OGH68" s="8"/>
      <c r="OGI68" s="8"/>
      <c r="OGJ68" s="8"/>
      <c r="OGK68" s="8"/>
      <c r="OGL68" s="8"/>
      <c r="OGM68" s="8"/>
      <c r="OGN68" s="8"/>
      <c r="OGO68" s="8"/>
      <c r="OGP68" s="8"/>
      <c r="OGQ68" s="8"/>
      <c r="OGR68" s="8"/>
      <c r="OGS68" s="8"/>
      <c r="OGT68" s="8"/>
      <c r="OGU68" s="8"/>
      <c r="OGV68" s="8"/>
      <c r="OGW68" s="8"/>
      <c r="OGX68" s="8"/>
      <c r="OGY68" s="8"/>
      <c r="OGZ68" s="8"/>
      <c r="OHA68" s="8"/>
      <c r="OHB68" s="8"/>
      <c r="OHC68" s="8"/>
      <c r="OHD68" s="8"/>
      <c r="OHE68" s="8"/>
      <c r="OHF68" s="8"/>
      <c r="OHG68" s="8"/>
      <c r="OHH68" s="8"/>
      <c r="OHI68" s="8"/>
      <c r="OHJ68" s="8"/>
      <c r="OHK68" s="8"/>
      <c r="OHL68" s="8"/>
      <c r="OHM68" s="8"/>
      <c r="OHN68" s="8"/>
      <c r="OHO68" s="8"/>
      <c r="OHP68" s="8"/>
      <c r="OHQ68" s="8"/>
      <c r="OHR68" s="8"/>
      <c r="OHS68" s="8"/>
      <c r="OHT68" s="8"/>
      <c r="OHU68" s="8"/>
      <c r="OHV68" s="8"/>
      <c r="OHW68" s="8"/>
      <c r="OHX68" s="8"/>
      <c r="OHY68" s="8"/>
      <c r="OHZ68" s="8"/>
      <c r="OIA68" s="8"/>
      <c r="OIB68" s="8"/>
      <c r="OIC68" s="8"/>
      <c r="OID68" s="8"/>
      <c r="OIE68" s="8"/>
      <c r="OIF68" s="8"/>
      <c r="OIG68" s="8"/>
      <c r="OIH68" s="8"/>
      <c r="OII68" s="8"/>
      <c r="OIJ68" s="8"/>
      <c r="OIK68" s="8"/>
      <c r="OIL68" s="8"/>
      <c r="OIM68" s="8"/>
      <c r="OIN68" s="8"/>
      <c r="OIO68" s="8"/>
      <c r="OIP68" s="8"/>
      <c r="OIQ68" s="8"/>
      <c r="OIR68" s="8"/>
      <c r="OIS68" s="8"/>
      <c r="OIT68" s="8"/>
      <c r="OIU68" s="8"/>
      <c r="OIV68" s="8"/>
      <c r="OIW68" s="8"/>
      <c r="OIX68" s="8"/>
      <c r="OIY68" s="8"/>
      <c r="OIZ68" s="8"/>
      <c r="OJA68" s="8"/>
      <c r="OJB68" s="8"/>
      <c r="OJC68" s="8"/>
      <c r="OJD68" s="8"/>
      <c r="OJE68" s="8"/>
      <c r="OJF68" s="8"/>
      <c r="OJG68" s="8"/>
      <c r="OJH68" s="8"/>
      <c r="OJI68" s="8"/>
      <c r="OJJ68" s="8"/>
      <c r="OJK68" s="8"/>
      <c r="OJL68" s="8"/>
      <c r="OJM68" s="8"/>
      <c r="OJN68" s="8"/>
      <c r="OJO68" s="8"/>
      <c r="OJP68" s="8"/>
      <c r="OJQ68" s="8"/>
      <c r="OJR68" s="8"/>
      <c r="OJS68" s="8"/>
      <c r="OJT68" s="8"/>
      <c r="OJU68" s="8"/>
      <c r="OJV68" s="8"/>
      <c r="OJW68" s="8"/>
      <c r="OJX68" s="8"/>
      <c r="OJY68" s="8"/>
      <c r="OJZ68" s="8"/>
      <c r="OKA68" s="8"/>
      <c r="OKB68" s="8"/>
      <c r="OKC68" s="8"/>
      <c r="OKD68" s="8"/>
      <c r="OKE68" s="8"/>
      <c r="OKF68" s="8"/>
      <c r="OKG68" s="8"/>
      <c r="OKH68" s="8"/>
      <c r="OKI68" s="8"/>
      <c r="OKJ68" s="8"/>
      <c r="OKK68" s="8"/>
      <c r="OKL68" s="8"/>
      <c r="OKM68" s="8"/>
      <c r="OKN68" s="8"/>
      <c r="OKO68" s="8"/>
      <c r="OKP68" s="8"/>
      <c r="OKQ68" s="8"/>
      <c r="OKR68" s="8"/>
      <c r="OKS68" s="8"/>
      <c r="OKT68" s="8"/>
      <c r="OKU68" s="8"/>
      <c r="OKV68" s="8"/>
      <c r="OKW68" s="8"/>
      <c r="OKX68" s="8"/>
      <c r="OKY68" s="8"/>
      <c r="OKZ68" s="8"/>
      <c r="OLA68" s="8"/>
      <c r="OLB68" s="8"/>
      <c r="OLC68" s="8"/>
      <c r="OLD68" s="8"/>
      <c r="OLE68" s="8"/>
      <c r="OLF68" s="8"/>
      <c r="OLG68" s="8"/>
      <c r="OLH68" s="8"/>
      <c r="OLI68" s="8"/>
      <c r="OLJ68" s="8"/>
      <c r="OLK68" s="8"/>
      <c r="OLL68" s="8"/>
      <c r="OLM68" s="8"/>
      <c r="OLN68" s="8"/>
      <c r="OLO68" s="8"/>
      <c r="OLP68" s="8"/>
      <c r="OLQ68" s="8"/>
      <c r="OLR68" s="8"/>
      <c r="OLS68" s="8"/>
      <c r="OLT68" s="8"/>
      <c r="OLU68" s="8"/>
      <c r="OLV68" s="8"/>
      <c r="OLW68" s="8"/>
      <c r="OLX68" s="8"/>
      <c r="OLY68" s="8"/>
      <c r="OLZ68" s="8"/>
      <c r="OMA68" s="8"/>
      <c r="OMB68" s="8"/>
      <c r="OMC68" s="8"/>
      <c r="OMD68" s="8"/>
      <c r="OME68" s="8"/>
      <c r="OMF68" s="8"/>
      <c r="OMG68" s="8"/>
      <c r="OMH68" s="8"/>
      <c r="OMI68" s="8"/>
      <c r="OMJ68" s="8"/>
      <c r="OMK68" s="8"/>
      <c r="OML68" s="8"/>
      <c r="OMM68" s="8"/>
      <c r="OMN68" s="8"/>
      <c r="OMO68" s="8"/>
      <c r="OMP68" s="8"/>
      <c r="OMQ68" s="8"/>
      <c r="OMR68" s="8"/>
      <c r="OMS68" s="8"/>
      <c r="OMT68" s="8"/>
      <c r="OMU68" s="8"/>
      <c r="OMV68" s="8"/>
      <c r="OMW68" s="8"/>
      <c r="OMX68" s="8"/>
      <c r="OMY68" s="8"/>
      <c r="OMZ68" s="8"/>
      <c r="ONA68" s="8"/>
      <c r="ONB68" s="8"/>
      <c r="ONC68" s="8"/>
      <c r="OND68" s="8"/>
      <c r="ONE68" s="8"/>
      <c r="ONF68" s="8"/>
      <c r="ONG68" s="8"/>
      <c r="ONH68" s="8"/>
      <c r="ONI68" s="8"/>
      <c r="ONJ68" s="8"/>
      <c r="ONK68" s="8"/>
      <c r="ONL68" s="8"/>
      <c r="ONM68" s="8"/>
      <c r="ONN68" s="8"/>
      <c r="ONO68" s="8"/>
      <c r="ONP68" s="8"/>
      <c r="ONQ68" s="8"/>
      <c r="ONR68" s="8"/>
      <c r="ONS68" s="8"/>
      <c r="ONT68" s="8"/>
      <c r="ONU68" s="8"/>
      <c r="ONV68" s="8"/>
      <c r="ONW68" s="8"/>
      <c r="ONX68" s="8"/>
      <c r="ONY68" s="8"/>
      <c r="ONZ68" s="8"/>
      <c r="OOA68" s="8"/>
      <c r="OOB68" s="8"/>
      <c r="OOC68" s="8"/>
      <c r="OOD68" s="8"/>
      <c r="OOE68" s="8"/>
      <c r="OOF68" s="8"/>
      <c r="OOG68" s="8"/>
      <c r="OOH68" s="8"/>
      <c r="OOI68" s="8"/>
      <c r="OOJ68" s="8"/>
      <c r="OOK68" s="8"/>
      <c r="OOL68" s="8"/>
      <c r="OOM68" s="8"/>
      <c r="OON68" s="8"/>
      <c r="OOO68" s="8"/>
      <c r="OOP68" s="8"/>
      <c r="OOQ68" s="8"/>
      <c r="OOR68" s="8"/>
      <c r="OOS68" s="8"/>
      <c r="OOT68" s="8"/>
      <c r="OOU68" s="8"/>
      <c r="OOV68" s="8"/>
      <c r="OOW68" s="8"/>
      <c r="OOX68" s="8"/>
      <c r="OOY68" s="8"/>
      <c r="OOZ68" s="8"/>
      <c r="OPA68" s="8"/>
      <c r="OPB68" s="8"/>
      <c r="OPC68" s="8"/>
      <c r="OPD68" s="8"/>
      <c r="OPE68" s="8"/>
      <c r="OPF68" s="8"/>
      <c r="OPG68" s="8"/>
      <c r="OPH68" s="8"/>
      <c r="OPI68" s="8"/>
      <c r="OPJ68" s="8"/>
      <c r="OPK68" s="8"/>
      <c r="OPL68" s="8"/>
      <c r="OPM68" s="8"/>
      <c r="OPN68" s="8"/>
      <c r="OPO68" s="8"/>
      <c r="OPP68" s="8"/>
      <c r="OPQ68" s="8"/>
      <c r="OPR68" s="8"/>
      <c r="OPS68" s="8"/>
      <c r="OPT68" s="8"/>
      <c r="OPU68" s="8"/>
      <c r="OPV68" s="8"/>
      <c r="OPW68" s="8"/>
      <c r="OPX68" s="8"/>
      <c r="OPY68" s="8"/>
      <c r="OPZ68" s="8"/>
      <c r="OQA68" s="8"/>
      <c r="OQB68" s="8"/>
      <c r="OQC68" s="8"/>
      <c r="OQD68" s="8"/>
      <c r="OQE68" s="8"/>
      <c r="OQF68" s="8"/>
      <c r="OQG68" s="8"/>
      <c r="OQH68" s="8"/>
      <c r="OQI68" s="8"/>
      <c r="OQJ68" s="8"/>
      <c r="OQK68" s="8"/>
      <c r="OQL68" s="8"/>
      <c r="OQM68" s="8"/>
      <c r="OQN68" s="8"/>
      <c r="OQO68" s="8"/>
      <c r="OQP68" s="8"/>
      <c r="OQQ68" s="8"/>
      <c r="OQR68" s="8"/>
      <c r="OQS68" s="8"/>
      <c r="OQT68" s="8"/>
      <c r="OQU68" s="8"/>
      <c r="OQV68" s="8"/>
      <c r="OQW68" s="8"/>
      <c r="OQX68" s="8"/>
      <c r="OQY68" s="8"/>
      <c r="OQZ68" s="8"/>
      <c r="ORA68" s="8"/>
      <c r="ORB68" s="8"/>
      <c r="ORC68" s="8"/>
      <c r="ORD68" s="8"/>
      <c r="ORE68" s="8"/>
      <c r="ORF68" s="8"/>
      <c r="ORG68" s="8"/>
      <c r="ORH68" s="8"/>
      <c r="ORI68" s="8"/>
      <c r="ORJ68" s="8"/>
      <c r="ORK68" s="8"/>
      <c r="ORL68" s="8"/>
      <c r="ORM68" s="8"/>
      <c r="ORN68" s="8"/>
      <c r="ORO68" s="8"/>
      <c r="ORP68" s="8"/>
      <c r="ORQ68" s="8"/>
      <c r="ORR68" s="8"/>
      <c r="ORS68" s="8"/>
      <c r="ORT68" s="8"/>
      <c r="ORU68" s="8"/>
      <c r="ORV68" s="8"/>
      <c r="ORW68" s="8"/>
      <c r="ORX68" s="8"/>
      <c r="ORY68" s="8"/>
      <c r="ORZ68" s="8"/>
      <c r="OSA68" s="8"/>
      <c r="OSB68" s="8"/>
      <c r="OSC68" s="8"/>
      <c r="OSD68" s="8"/>
      <c r="OSE68" s="8"/>
      <c r="OSF68" s="8"/>
      <c r="OSG68" s="8"/>
      <c r="OSH68" s="8"/>
      <c r="OSI68" s="8"/>
      <c r="OSJ68" s="8"/>
      <c r="OSK68" s="8"/>
      <c r="OSL68" s="8"/>
      <c r="OSM68" s="8"/>
      <c r="OSN68" s="8"/>
      <c r="OSO68" s="8"/>
      <c r="OSP68" s="8"/>
      <c r="OSQ68" s="8"/>
      <c r="OSR68" s="8"/>
      <c r="OSS68" s="8"/>
      <c r="OST68" s="8"/>
      <c r="OSU68" s="8"/>
      <c r="OSV68" s="8"/>
      <c r="OSW68" s="8"/>
      <c r="OSX68" s="8"/>
      <c r="OSY68" s="8"/>
      <c r="OSZ68" s="8"/>
      <c r="OTA68" s="8"/>
      <c r="OTB68" s="8"/>
      <c r="OTC68" s="8"/>
      <c r="OTD68" s="8"/>
      <c r="OTE68" s="8"/>
      <c r="OTF68" s="8"/>
      <c r="OTG68" s="8"/>
      <c r="OTH68" s="8"/>
      <c r="OTI68" s="8"/>
      <c r="OTJ68" s="8"/>
      <c r="OTK68" s="8"/>
      <c r="OTL68" s="8"/>
      <c r="OTM68" s="8"/>
      <c r="OTN68" s="8"/>
      <c r="OTO68" s="8"/>
      <c r="OTP68" s="8"/>
      <c r="OTQ68" s="8"/>
      <c r="OTR68" s="8"/>
      <c r="OTS68" s="8"/>
      <c r="OTT68" s="8"/>
      <c r="OTU68" s="8"/>
      <c r="OTV68" s="8"/>
      <c r="OTW68" s="8"/>
      <c r="OTX68" s="8"/>
      <c r="OTY68" s="8"/>
      <c r="OTZ68" s="8"/>
      <c r="OUA68" s="8"/>
      <c r="OUB68" s="8"/>
      <c r="OUC68" s="8"/>
      <c r="OUD68" s="8"/>
      <c r="OUE68" s="8"/>
      <c r="OUF68" s="8"/>
      <c r="OUG68" s="8"/>
      <c r="OUH68" s="8"/>
      <c r="OUI68" s="8"/>
      <c r="OUJ68" s="8"/>
      <c r="OUK68" s="8"/>
      <c r="OUL68" s="8"/>
      <c r="OUM68" s="8"/>
      <c r="OUN68" s="8"/>
      <c r="OUO68" s="8"/>
      <c r="OUP68" s="8"/>
      <c r="OUQ68" s="8"/>
      <c r="OUR68" s="8"/>
      <c r="OUS68" s="8"/>
      <c r="OUT68" s="8"/>
      <c r="OUU68" s="8"/>
      <c r="OUV68" s="8"/>
      <c r="OUW68" s="8"/>
      <c r="OUX68" s="8"/>
      <c r="OUY68" s="8"/>
      <c r="OUZ68" s="8"/>
      <c r="OVA68" s="8"/>
      <c r="OVB68" s="8"/>
      <c r="OVC68" s="8"/>
      <c r="OVD68" s="8"/>
      <c r="OVE68" s="8"/>
      <c r="OVF68" s="8"/>
      <c r="OVG68" s="8"/>
      <c r="OVH68" s="8"/>
      <c r="OVI68" s="8"/>
      <c r="OVJ68" s="8"/>
      <c r="OVK68" s="8"/>
      <c r="OVL68" s="8"/>
      <c r="OVM68" s="8"/>
      <c r="OVN68" s="8"/>
      <c r="OVO68" s="8"/>
      <c r="OVP68" s="8"/>
      <c r="OVQ68" s="8"/>
      <c r="OVR68" s="8"/>
      <c r="OVS68" s="8"/>
      <c r="OVT68" s="8"/>
      <c r="OVU68" s="8"/>
      <c r="OVV68" s="8"/>
      <c r="OVW68" s="8"/>
      <c r="OVX68" s="8"/>
      <c r="OVY68" s="8"/>
      <c r="OVZ68" s="8"/>
      <c r="OWA68" s="8"/>
      <c r="OWB68" s="8"/>
      <c r="OWC68" s="8"/>
      <c r="OWD68" s="8"/>
      <c r="OWE68" s="8"/>
      <c r="OWF68" s="8"/>
      <c r="OWG68" s="8"/>
      <c r="OWH68" s="8"/>
      <c r="OWI68" s="8"/>
      <c r="OWJ68" s="8"/>
      <c r="OWK68" s="8"/>
      <c r="OWL68" s="8"/>
      <c r="OWM68" s="8"/>
      <c r="OWN68" s="8"/>
      <c r="OWO68" s="8"/>
      <c r="OWP68" s="8"/>
      <c r="OWQ68" s="8"/>
      <c r="OWR68" s="8"/>
      <c r="OWS68" s="8"/>
      <c r="OWT68" s="8"/>
      <c r="OWU68" s="8"/>
      <c r="OWV68" s="8"/>
      <c r="OWW68" s="8"/>
      <c r="OWX68" s="8"/>
      <c r="OWY68" s="8"/>
      <c r="OWZ68" s="8"/>
      <c r="OXA68" s="8"/>
      <c r="OXB68" s="8"/>
      <c r="OXC68" s="8"/>
      <c r="OXD68" s="8"/>
      <c r="OXE68" s="8"/>
      <c r="OXF68" s="8"/>
      <c r="OXG68" s="8"/>
      <c r="OXH68" s="8"/>
      <c r="OXI68" s="8"/>
      <c r="OXJ68" s="8"/>
      <c r="OXK68" s="8"/>
      <c r="OXL68" s="8"/>
      <c r="OXM68" s="8"/>
      <c r="OXN68" s="8"/>
      <c r="OXO68" s="8"/>
      <c r="OXP68" s="8"/>
      <c r="OXQ68" s="8"/>
      <c r="OXR68" s="8"/>
      <c r="OXS68" s="8"/>
      <c r="OXT68" s="8"/>
      <c r="OXU68" s="8"/>
      <c r="OXV68" s="8"/>
      <c r="OXW68" s="8"/>
      <c r="OXX68" s="8"/>
      <c r="OXY68" s="8"/>
      <c r="OXZ68" s="8"/>
      <c r="OYA68" s="8"/>
      <c r="OYB68" s="8"/>
      <c r="OYC68" s="8"/>
      <c r="OYD68" s="8"/>
      <c r="OYE68" s="8"/>
      <c r="OYF68" s="8"/>
      <c r="OYG68" s="8"/>
      <c r="OYH68" s="8"/>
      <c r="OYI68" s="8"/>
      <c r="OYJ68" s="8"/>
      <c r="OYK68" s="8"/>
      <c r="OYL68" s="8"/>
      <c r="OYM68" s="8"/>
      <c r="OYN68" s="8"/>
      <c r="OYO68" s="8"/>
      <c r="OYP68" s="8"/>
      <c r="OYQ68" s="8"/>
      <c r="OYR68" s="8"/>
      <c r="OYS68" s="8"/>
      <c r="OYT68" s="8"/>
      <c r="OYU68" s="8"/>
      <c r="OYV68" s="8"/>
      <c r="OYW68" s="8"/>
      <c r="OYX68" s="8"/>
      <c r="OYY68" s="8"/>
      <c r="OYZ68" s="8"/>
      <c r="OZA68" s="8"/>
      <c r="OZB68" s="8"/>
      <c r="OZC68" s="8"/>
      <c r="OZD68" s="8"/>
      <c r="OZE68" s="8"/>
      <c r="OZF68" s="8"/>
      <c r="OZG68" s="8"/>
      <c r="OZH68" s="8"/>
      <c r="OZI68" s="8"/>
      <c r="OZJ68" s="8"/>
      <c r="OZK68" s="8"/>
      <c r="OZL68" s="8"/>
      <c r="OZM68" s="8"/>
      <c r="OZN68" s="8"/>
      <c r="OZO68" s="8"/>
      <c r="OZP68" s="8"/>
      <c r="OZQ68" s="8"/>
      <c r="OZR68" s="8"/>
      <c r="OZS68" s="8"/>
      <c r="OZT68" s="8"/>
      <c r="OZU68" s="8"/>
      <c r="OZV68" s="8"/>
      <c r="OZW68" s="8"/>
      <c r="OZX68" s="8"/>
      <c r="OZY68" s="8"/>
      <c r="OZZ68" s="8"/>
      <c r="PAA68" s="8"/>
      <c r="PAB68" s="8"/>
      <c r="PAC68" s="8"/>
      <c r="PAD68" s="8"/>
      <c r="PAE68" s="8"/>
      <c r="PAF68" s="8"/>
      <c r="PAG68" s="8"/>
      <c r="PAH68" s="8"/>
      <c r="PAI68" s="8"/>
      <c r="PAJ68" s="8"/>
      <c r="PAK68" s="8"/>
      <c r="PAL68" s="8"/>
      <c r="PAM68" s="8"/>
      <c r="PAN68" s="8"/>
      <c r="PAO68" s="8"/>
      <c r="PAP68" s="8"/>
      <c r="PAQ68" s="8"/>
      <c r="PAR68" s="8"/>
      <c r="PAS68" s="8"/>
      <c r="PAT68" s="8"/>
      <c r="PAU68" s="8"/>
      <c r="PAV68" s="8"/>
      <c r="PAW68" s="8"/>
      <c r="PAX68" s="8"/>
      <c r="PAY68" s="8"/>
      <c r="PAZ68" s="8"/>
      <c r="PBA68" s="8"/>
      <c r="PBB68" s="8"/>
      <c r="PBC68" s="8"/>
      <c r="PBD68" s="8"/>
      <c r="PBE68" s="8"/>
      <c r="PBF68" s="8"/>
      <c r="PBG68" s="8"/>
      <c r="PBH68" s="8"/>
      <c r="PBI68" s="8"/>
      <c r="PBJ68" s="8"/>
      <c r="PBK68" s="8"/>
      <c r="PBL68" s="8"/>
      <c r="PBM68" s="8"/>
      <c r="PBN68" s="8"/>
      <c r="PBO68" s="8"/>
      <c r="PBP68" s="8"/>
      <c r="PBQ68" s="8"/>
      <c r="PBR68" s="8"/>
      <c r="PBS68" s="8"/>
      <c r="PBT68" s="8"/>
      <c r="PBU68" s="8"/>
      <c r="PBV68" s="8"/>
      <c r="PBW68" s="8"/>
      <c r="PBX68" s="8"/>
      <c r="PBY68" s="8"/>
      <c r="PBZ68" s="8"/>
      <c r="PCA68" s="8"/>
      <c r="PCB68" s="8"/>
      <c r="PCC68" s="8"/>
      <c r="PCD68" s="8"/>
      <c r="PCE68" s="8"/>
      <c r="PCF68" s="8"/>
      <c r="PCG68" s="8"/>
      <c r="PCH68" s="8"/>
      <c r="PCI68" s="8"/>
      <c r="PCJ68" s="8"/>
      <c r="PCK68" s="8"/>
      <c r="PCL68" s="8"/>
      <c r="PCM68" s="8"/>
      <c r="PCN68" s="8"/>
      <c r="PCO68" s="8"/>
      <c r="PCP68" s="8"/>
      <c r="PCQ68" s="8"/>
      <c r="PCR68" s="8"/>
      <c r="PCS68" s="8"/>
      <c r="PCT68" s="8"/>
      <c r="PCU68" s="8"/>
      <c r="PCV68" s="8"/>
      <c r="PCW68" s="8"/>
      <c r="PCX68" s="8"/>
      <c r="PCY68" s="8"/>
      <c r="PCZ68" s="8"/>
      <c r="PDA68" s="8"/>
      <c r="PDB68" s="8"/>
      <c r="PDC68" s="8"/>
      <c r="PDD68" s="8"/>
      <c r="PDE68" s="8"/>
      <c r="PDF68" s="8"/>
      <c r="PDG68" s="8"/>
      <c r="PDH68" s="8"/>
      <c r="PDI68" s="8"/>
      <c r="PDJ68" s="8"/>
      <c r="PDK68" s="8"/>
      <c r="PDL68" s="8"/>
      <c r="PDM68" s="8"/>
      <c r="PDN68" s="8"/>
      <c r="PDO68" s="8"/>
      <c r="PDP68" s="8"/>
      <c r="PDQ68" s="8"/>
      <c r="PDR68" s="8"/>
      <c r="PDS68" s="8"/>
      <c r="PDT68" s="8"/>
      <c r="PDU68" s="8"/>
      <c r="PDV68" s="8"/>
      <c r="PDW68" s="8"/>
      <c r="PDX68" s="8"/>
      <c r="PDY68" s="8"/>
      <c r="PDZ68" s="8"/>
      <c r="PEA68" s="8"/>
      <c r="PEB68" s="8"/>
      <c r="PEC68" s="8"/>
      <c r="PED68" s="8"/>
      <c r="PEE68" s="8"/>
      <c r="PEF68" s="8"/>
      <c r="PEG68" s="8"/>
      <c r="PEH68" s="8"/>
      <c r="PEI68" s="8"/>
      <c r="PEJ68" s="8"/>
      <c r="PEK68" s="8"/>
      <c r="PEL68" s="8"/>
      <c r="PEM68" s="8"/>
      <c r="PEN68" s="8"/>
      <c r="PEO68" s="8"/>
      <c r="PEP68" s="8"/>
      <c r="PEQ68" s="8"/>
      <c r="PER68" s="8"/>
      <c r="PES68" s="8"/>
      <c r="PET68" s="8"/>
      <c r="PEU68" s="8"/>
      <c r="PEV68" s="8"/>
      <c r="PEW68" s="8"/>
      <c r="PEX68" s="8"/>
      <c r="PEY68" s="8"/>
      <c r="PEZ68" s="8"/>
      <c r="PFA68" s="8"/>
      <c r="PFB68" s="8"/>
      <c r="PFC68" s="8"/>
      <c r="PFD68" s="8"/>
      <c r="PFE68" s="8"/>
      <c r="PFF68" s="8"/>
      <c r="PFG68" s="8"/>
      <c r="PFH68" s="8"/>
      <c r="PFI68" s="8"/>
      <c r="PFJ68" s="8"/>
      <c r="PFK68" s="8"/>
      <c r="PFL68" s="8"/>
      <c r="PFM68" s="8"/>
      <c r="PFN68" s="8"/>
      <c r="PFO68" s="8"/>
      <c r="PFP68" s="8"/>
      <c r="PFQ68" s="8"/>
      <c r="PFR68" s="8"/>
      <c r="PFS68" s="8"/>
      <c r="PFT68" s="8"/>
      <c r="PFU68" s="8"/>
      <c r="PFV68" s="8"/>
      <c r="PFW68" s="8"/>
      <c r="PFX68" s="8"/>
      <c r="PFY68" s="8"/>
      <c r="PFZ68" s="8"/>
      <c r="PGA68" s="8"/>
      <c r="PGB68" s="8"/>
      <c r="PGC68" s="8"/>
      <c r="PGD68" s="8"/>
      <c r="PGE68" s="8"/>
      <c r="PGF68" s="8"/>
      <c r="PGG68" s="8"/>
      <c r="PGH68" s="8"/>
      <c r="PGI68" s="8"/>
      <c r="PGJ68" s="8"/>
      <c r="PGK68" s="8"/>
      <c r="PGL68" s="8"/>
      <c r="PGM68" s="8"/>
      <c r="PGN68" s="8"/>
      <c r="PGO68" s="8"/>
      <c r="PGP68" s="8"/>
      <c r="PGQ68" s="8"/>
      <c r="PGR68" s="8"/>
      <c r="PGS68" s="8"/>
      <c r="PGT68" s="8"/>
      <c r="PGU68" s="8"/>
      <c r="PGV68" s="8"/>
      <c r="PGW68" s="8"/>
      <c r="PGX68" s="8"/>
      <c r="PGY68" s="8"/>
      <c r="PGZ68" s="8"/>
      <c r="PHA68" s="8"/>
      <c r="PHB68" s="8"/>
      <c r="PHC68" s="8"/>
      <c r="PHD68" s="8"/>
      <c r="PHE68" s="8"/>
      <c r="PHF68" s="8"/>
      <c r="PHG68" s="8"/>
      <c r="PHH68" s="8"/>
      <c r="PHI68" s="8"/>
      <c r="PHJ68" s="8"/>
      <c r="PHK68" s="8"/>
      <c r="PHL68" s="8"/>
      <c r="PHM68" s="8"/>
      <c r="PHN68" s="8"/>
      <c r="PHO68" s="8"/>
      <c r="PHP68" s="8"/>
      <c r="PHQ68" s="8"/>
      <c r="PHR68" s="8"/>
      <c r="PHS68" s="8"/>
      <c r="PHT68" s="8"/>
      <c r="PHU68" s="8"/>
      <c r="PHV68" s="8"/>
      <c r="PHW68" s="8"/>
      <c r="PHX68" s="8"/>
      <c r="PHY68" s="8"/>
      <c r="PHZ68" s="8"/>
      <c r="PIA68" s="8"/>
      <c r="PIB68" s="8"/>
      <c r="PIC68" s="8"/>
      <c r="PID68" s="8"/>
      <c r="PIE68" s="8"/>
      <c r="PIF68" s="8"/>
      <c r="PIG68" s="8"/>
      <c r="PIH68" s="8"/>
      <c r="PII68" s="8"/>
      <c r="PIJ68" s="8"/>
      <c r="PIK68" s="8"/>
      <c r="PIL68" s="8"/>
      <c r="PIM68" s="8"/>
      <c r="PIN68" s="8"/>
      <c r="PIO68" s="8"/>
      <c r="PIP68" s="8"/>
      <c r="PIQ68" s="8"/>
      <c r="PIR68" s="8"/>
      <c r="PIS68" s="8"/>
      <c r="PIT68" s="8"/>
      <c r="PIU68" s="8"/>
      <c r="PIV68" s="8"/>
      <c r="PIW68" s="8"/>
      <c r="PIX68" s="8"/>
      <c r="PIY68" s="8"/>
      <c r="PIZ68" s="8"/>
      <c r="PJA68" s="8"/>
      <c r="PJB68" s="8"/>
      <c r="PJC68" s="8"/>
      <c r="PJD68" s="8"/>
      <c r="PJE68" s="8"/>
      <c r="PJF68" s="8"/>
      <c r="PJG68" s="8"/>
      <c r="PJH68" s="8"/>
      <c r="PJI68" s="8"/>
      <c r="PJJ68" s="8"/>
      <c r="PJK68" s="8"/>
      <c r="PJL68" s="8"/>
      <c r="PJM68" s="8"/>
      <c r="PJN68" s="8"/>
      <c r="PJO68" s="8"/>
      <c r="PJP68" s="8"/>
      <c r="PJQ68" s="8"/>
      <c r="PJR68" s="8"/>
      <c r="PJS68" s="8"/>
      <c r="PJT68" s="8"/>
      <c r="PJU68" s="8"/>
      <c r="PJV68" s="8"/>
      <c r="PJW68" s="8"/>
      <c r="PJX68" s="8"/>
      <c r="PJY68" s="8"/>
      <c r="PJZ68" s="8"/>
      <c r="PKA68" s="8"/>
      <c r="PKB68" s="8"/>
      <c r="PKC68" s="8"/>
      <c r="PKD68" s="8"/>
      <c r="PKE68" s="8"/>
      <c r="PKF68" s="8"/>
      <c r="PKG68" s="8"/>
      <c r="PKH68" s="8"/>
      <c r="PKI68" s="8"/>
      <c r="PKJ68" s="8"/>
      <c r="PKK68" s="8"/>
      <c r="PKL68" s="8"/>
      <c r="PKM68" s="8"/>
      <c r="PKN68" s="8"/>
      <c r="PKO68" s="8"/>
      <c r="PKP68" s="8"/>
      <c r="PKQ68" s="8"/>
      <c r="PKR68" s="8"/>
      <c r="PKS68" s="8"/>
      <c r="PKT68" s="8"/>
      <c r="PKU68" s="8"/>
      <c r="PKV68" s="8"/>
      <c r="PKW68" s="8"/>
      <c r="PKX68" s="8"/>
      <c r="PKY68" s="8"/>
      <c r="PKZ68" s="8"/>
      <c r="PLA68" s="8"/>
      <c r="PLB68" s="8"/>
      <c r="PLC68" s="8"/>
      <c r="PLD68" s="8"/>
      <c r="PLE68" s="8"/>
      <c r="PLF68" s="8"/>
      <c r="PLG68" s="8"/>
      <c r="PLH68" s="8"/>
      <c r="PLI68" s="8"/>
      <c r="PLJ68" s="8"/>
      <c r="PLK68" s="8"/>
      <c r="PLL68" s="8"/>
      <c r="PLM68" s="8"/>
      <c r="PLN68" s="8"/>
      <c r="PLO68" s="8"/>
      <c r="PLP68" s="8"/>
      <c r="PLQ68" s="8"/>
      <c r="PLR68" s="8"/>
      <c r="PLS68" s="8"/>
      <c r="PLT68" s="8"/>
      <c r="PLU68" s="8"/>
      <c r="PLV68" s="8"/>
      <c r="PLW68" s="8"/>
      <c r="PLX68" s="8"/>
      <c r="PLY68" s="8"/>
      <c r="PLZ68" s="8"/>
      <c r="PMA68" s="8"/>
      <c r="PMB68" s="8"/>
      <c r="PMC68" s="8"/>
      <c r="PMD68" s="8"/>
      <c r="PME68" s="8"/>
      <c r="PMF68" s="8"/>
      <c r="PMG68" s="8"/>
      <c r="PMH68" s="8"/>
      <c r="PMI68" s="8"/>
      <c r="PMJ68" s="8"/>
      <c r="PMK68" s="8"/>
      <c r="PML68" s="8"/>
      <c r="PMM68" s="8"/>
      <c r="PMN68" s="8"/>
      <c r="PMO68" s="8"/>
      <c r="PMP68" s="8"/>
      <c r="PMQ68" s="8"/>
      <c r="PMR68" s="8"/>
      <c r="PMS68" s="8"/>
      <c r="PMT68" s="8"/>
      <c r="PMU68" s="8"/>
      <c r="PMV68" s="8"/>
      <c r="PMW68" s="8"/>
      <c r="PMX68" s="8"/>
      <c r="PMY68" s="8"/>
      <c r="PMZ68" s="8"/>
      <c r="PNA68" s="8"/>
      <c r="PNB68" s="8"/>
      <c r="PNC68" s="8"/>
      <c r="PND68" s="8"/>
      <c r="PNE68" s="8"/>
      <c r="PNF68" s="8"/>
      <c r="PNG68" s="8"/>
      <c r="PNH68" s="8"/>
      <c r="PNI68" s="8"/>
      <c r="PNJ68" s="8"/>
      <c r="PNK68" s="8"/>
      <c r="PNL68" s="8"/>
      <c r="PNM68" s="8"/>
      <c r="PNN68" s="8"/>
      <c r="PNO68" s="8"/>
      <c r="PNP68" s="8"/>
      <c r="PNQ68" s="8"/>
      <c r="PNR68" s="8"/>
      <c r="PNS68" s="8"/>
      <c r="PNT68" s="8"/>
      <c r="PNU68" s="8"/>
      <c r="PNV68" s="8"/>
      <c r="PNW68" s="8"/>
      <c r="PNX68" s="8"/>
      <c r="PNY68" s="8"/>
      <c r="PNZ68" s="8"/>
      <c r="POA68" s="8"/>
      <c r="POB68" s="8"/>
      <c r="POC68" s="8"/>
      <c r="POD68" s="8"/>
      <c r="POE68" s="8"/>
      <c r="POF68" s="8"/>
      <c r="POG68" s="8"/>
      <c r="POH68" s="8"/>
      <c r="POI68" s="8"/>
      <c r="POJ68" s="8"/>
      <c r="POK68" s="8"/>
      <c r="POL68" s="8"/>
      <c r="POM68" s="8"/>
      <c r="PON68" s="8"/>
      <c r="POO68" s="8"/>
      <c r="POP68" s="8"/>
      <c r="POQ68" s="8"/>
      <c r="POR68" s="8"/>
      <c r="POS68" s="8"/>
      <c r="POT68" s="8"/>
      <c r="POU68" s="8"/>
      <c r="POV68" s="8"/>
      <c r="POW68" s="8"/>
      <c r="POX68" s="8"/>
      <c r="POY68" s="8"/>
      <c r="POZ68" s="8"/>
      <c r="PPA68" s="8"/>
      <c r="PPB68" s="8"/>
      <c r="PPC68" s="8"/>
      <c r="PPD68" s="8"/>
      <c r="PPE68" s="8"/>
      <c r="PPF68" s="8"/>
      <c r="PPG68" s="8"/>
      <c r="PPH68" s="8"/>
      <c r="PPI68" s="8"/>
      <c r="PPJ68" s="8"/>
      <c r="PPK68" s="8"/>
      <c r="PPL68" s="8"/>
      <c r="PPM68" s="8"/>
      <c r="PPN68" s="8"/>
      <c r="PPO68" s="8"/>
      <c r="PPP68" s="8"/>
      <c r="PPQ68" s="8"/>
      <c r="PPR68" s="8"/>
      <c r="PPS68" s="8"/>
      <c r="PPT68" s="8"/>
      <c r="PPU68" s="8"/>
      <c r="PPV68" s="8"/>
      <c r="PPW68" s="8"/>
      <c r="PPX68" s="8"/>
      <c r="PPY68" s="8"/>
      <c r="PPZ68" s="8"/>
      <c r="PQA68" s="8"/>
      <c r="PQB68" s="8"/>
      <c r="PQC68" s="8"/>
      <c r="PQD68" s="8"/>
      <c r="PQE68" s="8"/>
      <c r="PQF68" s="8"/>
      <c r="PQG68" s="8"/>
      <c r="PQH68" s="8"/>
      <c r="PQI68" s="8"/>
      <c r="PQJ68" s="8"/>
      <c r="PQK68" s="8"/>
      <c r="PQL68" s="8"/>
      <c r="PQM68" s="8"/>
      <c r="PQN68" s="8"/>
      <c r="PQO68" s="8"/>
      <c r="PQP68" s="8"/>
      <c r="PQQ68" s="8"/>
      <c r="PQR68" s="8"/>
      <c r="PQS68" s="8"/>
      <c r="PQT68" s="8"/>
      <c r="PQU68" s="8"/>
      <c r="PQV68" s="8"/>
      <c r="PQW68" s="8"/>
      <c r="PQX68" s="8"/>
      <c r="PQY68" s="8"/>
      <c r="PQZ68" s="8"/>
      <c r="PRA68" s="8"/>
      <c r="PRB68" s="8"/>
      <c r="PRC68" s="8"/>
      <c r="PRD68" s="8"/>
      <c r="PRE68" s="8"/>
      <c r="PRF68" s="8"/>
      <c r="PRG68" s="8"/>
      <c r="PRH68" s="8"/>
      <c r="PRI68" s="8"/>
      <c r="PRJ68" s="8"/>
      <c r="PRK68" s="8"/>
      <c r="PRL68" s="8"/>
      <c r="PRM68" s="8"/>
      <c r="PRN68" s="8"/>
      <c r="PRO68" s="8"/>
      <c r="PRP68" s="8"/>
      <c r="PRQ68" s="8"/>
      <c r="PRR68" s="8"/>
      <c r="PRS68" s="8"/>
      <c r="PRT68" s="8"/>
      <c r="PRU68" s="8"/>
      <c r="PRV68" s="8"/>
      <c r="PRW68" s="8"/>
      <c r="PRX68" s="8"/>
      <c r="PRY68" s="8"/>
      <c r="PRZ68" s="8"/>
      <c r="PSA68" s="8"/>
      <c r="PSB68" s="8"/>
      <c r="PSC68" s="8"/>
      <c r="PSD68" s="8"/>
      <c r="PSE68" s="8"/>
      <c r="PSF68" s="8"/>
      <c r="PSG68" s="8"/>
      <c r="PSH68" s="8"/>
      <c r="PSI68" s="8"/>
      <c r="PSJ68" s="8"/>
      <c r="PSK68" s="8"/>
      <c r="PSL68" s="8"/>
      <c r="PSM68" s="8"/>
      <c r="PSN68" s="8"/>
      <c r="PSO68" s="8"/>
      <c r="PSP68" s="8"/>
      <c r="PSQ68" s="8"/>
      <c r="PSR68" s="8"/>
      <c r="PSS68" s="8"/>
      <c r="PST68" s="8"/>
      <c r="PSU68" s="8"/>
      <c r="PSV68" s="8"/>
      <c r="PSW68" s="8"/>
      <c r="PSX68" s="8"/>
      <c r="PSY68" s="8"/>
      <c r="PSZ68" s="8"/>
      <c r="PTA68" s="8"/>
      <c r="PTB68" s="8"/>
      <c r="PTC68" s="8"/>
      <c r="PTD68" s="8"/>
      <c r="PTE68" s="8"/>
      <c r="PTF68" s="8"/>
      <c r="PTG68" s="8"/>
      <c r="PTH68" s="8"/>
      <c r="PTI68" s="8"/>
      <c r="PTJ68" s="8"/>
      <c r="PTK68" s="8"/>
      <c r="PTL68" s="8"/>
      <c r="PTM68" s="8"/>
      <c r="PTN68" s="8"/>
      <c r="PTO68" s="8"/>
      <c r="PTP68" s="8"/>
      <c r="PTQ68" s="8"/>
      <c r="PTR68" s="8"/>
      <c r="PTS68" s="8"/>
      <c r="PTT68" s="8"/>
      <c r="PTU68" s="8"/>
      <c r="PTV68" s="8"/>
      <c r="PTW68" s="8"/>
      <c r="PTX68" s="8"/>
      <c r="PTY68" s="8"/>
      <c r="PTZ68" s="8"/>
      <c r="PUA68" s="8"/>
      <c r="PUB68" s="8"/>
      <c r="PUC68" s="8"/>
      <c r="PUD68" s="8"/>
      <c r="PUE68" s="8"/>
      <c r="PUF68" s="8"/>
      <c r="PUG68" s="8"/>
      <c r="PUH68" s="8"/>
      <c r="PUI68" s="8"/>
      <c r="PUJ68" s="8"/>
      <c r="PUK68" s="8"/>
      <c r="PUL68" s="8"/>
      <c r="PUM68" s="8"/>
      <c r="PUN68" s="8"/>
      <c r="PUO68" s="8"/>
      <c r="PUP68" s="8"/>
      <c r="PUQ68" s="8"/>
      <c r="PUR68" s="8"/>
      <c r="PUS68" s="8"/>
      <c r="PUT68" s="8"/>
      <c r="PUU68" s="8"/>
      <c r="PUV68" s="8"/>
      <c r="PUW68" s="8"/>
      <c r="PUX68" s="8"/>
      <c r="PUY68" s="8"/>
      <c r="PUZ68" s="8"/>
      <c r="PVA68" s="8"/>
      <c r="PVB68" s="8"/>
      <c r="PVC68" s="8"/>
      <c r="PVD68" s="8"/>
      <c r="PVE68" s="8"/>
      <c r="PVF68" s="8"/>
      <c r="PVG68" s="8"/>
      <c r="PVH68" s="8"/>
      <c r="PVI68" s="8"/>
      <c r="PVJ68" s="8"/>
      <c r="PVK68" s="8"/>
      <c r="PVL68" s="8"/>
      <c r="PVM68" s="8"/>
      <c r="PVN68" s="8"/>
      <c r="PVO68" s="8"/>
      <c r="PVP68" s="8"/>
      <c r="PVQ68" s="8"/>
      <c r="PVR68" s="8"/>
      <c r="PVS68" s="8"/>
      <c r="PVT68" s="8"/>
      <c r="PVU68" s="8"/>
      <c r="PVV68" s="8"/>
      <c r="PVW68" s="8"/>
      <c r="PVX68" s="8"/>
      <c r="PVY68" s="8"/>
      <c r="PVZ68" s="8"/>
      <c r="PWA68" s="8"/>
      <c r="PWB68" s="8"/>
      <c r="PWC68" s="8"/>
      <c r="PWD68" s="8"/>
      <c r="PWE68" s="8"/>
      <c r="PWF68" s="8"/>
      <c r="PWG68" s="8"/>
      <c r="PWH68" s="8"/>
      <c r="PWI68" s="8"/>
      <c r="PWJ68" s="8"/>
      <c r="PWK68" s="8"/>
      <c r="PWL68" s="8"/>
      <c r="PWM68" s="8"/>
      <c r="PWN68" s="8"/>
      <c r="PWO68" s="8"/>
      <c r="PWP68" s="8"/>
      <c r="PWQ68" s="8"/>
      <c r="PWR68" s="8"/>
      <c r="PWS68" s="8"/>
      <c r="PWT68" s="8"/>
      <c r="PWU68" s="8"/>
      <c r="PWV68" s="8"/>
      <c r="PWW68" s="8"/>
      <c r="PWX68" s="8"/>
      <c r="PWY68" s="8"/>
      <c r="PWZ68" s="8"/>
      <c r="PXA68" s="8"/>
      <c r="PXB68" s="8"/>
      <c r="PXC68" s="8"/>
      <c r="PXD68" s="8"/>
      <c r="PXE68" s="8"/>
      <c r="PXF68" s="8"/>
      <c r="PXG68" s="8"/>
      <c r="PXH68" s="8"/>
      <c r="PXI68" s="8"/>
      <c r="PXJ68" s="8"/>
      <c r="PXK68" s="8"/>
      <c r="PXL68" s="8"/>
      <c r="PXM68" s="8"/>
      <c r="PXN68" s="8"/>
      <c r="PXO68" s="8"/>
      <c r="PXP68" s="8"/>
      <c r="PXQ68" s="8"/>
      <c r="PXR68" s="8"/>
      <c r="PXS68" s="8"/>
      <c r="PXT68" s="8"/>
      <c r="PXU68" s="8"/>
      <c r="PXV68" s="8"/>
      <c r="PXW68" s="8"/>
      <c r="PXX68" s="8"/>
      <c r="PXY68" s="8"/>
      <c r="PXZ68" s="8"/>
      <c r="PYA68" s="8"/>
      <c r="PYB68" s="8"/>
      <c r="PYC68" s="8"/>
      <c r="PYD68" s="8"/>
      <c r="PYE68" s="8"/>
      <c r="PYF68" s="8"/>
      <c r="PYG68" s="8"/>
      <c r="PYH68" s="8"/>
      <c r="PYI68" s="8"/>
      <c r="PYJ68" s="8"/>
      <c r="PYK68" s="8"/>
      <c r="PYL68" s="8"/>
      <c r="PYM68" s="8"/>
      <c r="PYN68" s="8"/>
      <c r="PYO68" s="8"/>
      <c r="PYP68" s="8"/>
      <c r="PYQ68" s="8"/>
      <c r="PYR68" s="8"/>
      <c r="PYS68" s="8"/>
      <c r="PYT68" s="8"/>
      <c r="PYU68" s="8"/>
      <c r="PYV68" s="8"/>
      <c r="PYW68" s="8"/>
      <c r="PYX68" s="8"/>
      <c r="PYY68" s="8"/>
      <c r="PYZ68" s="8"/>
      <c r="PZA68" s="8"/>
      <c r="PZB68" s="8"/>
      <c r="PZC68" s="8"/>
      <c r="PZD68" s="8"/>
      <c r="PZE68" s="8"/>
      <c r="PZF68" s="8"/>
      <c r="PZG68" s="8"/>
      <c r="PZH68" s="8"/>
      <c r="PZI68" s="8"/>
      <c r="PZJ68" s="8"/>
      <c r="PZK68" s="8"/>
      <c r="PZL68" s="8"/>
      <c r="PZM68" s="8"/>
      <c r="PZN68" s="8"/>
      <c r="PZO68" s="8"/>
      <c r="PZP68" s="8"/>
      <c r="PZQ68" s="8"/>
      <c r="PZR68" s="8"/>
      <c r="PZS68" s="8"/>
      <c r="PZT68" s="8"/>
      <c r="PZU68" s="8"/>
      <c r="PZV68" s="8"/>
      <c r="PZW68" s="8"/>
      <c r="PZX68" s="8"/>
      <c r="PZY68" s="8"/>
      <c r="PZZ68" s="8"/>
      <c r="QAA68" s="8"/>
      <c r="QAB68" s="8"/>
      <c r="QAC68" s="8"/>
      <c r="QAD68" s="8"/>
      <c r="QAE68" s="8"/>
      <c r="QAF68" s="8"/>
      <c r="QAG68" s="8"/>
      <c r="QAH68" s="8"/>
      <c r="QAI68" s="8"/>
      <c r="QAJ68" s="8"/>
      <c r="QAK68" s="8"/>
      <c r="QAL68" s="8"/>
      <c r="QAM68" s="8"/>
      <c r="QAN68" s="8"/>
      <c r="QAO68" s="8"/>
      <c r="QAP68" s="8"/>
      <c r="QAQ68" s="8"/>
      <c r="QAR68" s="8"/>
      <c r="QAS68" s="8"/>
      <c r="QAT68" s="8"/>
      <c r="QAU68" s="8"/>
      <c r="QAV68" s="8"/>
      <c r="QAW68" s="8"/>
      <c r="QAX68" s="8"/>
      <c r="QAY68" s="8"/>
      <c r="QAZ68" s="8"/>
      <c r="QBA68" s="8"/>
      <c r="QBB68" s="8"/>
      <c r="QBC68" s="8"/>
      <c r="QBD68" s="8"/>
      <c r="QBE68" s="8"/>
      <c r="QBF68" s="8"/>
      <c r="QBG68" s="8"/>
      <c r="QBH68" s="8"/>
      <c r="QBI68" s="8"/>
      <c r="QBJ68" s="8"/>
      <c r="QBK68" s="8"/>
      <c r="QBL68" s="8"/>
      <c r="QBM68" s="8"/>
      <c r="QBN68" s="8"/>
      <c r="QBO68" s="8"/>
      <c r="QBP68" s="8"/>
      <c r="QBQ68" s="8"/>
      <c r="QBR68" s="8"/>
      <c r="QBS68" s="8"/>
      <c r="QBT68" s="8"/>
      <c r="QBU68" s="8"/>
      <c r="QBV68" s="8"/>
      <c r="QBW68" s="8"/>
      <c r="QBX68" s="8"/>
      <c r="QBY68" s="8"/>
      <c r="QBZ68" s="8"/>
      <c r="QCA68" s="8"/>
      <c r="QCB68" s="8"/>
      <c r="QCC68" s="8"/>
      <c r="QCD68" s="8"/>
      <c r="QCE68" s="8"/>
      <c r="QCF68" s="8"/>
      <c r="QCG68" s="8"/>
      <c r="QCH68" s="8"/>
      <c r="QCI68" s="8"/>
      <c r="QCJ68" s="8"/>
      <c r="QCK68" s="8"/>
      <c r="QCL68" s="8"/>
      <c r="QCM68" s="8"/>
      <c r="QCN68" s="8"/>
      <c r="QCO68" s="8"/>
      <c r="QCP68" s="8"/>
      <c r="QCQ68" s="8"/>
      <c r="QCR68" s="8"/>
      <c r="QCS68" s="8"/>
      <c r="QCT68" s="8"/>
      <c r="QCU68" s="8"/>
      <c r="QCV68" s="8"/>
      <c r="QCW68" s="8"/>
      <c r="QCX68" s="8"/>
      <c r="QCY68" s="8"/>
      <c r="QCZ68" s="8"/>
      <c r="QDA68" s="8"/>
      <c r="QDB68" s="8"/>
      <c r="QDC68" s="8"/>
      <c r="QDD68" s="8"/>
      <c r="QDE68" s="8"/>
      <c r="QDF68" s="8"/>
      <c r="QDG68" s="8"/>
      <c r="QDH68" s="8"/>
      <c r="QDI68" s="8"/>
      <c r="QDJ68" s="8"/>
      <c r="QDK68" s="8"/>
      <c r="QDL68" s="8"/>
      <c r="QDM68" s="8"/>
      <c r="QDN68" s="8"/>
      <c r="QDO68" s="8"/>
      <c r="QDP68" s="8"/>
      <c r="QDQ68" s="8"/>
      <c r="QDR68" s="8"/>
      <c r="QDS68" s="8"/>
      <c r="QDT68" s="8"/>
      <c r="QDU68" s="8"/>
      <c r="QDV68" s="8"/>
      <c r="QDW68" s="8"/>
      <c r="QDX68" s="8"/>
      <c r="QDY68" s="8"/>
      <c r="QDZ68" s="8"/>
      <c r="QEA68" s="8"/>
      <c r="QEB68" s="8"/>
      <c r="QEC68" s="8"/>
      <c r="QED68" s="8"/>
      <c r="QEE68" s="8"/>
      <c r="QEF68" s="8"/>
      <c r="QEG68" s="8"/>
      <c r="QEH68" s="8"/>
      <c r="QEI68" s="8"/>
      <c r="QEJ68" s="8"/>
      <c r="QEK68" s="8"/>
      <c r="QEL68" s="8"/>
      <c r="QEM68" s="8"/>
      <c r="QEN68" s="8"/>
      <c r="QEO68" s="8"/>
      <c r="QEP68" s="8"/>
      <c r="QEQ68" s="8"/>
      <c r="QER68" s="8"/>
      <c r="QES68" s="8"/>
      <c r="QET68" s="8"/>
      <c r="QEU68" s="8"/>
      <c r="QEV68" s="8"/>
      <c r="QEW68" s="8"/>
      <c r="QEX68" s="8"/>
      <c r="QEY68" s="8"/>
      <c r="QEZ68" s="8"/>
      <c r="QFA68" s="8"/>
      <c r="QFB68" s="8"/>
      <c r="QFC68" s="8"/>
      <c r="QFD68" s="8"/>
      <c r="QFE68" s="8"/>
      <c r="QFF68" s="8"/>
      <c r="QFG68" s="8"/>
      <c r="QFH68" s="8"/>
      <c r="QFI68" s="8"/>
      <c r="QFJ68" s="8"/>
      <c r="QFK68" s="8"/>
      <c r="QFL68" s="8"/>
      <c r="QFM68" s="8"/>
      <c r="QFN68" s="8"/>
      <c r="QFO68" s="8"/>
      <c r="QFP68" s="8"/>
      <c r="QFQ68" s="8"/>
      <c r="QFR68" s="8"/>
      <c r="QFS68" s="8"/>
      <c r="QFT68" s="8"/>
      <c r="QFU68" s="8"/>
      <c r="QFV68" s="8"/>
      <c r="QFW68" s="8"/>
      <c r="QFX68" s="8"/>
      <c r="QFY68" s="8"/>
      <c r="QFZ68" s="8"/>
      <c r="QGA68" s="8"/>
      <c r="QGB68" s="8"/>
      <c r="QGC68" s="8"/>
      <c r="QGD68" s="8"/>
      <c r="QGE68" s="8"/>
      <c r="QGF68" s="8"/>
      <c r="QGG68" s="8"/>
      <c r="QGH68" s="8"/>
      <c r="QGI68" s="8"/>
      <c r="QGJ68" s="8"/>
      <c r="QGK68" s="8"/>
      <c r="QGL68" s="8"/>
      <c r="QGM68" s="8"/>
      <c r="QGN68" s="8"/>
      <c r="QGO68" s="8"/>
      <c r="QGP68" s="8"/>
      <c r="QGQ68" s="8"/>
      <c r="QGR68" s="8"/>
      <c r="QGS68" s="8"/>
      <c r="QGT68" s="8"/>
      <c r="QGU68" s="8"/>
      <c r="QGV68" s="8"/>
      <c r="QGW68" s="8"/>
      <c r="QGX68" s="8"/>
      <c r="QGY68" s="8"/>
      <c r="QGZ68" s="8"/>
      <c r="QHA68" s="8"/>
      <c r="QHB68" s="8"/>
      <c r="QHC68" s="8"/>
      <c r="QHD68" s="8"/>
      <c r="QHE68" s="8"/>
      <c r="QHF68" s="8"/>
      <c r="QHG68" s="8"/>
      <c r="QHH68" s="8"/>
      <c r="QHI68" s="8"/>
      <c r="QHJ68" s="8"/>
      <c r="QHK68" s="8"/>
      <c r="QHL68" s="8"/>
      <c r="QHM68" s="8"/>
      <c r="QHN68" s="8"/>
      <c r="QHO68" s="8"/>
      <c r="QHP68" s="8"/>
      <c r="QHQ68" s="8"/>
      <c r="QHR68" s="8"/>
      <c r="QHS68" s="8"/>
      <c r="QHT68" s="8"/>
      <c r="QHU68" s="8"/>
      <c r="QHV68" s="8"/>
      <c r="QHW68" s="8"/>
      <c r="QHX68" s="8"/>
      <c r="QHY68" s="8"/>
      <c r="QHZ68" s="8"/>
      <c r="QIA68" s="8"/>
      <c r="QIB68" s="8"/>
      <c r="QIC68" s="8"/>
      <c r="QID68" s="8"/>
      <c r="QIE68" s="8"/>
      <c r="QIF68" s="8"/>
      <c r="QIG68" s="8"/>
      <c r="QIH68" s="8"/>
      <c r="QII68" s="8"/>
      <c r="QIJ68" s="8"/>
      <c r="QIK68" s="8"/>
      <c r="QIL68" s="8"/>
      <c r="QIM68" s="8"/>
      <c r="QIN68" s="8"/>
      <c r="QIO68" s="8"/>
      <c r="QIP68" s="8"/>
      <c r="QIQ68" s="8"/>
      <c r="QIR68" s="8"/>
      <c r="QIS68" s="8"/>
      <c r="QIT68" s="8"/>
      <c r="QIU68" s="8"/>
      <c r="QIV68" s="8"/>
      <c r="QIW68" s="8"/>
      <c r="QIX68" s="8"/>
      <c r="QIY68" s="8"/>
      <c r="QIZ68" s="8"/>
      <c r="QJA68" s="8"/>
      <c r="QJB68" s="8"/>
      <c r="QJC68" s="8"/>
      <c r="QJD68" s="8"/>
      <c r="QJE68" s="8"/>
      <c r="QJF68" s="8"/>
      <c r="QJG68" s="8"/>
      <c r="QJH68" s="8"/>
      <c r="QJI68" s="8"/>
      <c r="QJJ68" s="8"/>
      <c r="QJK68" s="8"/>
      <c r="QJL68" s="8"/>
      <c r="QJM68" s="8"/>
      <c r="QJN68" s="8"/>
      <c r="QJO68" s="8"/>
      <c r="QJP68" s="8"/>
      <c r="QJQ68" s="8"/>
      <c r="QJR68" s="8"/>
      <c r="QJS68" s="8"/>
      <c r="QJT68" s="8"/>
      <c r="QJU68" s="8"/>
      <c r="QJV68" s="8"/>
      <c r="QJW68" s="8"/>
      <c r="QJX68" s="8"/>
      <c r="QJY68" s="8"/>
      <c r="QJZ68" s="8"/>
      <c r="QKA68" s="8"/>
      <c r="QKB68" s="8"/>
      <c r="QKC68" s="8"/>
      <c r="QKD68" s="8"/>
      <c r="QKE68" s="8"/>
      <c r="QKF68" s="8"/>
      <c r="QKG68" s="8"/>
      <c r="QKH68" s="8"/>
      <c r="QKI68" s="8"/>
      <c r="QKJ68" s="8"/>
      <c r="QKK68" s="8"/>
      <c r="QKL68" s="8"/>
      <c r="QKM68" s="8"/>
      <c r="QKN68" s="8"/>
      <c r="QKO68" s="8"/>
      <c r="QKP68" s="8"/>
      <c r="QKQ68" s="8"/>
      <c r="QKR68" s="8"/>
      <c r="QKS68" s="8"/>
      <c r="QKT68" s="8"/>
      <c r="QKU68" s="8"/>
      <c r="QKV68" s="8"/>
      <c r="QKW68" s="8"/>
      <c r="QKX68" s="8"/>
      <c r="QKY68" s="8"/>
      <c r="QKZ68" s="8"/>
      <c r="QLA68" s="8"/>
      <c r="QLB68" s="8"/>
      <c r="QLC68" s="8"/>
      <c r="QLD68" s="8"/>
      <c r="QLE68" s="8"/>
      <c r="QLF68" s="8"/>
      <c r="QLG68" s="8"/>
      <c r="QLH68" s="8"/>
      <c r="QLI68" s="8"/>
      <c r="QLJ68" s="8"/>
      <c r="QLK68" s="8"/>
      <c r="QLL68" s="8"/>
      <c r="QLM68" s="8"/>
      <c r="QLN68" s="8"/>
      <c r="QLO68" s="8"/>
      <c r="QLP68" s="8"/>
      <c r="QLQ68" s="8"/>
      <c r="QLR68" s="8"/>
      <c r="QLS68" s="8"/>
      <c r="QLT68" s="8"/>
      <c r="QLU68" s="8"/>
      <c r="QLV68" s="8"/>
      <c r="QLW68" s="8"/>
      <c r="QLX68" s="8"/>
      <c r="QLY68" s="8"/>
      <c r="QLZ68" s="8"/>
      <c r="QMA68" s="8"/>
      <c r="QMB68" s="8"/>
      <c r="QMC68" s="8"/>
      <c r="QMD68" s="8"/>
      <c r="QME68" s="8"/>
      <c r="QMF68" s="8"/>
      <c r="QMG68" s="8"/>
      <c r="QMH68" s="8"/>
      <c r="QMI68" s="8"/>
      <c r="QMJ68" s="8"/>
      <c r="QMK68" s="8"/>
      <c r="QML68" s="8"/>
      <c r="QMM68" s="8"/>
      <c r="QMN68" s="8"/>
      <c r="QMO68" s="8"/>
      <c r="QMP68" s="8"/>
      <c r="QMQ68" s="8"/>
      <c r="QMR68" s="8"/>
      <c r="QMS68" s="8"/>
      <c r="QMT68" s="8"/>
      <c r="QMU68" s="8"/>
      <c r="QMV68" s="8"/>
      <c r="QMW68" s="8"/>
      <c r="QMX68" s="8"/>
      <c r="QMY68" s="8"/>
      <c r="QMZ68" s="8"/>
      <c r="QNA68" s="8"/>
      <c r="QNB68" s="8"/>
      <c r="QNC68" s="8"/>
      <c r="QND68" s="8"/>
      <c r="QNE68" s="8"/>
      <c r="QNF68" s="8"/>
      <c r="QNG68" s="8"/>
      <c r="QNH68" s="8"/>
      <c r="QNI68" s="8"/>
      <c r="QNJ68" s="8"/>
      <c r="QNK68" s="8"/>
      <c r="QNL68" s="8"/>
      <c r="QNM68" s="8"/>
      <c r="QNN68" s="8"/>
      <c r="QNO68" s="8"/>
      <c r="QNP68" s="8"/>
      <c r="QNQ68" s="8"/>
      <c r="QNR68" s="8"/>
      <c r="QNS68" s="8"/>
      <c r="QNT68" s="8"/>
      <c r="QNU68" s="8"/>
      <c r="QNV68" s="8"/>
      <c r="QNW68" s="8"/>
      <c r="QNX68" s="8"/>
      <c r="QNY68" s="8"/>
      <c r="QNZ68" s="8"/>
      <c r="QOA68" s="8"/>
      <c r="QOB68" s="8"/>
      <c r="QOC68" s="8"/>
      <c r="QOD68" s="8"/>
      <c r="QOE68" s="8"/>
      <c r="QOF68" s="8"/>
      <c r="QOG68" s="8"/>
      <c r="QOH68" s="8"/>
      <c r="QOI68" s="8"/>
      <c r="QOJ68" s="8"/>
      <c r="QOK68" s="8"/>
      <c r="QOL68" s="8"/>
      <c r="QOM68" s="8"/>
      <c r="QON68" s="8"/>
      <c r="QOO68" s="8"/>
      <c r="QOP68" s="8"/>
      <c r="QOQ68" s="8"/>
      <c r="QOR68" s="8"/>
      <c r="QOS68" s="8"/>
      <c r="QOT68" s="8"/>
      <c r="QOU68" s="8"/>
      <c r="QOV68" s="8"/>
      <c r="QOW68" s="8"/>
      <c r="QOX68" s="8"/>
      <c r="QOY68" s="8"/>
      <c r="QOZ68" s="8"/>
      <c r="QPA68" s="8"/>
      <c r="QPB68" s="8"/>
      <c r="QPC68" s="8"/>
      <c r="QPD68" s="8"/>
      <c r="QPE68" s="8"/>
      <c r="QPF68" s="8"/>
      <c r="QPG68" s="8"/>
      <c r="QPH68" s="8"/>
      <c r="QPI68" s="8"/>
      <c r="QPJ68" s="8"/>
      <c r="QPK68" s="8"/>
      <c r="QPL68" s="8"/>
      <c r="QPM68" s="8"/>
      <c r="QPN68" s="8"/>
      <c r="QPO68" s="8"/>
      <c r="QPP68" s="8"/>
      <c r="QPQ68" s="8"/>
      <c r="QPR68" s="8"/>
      <c r="QPS68" s="8"/>
      <c r="QPT68" s="8"/>
      <c r="QPU68" s="8"/>
      <c r="QPV68" s="8"/>
      <c r="QPW68" s="8"/>
      <c r="QPX68" s="8"/>
      <c r="QPY68" s="8"/>
      <c r="QPZ68" s="8"/>
      <c r="QQA68" s="8"/>
      <c r="QQB68" s="8"/>
      <c r="QQC68" s="8"/>
      <c r="QQD68" s="8"/>
      <c r="QQE68" s="8"/>
      <c r="QQF68" s="8"/>
      <c r="QQG68" s="8"/>
      <c r="QQH68" s="8"/>
      <c r="QQI68" s="8"/>
      <c r="QQJ68" s="8"/>
      <c r="QQK68" s="8"/>
      <c r="QQL68" s="8"/>
      <c r="QQM68" s="8"/>
      <c r="QQN68" s="8"/>
      <c r="QQO68" s="8"/>
      <c r="QQP68" s="8"/>
      <c r="QQQ68" s="8"/>
      <c r="QQR68" s="8"/>
      <c r="QQS68" s="8"/>
      <c r="QQT68" s="8"/>
      <c r="QQU68" s="8"/>
      <c r="QQV68" s="8"/>
      <c r="QQW68" s="8"/>
      <c r="QQX68" s="8"/>
      <c r="QQY68" s="8"/>
      <c r="QQZ68" s="8"/>
      <c r="QRA68" s="8"/>
      <c r="QRB68" s="8"/>
      <c r="QRC68" s="8"/>
      <c r="QRD68" s="8"/>
      <c r="QRE68" s="8"/>
      <c r="QRF68" s="8"/>
      <c r="QRG68" s="8"/>
      <c r="QRH68" s="8"/>
      <c r="QRI68" s="8"/>
      <c r="QRJ68" s="8"/>
      <c r="QRK68" s="8"/>
      <c r="QRL68" s="8"/>
      <c r="QRM68" s="8"/>
      <c r="QRN68" s="8"/>
      <c r="QRO68" s="8"/>
      <c r="QRP68" s="8"/>
      <c r="QRQ68" s="8"/>
      <c r="QRR68" s="8"/>
      <c r="QRS68" s="8"/>
      <c r="QRT68" s="8"/>
      <c r="QRU68" s="8"/>
      <c r="QRV68" s="8"/>
      <c r="QRW68" s="8"/>
      <c r="QRX68" s="8"/>
      <c r="QRY68" s="8"/>
      <c r="QRZ68" s="8"/>
      <c r="QSA68" s="8"/>
      <c r="QSB68" s="8"/>
      <c r="QSC68" s="8"/>
      <c r="QSD68" s="8"/>
      <c r="QSE68" s="8"/>
      <c r="QSF68" s="8"/>
      <c r="QSG68" s="8"/>
      <c r="QSH68" s="8"/>
      <c r="QSI68" s="8"/>
      <c r="QSJ68" s="8"/>
      <c r="QSK68" s="8"/>
      <c r="QSL68" s="8"/>
      <c r="QSM68" s="8"/>
      <c r="QSN68" s="8"/>
      <c r="QSO68" s="8"/>
      <c r="QSP68" s="8"/>
      <c r="QSQ68" s="8"/>
      <c r="QSR68" s="8"/>
      <c r="QSS68" s="8"/>
      <c r="QST68" s="8"/>
      <c r="QSU68" s="8"/>
      <c r="QSV68" s="8"/>
      <c r="QSW68" s="8"/>
      <c r="QSX68" s="8"/>
      <c r="QSY68" s="8"/>
      <c r="QSZ68" s="8"/>
      <c r="QTA68" s="8"/>
      <c r="QTB68" s="8"/>
      <c r="QTC68" s="8"/>
      <c r="QTD68" s="8"/>
      <c r="QTE68" s="8"/>
      <c r="QTF68" s="8"/>
      <c r="QTG68" s="8"/>
      <c r="QTH68" s="8"/>
      <c r="QTI68" s="8"/>
      <c r="QTJ68" s="8"/>
      <c r="QTK68" s="8"/>
      <c r="QTL68" s="8"/>
      <c r="QTM68" s="8"/>
      <c r="QTN68" s="8"/>
      <c r="QTO68" s="8"/>
      <c r="QTP68" s="8"/>
      <c r="QTQ68" s="8"/>
      <c r="QTR68" s="8"/>
      <c r="QTS68" s="8"/>
      <c r="QTT68" s="8"/>
      <c r="QTU68" s="8"/>
      <c r="QTV68" s="8"/>
      <c r="QTW68" s="8"/>
      <c r="QTX68" s="8"/>
      <c r="QTY68" s="8"/>
      <c r="QTZ68" s="8"/>
      <c r="QUA68" s="8"/>
      <c r="QUB68" s="8"/>
      <c r="QUC68" s="8"/>
      <c r="QUD68" s="8"/>
      <c r="QUE68" s="8"/>
      <c r="QUF68" s="8"/>
      <c r="QUG68" s="8"/>
      <c r="QUH68" s="8"/>
      <c r="QUI68" s="8"/>
      <c r="QUJ68" s="8"/>
      <c r="QUK68" s="8"/>
      <c r="QUL68" s="8"/>
      <c r="QUM68" s="8"/>
      <c r="QUN68" s="8"/>
      <c r="QUO68" s="8"/>
      <c r="QUP68" s="8"/>
      <c r="QUQ68" s="8"/>
      <c r="QUR68" s="8"/>
      <c r="QUS68" s="8"/>
      <c r="QUT68" s="8"/>
      <c r="QUU68" s="8"/>
      <c r="QUV68" s="8"/>
      <c r="QUW68" s="8"/>
      <c r="QUX68" s="8"/>
      <c r="QUY68" s="8"/>
      <c r="QUZ68" s="8"/>
      <c r="QVA68" s="8"/>
      <c r="QVB68" s="8"/>
      <c r="QVC68" s="8"/>
      <c r="QVD68" s="8"/>
      <c r="QVE68" s="8"/>
      <c r="QVF68" s="8"/>
      <c r="QVG68" s="8"/>
      <c r="QVH68" s="8"/>
      <c r="QVI68" s="8"/>
      <c r="QVJ68" s="8"/>
      <c r="QVK68" s="8"/>
      <c r="QVL68" s="8"/>
      <c r="QVM68" s="8"/>
      <c r="QVN68" s="8"/>
      <c r="QVO68" s="8"/>
      <c r="QVP68" s="8"/>
      <c r="QVQ68" s="8"/>
      <c r="QVR68" s="8"/>
      <c r="QVS68" s="8"/>
      <c r="QVT68" s="8"/>
      <c r="QVU68" s="8"/>
      <c r="QVV68" s="8"/>
      <c r="QVW68" s="8"/>
      <c r="QVX68" s="8"/>
      <c r="QVY68" s="8"/>
      <c r="QVZ68" s="8"/>
      <c r="QWA68" s="8"/>
      <c r="QWB68" s="8"/>
      <c r="QWC68" s="8"/>
      <c r="QWD68" s="8"/>
      <c r="QWE68" s="8"/>
      <c r="QWF68" s="8"/>
      <c r="QWG68" s="8"/>
      <c r="QWH68" s="8"/>
      <c r="QWI68" s="8"/>
      <c r="QWJ68" s="8"/>
      <c r="QWK68" s="8"/>
      <c r="QWL68" s="8"/>
      <c r="QWM68" s="8"/>
      <c r="QWN68" s="8"/>
      <c r="QWO68" s="8"/>
      <c r="QWP68" s="8"/>
      <c r="QWQ68" s="8"/>
      <c r="QWR68" s="8"/>
      <c r="QWS68" s="8"/>
      <c r="QWT68" s="8"/>
      <c r="QWU68" s="8"/>
      <c r="QWV68" s="8"/>
      <c r="QWW68" s="8"/>
      <c r="QWX68" s="8"/>
      <c r="QWY68" s="8"/>
      <c r="QWZ68" s="8"/>
      <c r="QXA68" s="8"/>
      <c r="QXB68" s="8"/>
      <c r="QXC68" s="8"/>
      <c r="QXD68" s="8"/>
      <c r="QXE68" s="8"/>
      <c r="QXF68" s="8"/>
      <c r="QXG68" s="8"/>
      <c r="QXH68" s="8"/>
      <c r="QXI68" s="8"/>
      <c r="QXJ68" s="8"/>
      <c r="QXK68" s="8"/>
      <c r="QXL68" s="8"/>
      <c r="QXM68" s="8"/>
      <c r="QXN68" s="8"/>
      <c r="QXO68" s="8"/>
      <c r="QXP68" s="8"/>
      <c r="QXQ68" s="8"/>
      <c r="QXR68" s="8"/>
      <c r="QXS68" s="8"/>
      <c r="QXT68" s="8"/>
      <c r="QXU68" s="8"/>
      <c r="QXV68" s="8"/>
      <c r="QXW68" s="8"/>
      <c r="QXX68" s="8"/>
      <c r="QXY68" s="8"/>
      <c r="QXZ68" s="8"/>
      <c r="QYA68" s="8"/>
      <c r="QYB68" s="8"/>
      <c r="QYC68" s="8"/>
      <c r="QYD68" s="8"/>
      <c r="QYE68" s="8"/>
      <c r="QYF68" s="8"/>
      <c r="QYG68" s="8"/>
      <c r="QYH68" s="8"/>
      <c r="QYI68" s="8"/>
      <c r="QYJ68" s="8"/>
      <c r="QYK68" s="8"/>
      <c r="QYL68" s="8"/>
      <c r="QYM68" s="8"/>
      <c r="QYN68" s="8"/>
      <c r="QYO68" s="8"/>
      <c r="QYP68" s="8"/>
      <c r="QYQ68" s="8"/>
      <c r="QYR68" s="8"/>
      <c r="QYS68" s="8"/>
      <c r="QYT68" s="8"/>
      <c r="QYU68" s="8"/>
      <c r="QYV68" s="8"/>
      <c r="QYW68" s="8"/>
      <c r="QYX68" s="8"/>
      <c r="QYY68" s="8"/>
      <c r="QYZ68" s="8"/>
      <c r="QZA68" s="8"/>
      <c r="QZB68" s="8"/>
      <c r="QZC68" s="8"/>
      <c r="QZD68" s="8"/>
      <c r="QZE68" s="8"/>
      <c r="QZF68" s="8"/>
      <c r="QZG68" s="8"/>
      <c r="QZH68" s="8"/>
      <c r="QZI68" s="8"/>
      <c r="QZJ68" s="8"/>
      <c r="QZK68" s="8"/>
      <c r="QZL68" s="8"/>
      <c r="QZM68" s="8"/>
      <c r="QZN68" s="8"/>
      <c r="QZO68" s="8"/>
      <c r="QZP68" s="8"/>
      <c r="QZQ68" s="8"/>
      <c r="QZR68" s="8"/>
      <c r="QZS68" s="8"/>
      <c r="QZT68" s="8"/>
      <c r="QZU68" s="8"/>
      <c r="QZV68" s="8"/>
      <c r="QZW68" s="8"/>
      <c r="QZX68" s="8"/>
      <c r="QZY68" s="8"/>
      <c r="QZZ68" s="8"/>
      <c r="RAA68" s="8"/>
      <c r="RAB68" s="8"/>
      <c r="RAC68" s="8"/>
      <c r="RAD68" s="8"/>
      <c r="RAE68" s="8"/>
      <c r="RAF68" s="8"/>
      <c r="RAG68" s="8"/>
      <c r="RAH68" s="8"/>
      <c r="RAI68" s="8"/>
      <c r="RAJ68" s="8"/>
      <c r="RAK68" s="8"/>
      <c r="RAL68" s="8"/>
      <c r="RAM68" s="8"/>
      <c r="RAN68" s="8"/>
      <c r="RAO68" s="8"/>
      <c r="RAP68" s="8"/>
      <c r="RAQ68" s="8"/>
      <c r="RAR68" s="8"/>
      <c r="RAS68" s="8"/>
      <c r="RAT68" s="8"/>
      <c r="RAU68" s="8"/>
      <c r="RAV68" s="8"/>
      <c r="RAW68" s="8"/>
      <c r="RAX68" s="8"/>
      <c r="RAY68" s="8"/>
      <c r="RAZ68" s="8"/>
      <c r="RBA68" s="8"/>
      <c r="RBB68" s="8"/>
      <c r="RBC68" s="8"/>
      <c r="RBD68" s="8"/>
      <c r="RBE68" s="8"/>
      <c r="RBF68" s="8"/>
      <c r="RBG68" s="8"/>
      <c r="RBH68" s="8"/>
      <c r="RBI68" s="8"/>
      <c r="RBJ68" s="8"/>
      <c r="RBK68" s="8"/>
      <c r="RBL68" s="8"/>
      <c r="RBM68" s="8"/>
      <c r="RBN68" s="8"/>
      <c r="RBO68" s="8"/>
      <c r="RBP68" s="8"/>
      <c r="RBQ68" s="8"/>
      <c r="RBR68" s="8"/>
      <c r="RBS68" s="8"/>
      <c r="RBT68" s="8"/>
      <c r="RBU68" s="8"/>
      <c r="RBV68" s="8"/>
      <c r="RBW68" s="8"/>
      <c r="RBX68" s="8"/>
      <c r="RBY68" s="8"/>
      <c r="RBZ68" s="8"/>
      <c r="RCA68" s="8"/>
      <c r="RCB68" s="8"/>
      <c r="RCC68" s="8"/>
      <c r="RCD68" s="8"/>
      <c r="RCE68" s="8"/>
      <c r="RCF68" s="8"/>
      <c r="RCG68" s="8"/>
      <c r="RCH68" s="8"/>
      <c r="RCI68" s="8"/>
      <c r="RCJ68" s="8"/>
      <c r="RCK68" s="8"/>
      <c r="RCL68" s="8"/>
      <c r="RCM68" s="8"/>
      <c r="RCN68" s="8"/>
      <c r="RCO68" s="8"/>
      <c r="RCP68" s="8"/>
      <c r="RCQ68" s="8"/>
      <c r="RCR68" s="8"/>
      <c r="RCS68" s="8"/>
      <c r="RCT68" s="8"/>
      <c r="RCU68" s="8"/>
      <c r="RCV68" s="8"/>
      <c r="RCW68" s="8"/>
      <c r="RCX68" s="8"/>
      <c r="RCY68" s="8"/>
      <c r="RCZ68" s="8"/>
      <c r="RDA68" s="8"/>
      <c r="RDB68" s="8"/>
      <c r="RDC68" s="8"/>
      <c r="RDD68" s="8"/>
      <c r="RDE68" s="8"/>
      <c r="RDF68" s="8"/>
      <c r="RDG68" s="8"/>
      <c r="RDH68" s="8"/>
      <c r="RDI68" s="8"/>
      <c r="RDJ68" s="8"/>
      <c r="RDK68" s="8"/>
      <c r="RDL68" s="8"/>
      <c r="RDM68" s="8"/>
      <c r="RDN68" s="8"/>
      <c r="RDO68" s="8"/>
      <c r="RDP68" s="8"/>
      <c r="RDQ68" s="8"/>
      <c r="RDR68" s="8"/>
      <c r="RDS68" s="8"/>
      <c r="RDT68" s="8"/>
      <c r="RDU68" s="8"/>
      <c r="RDV68" s="8"/>
      <c r="RDW68" s="8"/>
      <c r="RDX68" s="8"/>
      <c r="RDY68" s="8"/>
      <c r="RDZ68" s="8"/>
      <c r="REA68" s="8"/>
      <c r="REB68" s="8"/>
      <c r="REC68" s="8"/>
      <c r="RED68" s="8"/>
      <c r="REE68" s="8"/>
      <c r="REF68" s="8"/>
      <c r="REG68" s="8"/>
      <c r="REH68" s="8"/>
      <c r="REI68" s="8"/>
      <c r="REJ68" s="8"/>
      <c r="REK68" s="8"/>
      <c r="REL68" s="8"/>
      <c r="REM68" s="8"/>
      <c r="REN68" s="8"/>
      <c r="REO68" s="8"/>
      <c r="REP68" s="8"/>
      <c r="REQ68" s="8"/>
      <c r="RER68" s="8"/>
      <c r="RES68" s="8"/>
      <c r="RET68" s="8"/>
      <c r="REU68" s="8"/>
      <c r="REV68" s="8"/>
      <c r="REW68" s="8"/>
      <c r="REX68" s="8"/>
      <c r="REY68" s="8"/>
      <c r="REZ68" s="8"/>
      <c r="RFA68" s="8"/>
      <c r="RFB68" s="8"/>
      <c r="RFC68" s="8"/>
      <c r="RFD68" s="8"/>
      <c r="RFE68" s="8"/>
      <c r="RFF68" s="8"/>
      <c r="RFG68" s="8"/>
      <c r="RFH68" s="8"/>
      <c r="RFI68" s="8"/>
      <c r="RFJ68" s="8"/>
      <c r="RFK68" s="8"/>
      <c r="RFL68" s="8"/>
      <c r="RFM68" s="8"/>
      <c r="RFN68" s="8"/>
      <c r="RFO68" s="8"/>
      <c r="RFP68" s="8"/>
      <c r="RFQ68" s="8"/>
      <c r="RFR68" s="8"/>
      <c r="RFS68" s="8"/>
      <c r="RFT68" s="8"/>
      <c r="RFU68" s="8"/>
      <c r="RFV68" s="8"/>
      <c r="RFW68" s="8"/>
      <c r="RFX68" s="8"/>
      <c r="RFY68" s="8"/>
      <c r="RFZ68" s="8"/>
      <c r="RGA68" s="8"/>
      <c r="RGB68" s="8"/>
      <c r="RGC68" s="8"/>
      <c r="RGD68" s="8"/>
      <c r="RGE68" s="8"/>
      <c r="RGF68" s="8"/>
      <c r="RGG68" s="8"/>
      <c r="RGH68" s="8"/>
      <c r="RGI68" s="8"/>
      <c r="RGJ68" s="8"/>
      <c r="RGK68" s="8"/>
      <c r="RGL68" s="8"/>
      <c r="RGM68" s="8"/>
      <c r="RGN68" s="8"/>
      <c r="RGO68" s="8"/>
      <c r="RGP68" s="8"/>
      <c r="RGQ68" s="8"/>
      <c r="RGR68" s="8"/>
      <c r="RGS68" s="8"/>
      <c r="RGT68" s="8"/>
      <c r="RGU68" s="8"/>
      <c r="RGV68" s="8"/>
      <c r="RGW68" s="8"/>
      <c r="RGX68" s="8"/>
      <c r="RGY68" s="8"/>
      <c r="RGZ68" s="8"/>
      <c r="RHA68" s="8"/>
      <c r="RHB68" s="8"/>
      <c r="RHC68" s="8"/>
      <c r="RHD68" s="8"/>
      <c r="RHE68" s="8"/>
      <c r="RHF68" s="8"/>
      <c r="RHG68" s="8"/>
      <c r="RHH68" s="8"/>
      <c r="RHI68" s="8"/>
      <c r="RHJ68" s="8"/>
      <c r="RHK68" s="8"/>
      <c r="RHL68" s="8"/>
      <c r="RHM68" s="8"/>
      <c r="RHN68" s="8"/>
      <c r="RHO68" s="8"/>
      <c r="RHP68" s="8"/>
      <c r="RHQ68" s="8"/>
      <c r="RHR68" s="8"/>
      <c r="RHS68" s="8"/>
      <c r="RHT68" s="8"/>
      <c r="RHU68" s="8"/>
      <c r="RHV68" s="8"/>
      <c r="RHW68" s="8"/>
      <c r="RHX68" s="8"/>
      <c r="RHY68" s="8"/>
      <c r="RHZ68" s="8"/>
      <c r="RIA68" s="8"/>
      <c r="RIB68" s="8"/>
      <c r="RIC68" s="8"/>
      <c r="RID68" s="8"/>
      <c r="RIE68" s="8"/>
      <c r="RIF68" s="8"/>
      <c r="RIG68" s="8"/>
      <c r="RIH68" s="8"/>
      <c r="RII68" s="8"/>
      <c r="RIJ68" s="8"/>
      <c r="RIK68" s="8"/>
      <c r="RIL68" s="8"/>
      <c r="RIM68" s="8"/>
      <c r="RIN68" s="8"/>
      <c r="RIO68" s="8"/>
      <c r="RIP68" s="8"/>
      <c r="RIQ68" s="8"/>
      <c r="RIR68" s="8"/>
      <c r="RIS68" s="8"/>
      <c r="RIT68" s="8"/>
      <c r="RIU68" s="8"/>
      <c r="RIV68" s="8"/>
      <c r="RIW68" s="8"/>
      <c r="RIX68" s="8"/>
      <c r="RIY68" s="8"/>
      <c r="RIZ68" s="8"/>
      <c r="RJA68" s="8"/>
      <c r="RJB68" s="8"/>
      <c r="RJC68" s="8"/>
      <c r="RJD68" s="8"/>
      <c r="RJE68" s="8"/>
      <c r="RJF68" s="8"/>
      <c r="RJG68" s="8"/>
      <c r="RJH68" s="8"/>
      <c r="RJI68" s="8"/>
      <c r="RJJ68" s="8"/>
      <c r="RJK68" s="8"/>
      <c r="RJL68" s="8"/>
      <c r="RJM68" s="8"/>
      <c r="RJN68" s="8"/>
      <c r="RJO68" s="8"/>
      <c r="RJP68" s="8"/>
      <c r="RJQ68" s="8"/>
      <c r="RJR68" s="8"/>
      <c r="RJS68" s="8"/>
      <c r="RJT68" s="8"/>
      <c r="RJU68" s="8"/>
      <c r="RJV68" s="8"/>
      <c r="RJW68" s="8"/>
      <c r="RJX68" s="8"/>
      <c r="RJY68" s="8"/>
      <c r="RJZ68" s="8"/>
      <c r="RKA68" s="8"/>
      <c r="RKB68" s="8"/>
      <c r="RKC68" s="8"/>
      <c r="RKD68" s="8"/>
      <c r="RKE68" s="8"/>
      <c r="RKF68" s="8"/>
      <c r="RKG68" s="8"/>
      <c r="RKH68" s="8"/>
      <c r="RKI68" s="8"/>
      <c r="RKJ68" s="8"/>
      <c r="RKK68" s="8"/>
      <c r="RKL68" s="8"/>
      <c r="RKM68" s="8"/>
      <c r="RKN68" s="8"/>
      <c r="RKO68" s="8"/>
      <c r="RKP68" s="8"/>
      <c r="RKQ68" s="8"/>
      <c r="RKR68" s="8"/>
      <c r="RKS68" s="8"/>
      <c r="RKT68" s="8"/>
      <c r="RKU68" s="8"/>
      <c r="RKV68" s="8"/>
      <c r="RKW68" s="8"/>
      <c r="RKX68" s="8"/>
      <c r="RKY68" s="8"/>
      <c r="RKZ68" s="8"/>
      <c r="RLA68" s="8"/>
      <c r="RLB68" s="8"/>
      <c r="RLC68" s="8"/>
      <c r="RLD68" s="8"/>
      <c r="RLE68" s="8"/>
      <c r="RLF68" s="8"/>
      <c r="RLG68" s="8"/>
      <c r="RLH68" s="8"/>
      <c r="RLI68" s="8"/>
      <c r="RLJ68" s="8"/>
      <c r="RLK68" s="8"/>
      <c r="RLL68" s="8"/>
      <c r="RLM68" s="8"/>
      <c r="RLN68" s="8"/>
      <c r="RLO68" s="8"/>
      <c r="RLP68" s="8"/>
      <c r="RLQ68" s="8"/>
      <c r="RLR68" s="8"/>
      <c r="RLS68" s="8"/>
      <c r="RLT68" s="8"/>
      <c r="RLU68" s="8"/>
      <c r="RLV68" s="8"/>
      <c r="RLW68" s="8"/>
      <c r="RLX68" s="8"/>
      <c r="RLY68" s="8"/>
      <c r="RLZ68" s="8"/>
      <c r="RMA68" s="8"/>
      <c r="RMB68" s="8"/>
      <c r="RMC68" s="8"/>
      <c r="RMD68" s="8"/>
      <c r="RME68" s="8"/>
      <c r="RMF68" s="8"/>
      <c r="RMG68" s="8"/>
      <c r="RMH68" s="8"/>
      <c r="RMI68" s="8"/>
      <c r="RMJ68" s="8"/>
      <c r="RMK68" s="8"/>
      <c r="RML68" s="8"/>
      <c r="RMM68" s="8"/>
      <c r="RMN68" s="8"/>
      <c r="RMO68" s="8"/>
      <c r="RMP68" s="8"/>
      <c r="RMQ68" s="8"/>
      <c r="RMR68" s="8"/>
      <c r="RMS68" s="8"/>
      <c r="RMT68" s="8"/>
      <c r="RMU68" s="8"/>
      <c r="RMV68" s="8"/>
      <c r="RMW68" s="8"/>
      <c r="RMX68" s="8"/>
      <c r="RMY68" s="8"/>
      <c r="RMZ68" s="8"/>
      <c r="RNA68" s="8"/>
      <c r="RNB68" s="8"/>
      <c r="RNC68" s="8"/>
      <c r="RND68" s="8"/>
      <c r="RNE68" s="8"/>
      <c r="RNF68" s="8"/>
      <c r="RNG68" s="8"/>
      <c r="RNH68" s="8"/>
      <c r="RNI68" s="8"/>
      <c r="RNJ68" s="8"/>
      <c r="RNK68" s="8"/>
      <c r="RNL68" s="8"/>
      <c r="RNM68" s="8"/>
      <c r="RNN68" s="8"/>
      <c r="RNO68" s="8"/>
      <c r="RNP68" s="8"/>
      <c r="RNQ68" s="8"/>
      <c r="RNR68" s="8"/>
      <c r="RNS68" s="8"/>
      <c r="RNT68" s="8"/>
      <c r="RNU68" s="8"/>
      <c r="RNV68" s="8"/>
      <c r="RNW68" s="8"/>
      <c r="RNX68" s="8"/>
      <c r="RNY68" s="8"/>
      <c r="RNZ68" s="8"/>
      <c r="ROA68" s="8"/>
      <c r="ROB68" s="8"/>
      <c r="ROC68" s="8"/>
      <c r="ROD68" s="8"/>
      <c r="ROE68" s="8"/>
      <c r="ROF68" s="8"/>
      <c r="ROG68" s="8"/>
      <c r="ROH68" s="8"/>
      <c r="ROI68" s="8"/>
      <c r="ROJ68" s="8"/>
      <c r="ROK68" s="8"/>
      <c r="ROL68" s="8"/>
      <c r="ROM68" s="8"/>
      <c r="RON68" s="8"/>
      <c r="ROO68" s="8"/>
      <c r="ROP68" s="8"/>
      <c r="ROQ68" s="8"/>
      <c r="ROR68" s="8"/>
      <c r="ROS68" s="8"/>
      <c r="ROT68" s="8"/>
      <c r="ROU68" s="8"/>
      <c r="ROV68" s="8"/>
      <c r="ROW68" s="8"/>
      <c r="ROX68" s="8"/>
      <c r="ROY68" s="8"/>
      <c r="ROZ68" s="8"/>
      <c r="RPA68" s="8"/>
      <c r="RPB68" s="8"/>
      <c r="RPC68" s="8"/>
      <c r="RPD68" s="8"/>
      <c r="RPE68" s="8"/>
      <c r="RPF68" s="8"/>
      <c r="RPG68" s="8"/>
      <c r="RPH68" s="8"/>
      <c r="RPI68" s="8"/>
      <c r="RPJ68" s="8"/>
      <c r="RPK68" s="8"/>
      <c r="RPL68" s="8"/>
      <c r="RPM68" s="8"/>
      <c r="RPN68" s="8"/>
      <c r="RPO68" s="8"/>
      <c r="RPP68" s="8"/>
      <c r="RPQ68" s="8"/>
      <c r="RPR68" s="8"/>
      <c r="RPS68" s="8"/>
      <c r="RPT68" s="8"/>
      <c r="RPU68" s="8"/>
      <c r="RPV68" s="8"/>
      <c r="RPW68" s="8"/>
      <c r="RPX68" s="8"/>
      <c r="RPY68" s="8"/>
      <c r="RPZ68" s="8"/>
      <c r="RQA68" s="8"/>
      <c r="RQB68" s="8"/>
      <c r="RQC68" s="8"/>
      <c r="RQD68" s="8"/>
      <c r="RQE68" s="8"/>
      <c r="RQF68" s="8"/>
      <c r="RQG68" s="8"/>
      <c r="RQH68" s="8"/>
      <c r="RQI68" s="8"/>
      <c r="RQJ68" s="8"/>
      <c r="RQK68" s="8"/>
      <c r="RQL68" s="8"/>
      <c r="RQM68" s="8"/>
      <c r="RQN68" s="8"/>
      <c r="RQO68" s="8"/>
      <c r="RQP68" s="8"/>
      <c r="RQQ68" s="8"/>
      <c r="RQR68" s="8"/>
      <c r="RQS68" s="8"/>
      <c r="RQT68" s="8"/>
      <c r="RQU68" s="8"/>
      <c r="RQV68" s="8"/>
      <c r="RQW68" s="8"/>
      <c r="RQX68" s="8"/>
      <c r="RQY68" s="8"/>
      <c r="RQZ68" s="8"/>
      <c r="RRA68" s="8"/>
      <c r="RRB68" s="8"/>
      <c r="RRC68" s="8"/>
      <c r="RRD68" s="8"/>
      <c r="RRE68" s="8"/>
      <c r="RRF68" s="8"/>
      <c r="RRG68" s="8"/>
      <c r="RRH68" s="8"/>
      <c r="RRI68" s="8"/>
      <c r="RRJ68" s="8"/>
      <c r="RRK68" s="8"/>
      <c r="RRL68" s="8"/>
      <c r="RRM68" s="8"/>
      <c r="RRN68" s="8"/>
      <c r="RRO68" s="8"/>
      <c r="RRP68" s="8"/>
      <c r="RRQ68" s="8"/>
      <c r="RRR68" s="8"/>
      <c r="RRS68" s="8"/>
      <c r="RRT68" s="8"/>
      <c r="RRU68" s="8"/>
      <c r="RRV68" s="8"/>
      <c r="RRW68" s="8"/>
      <c r="RRX68" s="8"/>
      <c r="RRY68" s="8"/>
      <c r="RRZ68" s="8"/>
      <c r="RSA68" s="8"/>
      <c r="RSB68" s="8"/>
      <c r="RSC68" s="8"/>
      <c r="RSD68" s="8"/>
      <c r="RSE68" s="8"/>
      <c r="RSF68" s="8"/>
      <c r="RSG68" s="8"/>
      <c r="RSH68" s="8"/>
      <c r="RSI68" s="8"/>
      <c r="RSJ68" s="8"/>
      <c r="RSK68" s="8"/>
      <c r="RSL68" s="8"/>
      <c r="RSM68" s="8"/>
      <c r="RSN68" s="8"/>
      <c r="RSO68" s="8"/>
      <c r="RSP68" s="8"/>
      <c r="RSQ68" s="8"/>
      <c r="RSR68" s="8"/>
      <c r="RSS68" s="8"/>
      <c r="RST68" s="8"/>
      <c r="RSU68" s="8"/>
      <c r="RSV68" s="8"/>
      <c r="RSW68" s="8"/>
      <c r="RSX68" s="8"/>
      <c r="RSY68" s="8"/>
      <c r="RSZ68" s="8"/>
      <c r="RTA68" s="8"/>
      <c r="RTB68" s="8"/>
      <c r="RTC68" s="8"/>
      <c r="RTD68" s="8"/>
      <c r="RTE68" s="8"/>
      <c r="RTF68" s="8"/>
      <c r="RTG68" s="8"/>
      <c r="RTH68" s="8"/>
      <c r="RTI68" s="8"/>
      <c r="RTJ68" s="8"/>
      <c r="RTK68" s="8"/>
      <c r="RTL68" s="8"/>
      <c r="RTM68" s="8"/>
      <c r="RTN68" s="8"/>
      <c r="RTO68" s="8"/>
      <c r="RTP68" s="8"/>
      <c r="RTQ68" s="8"/>
      <c r="RTR68" s="8"/>
      <c r="RTS68" s="8"/>
      <c r="RTT68" s="8"/>
      <c r="RTU68" s="8"/>
      <c r="RTV68" s="8"/>
      <c r="RTW68" s="8"/>
      <c r="RTX68" s="8"/>
      <c r="RTY68" s="8"/>
      <c r="RTZ68" s="8"/>
      <c r="RUA68" s="8"/>
      <c r="RUB68" s="8"/>
      <c r="RUC68" s="8"/>
      <c r="RUD68" s="8"/>
      <c r="RUE68" s="8"/>
      <c r="RUF68" s="8"/>
      <c r="RUG68" s="8"/>
      <c r="RUH68" s="8"/>
      <c r="RUI68" s="8"/>
      <c r="RUJ68" s="8"/>
      <c r="RUK68" s="8"/>
      <c r="RUL68" s="8"/>
      <c r="RUM68" s="8"/>
      <c r="RUN68" s="8"/>
      <c r="RUO68" s="8"/>
      <c r="RUP68" s="8"/>
      <c r="RUQ68" s="8"/>
      <c r="RUR68" s="8"/>
      <c r="RUS68" s="8"/>
      <c r="RUT68" s="8"/>
      <c r="RUU68" s="8"/>
      <c r="RUV68" s="8"/>
      <c r="RUW68" s="8"/>
      <c r="RUX68" s="8"/>
      <c r="RUY68" s="8"/>
      <c r="RUZ68" s="8"/>
      <c r="RVA68" s="8"/>
      <c r="RVB68" s="8"/>
      <c r="RVC68" s="8"/>
      <c r="RVD68" s="8"/>
      <c r="RVE68" s="8"/>
      <c r="RVF68" s="8"/>
      <c r="RVG68" s="8"/>
      <c r="RVH68" s="8"/>
      <c r="RVI68" s="8"/>
      <c r="RVJ68" s="8"/>
      <c r="RVK68" s="8"/>
      <c r="RVL68" s="8"/>
      <c r="RVM68" s="8"/>
      <c r="RVN68" s="8"/>
      <c r="RVO68" s="8"/>
      <c r="RVP68" s="8"/>
      <c r="RVQ68" s="8"/>
      <c r="RVR68" s="8"/>
      <c r="RVS68" s="8"/>
      <c r="RVT68" s="8"/>
      <c r="RVU68" s="8"/>
      <c r="RVV68" s="8"/>
      <c r="RVW68" s="8"/>
      <c r="RVX68" s="8"/>
      <c r="RVY68" s="8"/>
      <c r="RVZ68" s="8"/>
      <c r="RWA68" s="8"/>
      <c r="RWB68" s="8"/>
      <c r="RWC68" s="8"/>
      <c r="RWD68" s="8"/>
      <c r="RWE68" s="8"/>
      <c r="RWF68" s="8"/>
      <c r="RWG68" s="8"/>
      <c r="RWH68" s="8"/>
      <c r="RWI68" s="8"/>
      <c r="RWJ68" s="8"/>
      <c r="RWK68" s="8"/>
      <c r="RWL68" s="8"/>
      <c r="RWM68" s="8"/>
      <c r="RWN68" s="8"/>
      <c r="RWO68" s="8"/>
      <c r="RWP68" s="8"/>
      <c r="RWQ68" s="8"/>
      <c r="RWR68" s="8"/>
      <c r="RWS68" s="8"/>
      <c r="RWT68" s="8"/>
      <c r="RWU68" s="8"/>
      <c r="RWV68" s="8"/>
      <c r="RWW68" s="8"/>
      <c r="RWX68" s="8"/>
      <c r="RWY68" s="8"/>
      <c r="RWZ68" s="8"/>
      <c r="RXA68" s="8"/>
      <c r="RXB68" s="8"/>
      <c r="RXC68" s="8"/>
      <c r="RXD68" s="8"/>
      <c r="RXE68" s="8"/>
      <c r="RXF68" s="8"/>
      <c r="RXG68" s="8"/>
      <c r="RXH68" s="8"/>
      <c r="RXI68" s="8"/>
      <c r="RXJ68" s="8"/>
      <c r="RXK68" s="8"/>
      <c r="RXL68" s="8"/>
      <c r="RXM68" s="8"/>
      <c r="RXN68" s="8"/>
      <c r="RXO68" s="8"/>
      <c r="RXP68" s="8"/>
      <c r="RXQ68" s="8"/>
      <c r="RXR68" s="8"/>
      <c r="RXS68" s="8"/>
      <c r="RXT68" s="8"/>
      <c r="RXU68" s="8"/>
      <c r="RXV68" s="8"/>
      <c r="RXW68" s="8"/>
      <c r="RXX68" s="8"/>
      <c r="RXY68" s="8"/>
      <c r="RXZ68" s="8"/>
      <c r="RYA68" s="8"/>
      <c r="RYB68" s="8"/>
      <c r="RYC68" s="8"/>
      <c r="RYD68" s="8"/>
      <c r="RYE68" s="8"/>
      <c r="RYF68" s="8"/>
      <c r="RYG68" s="8"/>
      <c r="RYH68" s="8"/>
      <c r="RYI68" s="8"/>
      <c r="RYJ68" s="8"/>
      <c r="RYK68" s="8"/>
      <c r="RYL68" s="8"/>
      <c r="RYM68" s="8"/>
      <c r="RYN68" s="8"/>
      <c r="RYO68" s="8"/>
      <c r="RYP68" s="8"/>
      <c r="RYQ68" s="8"/>
      <c r="RYR68" s="8"/>
      <c r="RYS68" s="8"/>
      <c r="RYT68" s="8"/>
      <c r="RYU68" s="8"/>
      <c r="RYV68" s="8"/>
      <c r="RYW68" s="8"/>
      <c r="RYX68" s="8"/>
      <c r="RYY68" s="8"/>
      <c r="RYZ68" s="8"/>
      <c r="RZA68" s="8"/>
      <c r="RZB68" s="8"/>
      <c r="RZC68" s="8"/>
      <c r="RZD68" s="8"/>
      <c r="RZE68" s="8"/>
      <c r="RZF68" s="8"/>
      <c r="RZG68" s="8"/>
      <c r="RZH68" s="8"/>
      <c r="RZI68" s="8"/>
      <c r="RZJ68" s="8"/>
      <c r="RZK68" s="8"/>
      <c r="RZL68" s="8"/>
      <c r="RZM68" s="8"/>
      <c r="RZN68" s="8"/>
      <c r="RZO68" s="8"/>
      <c r="RZP68" s="8"/>
      <c r="RZQ68" s="8"/>
      <c r="RZR68" s="8"/>
      <c r="RZS68" s="8"/>
      <c r="RZT68" s="8"/>
      <c r="RZU68" s="8"/>
      <c r="RZV68" s="8"/>
      <c r="RZW68" s="8"/>
      <c r="RZX68" s="8"/>
      <c r="RZY68" s="8"/>
      <c r="RZZ68" s="8"/>
      <c r="SAA68" s="8"/>
      <c r="SAB68" s="8"/>
      <c r="SAC68" s="8"/>
      <c r="SAD68" s="8"/>
      <c r="SAE68" s="8"/>
      <c r="SAF68" s="8"/>
      <c r="SAG68" s="8"/>
      <c r="SAH68" s="8"/>
      <c r="SAI68" s="8"/>
      <c r="SAJ68" s="8"/>
      <c r="SAK68" s="8"/>
      <c r="SAL68" s="8"/>
      <c r="SAM68" s="8"/>
      <c r="SAN68" s="8"/>
      <c r="SAO68" s="8"/>
      <c r="SAP68" s="8"/>
      <c r="SAQ68" s="8"/>
      <c r="SAR68" s="8"/>
      <c r="SAS68" s="8"/>
      <c r="SAT68" s="8"/>
      <c r="SAU68" s="8"/>
      <c r="SAV68" s="8"/>
      <c r="SAW68" s="8"/>
      <c r="SAX68" s="8"/>
      <c r="SAY68" s="8"/>
      <c r="SAZ68" s="8"/>
      <c r="SBA68" s="8"/>
      <c r="SBB68" s="8"/>
      <c r="SBC68" s="8"/>
      <c r="SBD68" s="8"/>
      <c r="SBE68" s="8"/>
      <c r="SBF68" s="8"/>
      <c r="SBG68" s="8"/>
      <c r="SBH68" s="8"/>
      <c r="SBI68" s="8"/>
      <c r="SBJ68" s="8"/>
      <c r="SBK68" s="8"/>
      <c r="SBL68" s="8"/>
      <c r="SBM68" s="8"/>
      <c r="SBN68" s="8"/>
      <c r="SBO68" s="8"/>
      <c r="SBP68" s="8"/>
      <c r="SBQ68" s="8"/>
      <c r="SBR68" s="8"/>
      <c r="SBS68" s="8"/>
      <c r="SBT68" s="8"/>
      <c r="SBU68" s="8"/>
      <c r="SBV68" s="8"/>
      <c r="SBW68" s="8"/>
      <c r="SBX68" s="8"/>
      <c r="SBY68" s="8"/>
      <c r="SBZ68" s="8"/>
      <c r="SCA68" s="8"/>
      <c r="SCB68" s="8"/>
      <c r="SCC68" s="8"/>
      <c r="SCD68" s="8"/>
      <c r="SCE68" s="8"/>
      <c r="SCF68" s="8"/>
      <c r="SCG68" s="8"/>
      <c r="SCH68" s="8"/>
      <c r="SCI68" s="8"/>
      <c r="SCJ68" s="8"/>
      <c r="SCK68" s="8"/>
      <c r="SCL68" s="8"/>
      <c r="SCM68" s="8"/>
      <c r="SCN68" s="8"/>
      <c r="SCO68" s="8"/>
      <c r="SCP68" s="8"/>
      <c r="SCQ68" s="8"/>
      <c r="SCR68" s="8"/>
      <c r="SCS68" s="8"/>
      <c r="SCT68" s="8"/>
      <c r="SCU68" s="8"/>
      <c r="SCV68" s="8"/>
      <c r="SCW68" s="8"/>
      <c r="SCX68" s="8"/>
      <c r="SCY68" s="8"/>
      <c r="SCZ68" s="8"/>
      <c r="SDA68" s="8"/>
      <c r="SDB68" s="8"/>
      <c r="SDC68" s="8"/>
      <c r="SDD68" s="8"/>
      <c r="SDE68" s="8"/>
      <c r="SDF68" s="8"/>
      <c r="SDG68" s="8"/>
      <c r="SDH68" s="8"/>
      <c r="SDI68" s="8"/>
      <c r="SDJ68" s="8"/>
      <c r="SDK68" s="8"/>
      <c r="SDL68" s="8"/>
      <c r="SDM68" s="8"/>
      <c r="SDN68" s="8"/>
      <c r="SDO68" s="8"/>
      <c r="SDP68" s="8"/>
      <c r="SDQ68" s="8"/>
      <c r="SDR68" s="8"/>
      <c r="SDS68" s="8"/>
      <c r="SDT68" s="8"/>
      <c r="SDU68" s="8"/>
      <c r="SDV68" s="8"/>
      <c r="SDW68" s="8"/>
      <c r="SDX68" s="8"/>
      <c r="SDY68" s="8"/>
      <c r="SDZ68" s="8"/>
      <c r="SEA68" s="8"/>
      <c r="SEB68" s="8"/>
      <c r="SEC68" s="8"/>
      <c r="SED68" s="8"/>
      <c r="SEE68" s="8"/>
      <c r="SEF68" s="8"/>
      <c r="SEG68" s="8"/>
      <c r="SEH68" s="8"/>
      <c r="SEI68" s="8"/>
      <c r="SEJ68" s="8"/>
      <c r="SEK68" s="8"/>
      <c r="SEL68" s="8"/>
      <c r="SEM68" s="8"/>
      <c r="SEN68" s="8"/>
      <c r="SEO68" s="8"/>
      <c r="SEP68" s="8"/>
      <c r="SEQ68" s="8"/>
      <c r="SER68" s="8"/>
      <c r="SES68" s="8"/>
      <c r="SET68" s="8"/>
      <c r="SEU68" s="8"/>
      <c r="SEV68" s="8"/>
      <c r="SEW68" s="8"/>
      <c r="SEX68" s="8"/>
      <c r="SEY68" s="8"/>
      <c r="SEZ68" s="8"/>
      <c r="SFA68" s="8"/>
      <c r="SFB68" s="8"/>
      <c r="SFC68" s="8"/>
      <c r="SFD68" s="8"/>
      <c r="SFE68" s="8"/>
      <c r="SFF68" s="8"/>
      <c r="SFG68" s="8"/>
      <c r="SFH68" s="8"/>
      <c r="SFI68" s="8"/>
      <c r="SFJ68" s="8"/>
      <c r="SFK68" s="8"/>
      <c r="SFL68" s="8"/>
      <c r="SFM68" s="8"/>
      <c r="SFN68" s="8"/>
      <c r="SFO68" s="8"/>
      <c r="SFP68" s="8"/>
      <c r="SFQ68" s="8"/>
      <c r="SFR68" s="8"/>
      <c r="SFS68" s="8"/>
      <c r="SFT68" s="8"/>
      <c r="SFU68" s="8"/>
      <c r="SFV68" s="8"/>
      <c r="SFW68" s="8"/>
      <c r="SFX68" s="8"/>
      <c r="SFY68" s="8"/>
      <c r="SFZ68" s="8"/>
      <c r="SGA68" s="8"/>
      <c r="SGB68" s="8"/>
      <c r="SGC68" s="8"/>
      <c r="SGD68" s="8"/>
      <c r="SGE68" s="8"/>
      <c r="SGF68" s="8"/>
      <c r="SGG68" s="8"/>
      <c r="SGH68" s="8"/>
      <c r="SGI68" s="8"/>
      <c r="SGJ68" s="8"/>
      <c r="SGK68" s="8"/>
      <c r="SGL68" s="8"/>
      <c r="SGM68" s="8"/>
      <c r="SGN68" s="8"/>
      <c r="SGO68" s="8"/>
      <c r="SGP68" s="8"/>
      <c r="SGQ68" s="8"/>
      <c r="SGR68" s="8"/>
      <c r="SGS68" s="8"/>
      <c r="SGT68" s="8"/>
      <c r="SGU68" s="8"/>
      <c r="SGV68" s="8"/>
      <c r="SGW68" s="8"/>
      <c r="SGX68" s="8"/>
      <c r="SGY68" s="8"/>
      <c r="SGZ68" s="8"/>
      <c r="SHA68" s="8"/>
      <c r="SHB68" s="8"/>
      <c r="SHC68" s="8"/>
      <c r="SHD68" s="8"/>
      <c r="SHE68" s="8"/>
      <c r="SHF68" s="8"/>
      <c r="SHG68" s="8"/>
      <c r="SHH68" s="8"/>
      <c r="SHI68" s="8"/>
      <c r="SHJ68" s="8"/>
      <c r="SHK68" s="8"/>
      <c r="SHL68" s="8"/>
      <c r="SHM68" s="8"/>
      <c r="SHN68" s="8"/>
      <c r="SHO68" s="8"/>
      <c r="SHP68" s="8"/>
      <c r="SHQ68" s="8"/>
      <c r="SHR68" s="8"/>
      <c r="SHS68" s="8"/>
      <c r="SHT68" s="8"/>
      <c r="SHU68" s="8"/>
      <c r="SHV68" s="8"/>
      <c r="SHW68" s="8"/>
      <c r="SHX68" s="8"/>
      <c r="SHY68" s="8"/>
      <c r="SHZ68" s="8"/>
      <c r="SIA68" s="8"/>
      <c r="SIB68" s="8"/>
      <c r="SIC68" s="8"/>
      <c r="SID68" s="8"/>
      <c r="SIE68" s="8"/>
      <c r="SIF68" s="8"/>
      <c r="SIG68" s="8"/>
      <c r="SIH68" s="8"/>
      <c r="SII68" s="8"/>
      <c r="SIJ68" s="8"/>
      <c r="SIK68" s="8"/>
      <c r="SIL68" s="8"/>
      <c r="SIM68" s="8"/>
      <c r="SIN68" s="8"/>
      <c r="SIO68" s="8"/>
      <c r="SIP68" s="8"/>
      <c r="SIQ68" s="8"/>
      <c r="SIR68" s="8"/>
      <c r="SIS68" s="8"/>
      <c r="SIT68" s="8"/>
      <c r="SIU68" s="8"/>
      <c r="SIV68" s="8"/>
      <c r="SIW68" s="8"/>
      <c r="SIX68" s="8"/>
      <c r="SIY68" s="8"/>
      <c r="SIZ68" s="8"/>
      <c r="SJA68" s="8"/>
      <c r="SJB68" s="8"/>
      <c r="SJC68" s="8"/>
      <c r="SJD68" s="8"/>
      <c r="SJE68" s="8"/>
      <c r="SJF68" s="8"/>
      <c r="SJG68" s="8"/>
      <c r="SJH68" s="8"/>
      <c r="SJI68" s="8"/>
      <c r="SJJ68" s="8"/>
      <c r="SJK68" s="8"/>
      <c r="SJL68" s="8"/>
      <c r="SJM68" s="8"/>
      <c r="SJN68" s="8"/>
      <c r="SJO68" s="8"/>
      <c r="SJP68" s="8"/>
      <c r="SJQ68" s="8"/>
      <c r="SJR68" s="8"/>
      <c r="SJS68" s="8"/>
      <c r="SJT68" s="8"/>
      <c r="SJU68" s="8"/>
      <c r="SJV68" s="8"/>
      <c r="SJW68" s="8"/>
      <c r="SJX68" s="8"/>
      <c r="SJY68" s="8"/>
      <c r="SJZ68" s="8"/>
      <c r="SKA68" s="8"/>
      <c r="SKB68" s="8"/>
      <c r="SKC68" s="8"/>
      <c r="SKD68" s="8"/>
      <c r="SKE68" s="8"/>
      <c r="SKF68" s="8"/>
      <c r="SKG68" s="8"/>
      <c r="SKH68" s="8"/>
      <c r="SKI68" s="8"/>
      <c r="SKJ68" s="8"/>
      <c r="SKK68" s="8"/>
      <c r="SKL68" s="8"/>
      <c r="SKM68" s="8"/>
      <c r="SKN68" s="8"/>
      <c r="SKO68" s="8"/>
      <c r="SKP68" s="8"/>
      <c r="SKQ68" s="8"/>
      <c r="SKR68" s="8"/>
      <c r="SKS68" s="8"/>
      <c r="SKT68" s="8"/>
      <c r="SKU68" s="8"/>
      <c r="SKV68" s="8"/>
      <c r="SKW68" s="8"/>
      <c r="SKX68" s="8"/>
      <c r="SKY68" s="8"/>
      <c r="SKZ68" s="8"/>
      <c r="SLA68" s="8"/>
      <c r="SLB68" s="8"/>
      <c r="SLC68" s="8"/>
      <c r="SLD68" s="8"/>
      <c r="SLE68" s="8"/>
      <c r="SLF68" s="8"/>
      <c r="SLG68" s="8"/>
      <c r="SLH68" s="8"/>
      <c r="SLI68" s="8"/>
      <c r="SLJ68" s="8"/>
      <c r="SLK68" s="8"/>
      <c r="SLL68" s="8"/>
      <c r="SLM68" s="8"/>
      <c r="SLN68" s="8"/>
      <c r="SLO68" s="8"/>
      <c r="SLP68" s="8"/>
      <c r="SLQ68" s="8"/>
      <c r="SLR68" s="8"/>
      <c r="SLS68" s="8"/>
      <c r="SLT68" s="8"/>
      <c r="SLU68" s="8"/>
      <c r="SLV68" s="8"/>
      <c r="SLW68" s="8"/>
      <c r="SLX68" s="8"/>
      <c r="SLY68" s="8"/>
      <c r="SLZ68" s="8"/>
      <c r="SMA68" s="8"/>
      <c r="SMB68" s="8"/>
      <c r="SMC68" s="8"/>
      <c r="SMD68" s="8"/>
      <c r="SME68" s="8"/>
      <c r="SMF68" s="8"/>
      <c r="SMG68" s="8"/>
      <c r="SMH68" s="8"/>
      <c r="SMI68" s="8"/>
      <c r="SMJ68" s="8"/>
      <c r="SMK68" s="8"/>
      <c r="SML68" s="8"/>
      <c r="SMM68" s="8"/>
      <c r="SMN68" s="8"/>
      <c r="SMO68" s="8"/>
      <c r="SMP68" s="8"/>
      <c r="SMQ68" s="8"/>
      <c r="SMR68" s="8"/>
      <c r="SMS68" s="8"/>
      <c r="SMT68" s="8"/>
      <c r="SMU68" s="8"/>
      <c r="SMV68" s="8"/>
      <c r="SMW68" s="8"/>
      <c r="SMX68" s="8"/>
      <c r="SMY68" s="8"/>
      <c r="SMZ68" s="8"/>
      <c r="SNA68" s="8"/>
      <c r="SNB68" s="8"/>
      <c r="SNC68" s="8"/>
      <c r="SND68" s="8"/>
      <c r="SNE68" s="8"/>
      <c r="SNF68" s="8"/>
      <c r="SNG68" s="8"/>
      <c r="SNH68" s="8"/>
      <c r="SNI68" s="8"/>
      <c r="SNJ68" s="8"/>
      <c r="SNK68" s="8"/>
      <c r="SNL68" s="8"/>
      <c r="SNM68" s="8"/>
      <c r="SNN68" s="8"/>
      <c r="SNO68" s="8"/>
      <c r="SNP68" s="8"/>
      <c r="SNQ68" s="8"/>
      <c r="SNR68" s="8"/>
      <c r="SNS68" s="8"/>
      <c r="SNT68" s="8"/>
      <c r="SNU68" s="8"/>
      <c r="SNV68" s="8"/>
      <c r="SNW68" s="8"/>
      <c r="SNX68" s="8"/>
      <c r="SNY68" s="8"/>
      <c r="SNZ68" s="8"/>
      <c r="SOA68" s="8"/>
      <c r="SOB68" s="8"/>
      <c r="SOC68" s="8"/>
      <c r="SOD68" s="8"/>
      <c r="SOE68" s="8"/>
      <c r="SOF68" s="8"/>
      <c r="SOG68" s="8"/>
      <c r="SOH68" s="8"/>
      <c r="SOI68" s="8"/>
      <c r="SOJ68" s="8"/>
      <c r="SOK68" s="8"/>
      <c r="SOL68" s="8"/>
      <c r="SOM68" s="8"/>
      <c r="SON68" s="8"/>
      <c r="SOO68" s="8"/>
      <c r="SOP68" s="8"/>
      <c r="SOQ68" s="8"/>
      <c r="SOR68" s="8"/>
      <c r="SOS68" s="8"/>
      <c r="SOT68" s="8"/>
      <c r="SOU68" s="8"/>
      <c r="SOV68" s="8"/>
      <c r="SOW68" s="8"/>
      <c r="SOX68" s="8"/>
      <c r="SOY68" s="8"/>
      <c r="SOZ68" s="8"/>
      <c r="SPA68" s="8"/>
      <c r="SPB68" s="8"/>
      <c r="SPC68" s="8"/>
      <c r="SPD68" s="8"/>
      <c r="SPE68" s="8"/>
      <c r="SPF68" s="8"/>
      <c r="SPG68" s="8"/>
      <c r="SPH68" s="8"/>
      <c r="SPI68" s="8"/>
      <c r="SPJ68" s="8"/>
      <c r="SPK68" s="8"/>
      <c r="SPL68" s="8"/>
      <c r="SPM68" s="8"/>
      <c r="SPN68" s="8"/>
      <c r="SPO68" s="8"/>
      <c r="SPP68" s="8"/>
      <c r="SPQ68" s="8"/>
      <c r="SPR68" s="8"/>
      <c r="SPS68" s="8"/>
      <c r="SPT68" s="8"/>
      <c r="SPU68" s="8"/>
      <c r="SPV68" s="8"/>
      <c r="SPW68" s="8"/>
      <c r="SPX68" s="8"/>
      <c r="SPY68" s="8"/>
      <c r="SPZ68" s="8"/>
      <c r="SQA68" s="8"/>
      <c r="SQB68" s="8"/>
      <c r="SQC68" s="8"/>
      <c r="SQD68" s="8"/>
      <c r="SQE68" s="8"/>
      <c r="SQF68" s="8"/>
      <c r="SQG68" s="8"/>
      <c r="SQH68" s="8"/>
      <c r="SQI68" s="8"/>
      <c r="SQJ68" s="8"/>
      <c r="SQK68" s="8"/>
      <c r="SQL68" s="8"/>
      <c r="SQM68" s="8"/>
      <c r="SQN68" s="8"/>
      <c r="SQO68" s="8"/>
      <c r="SQP68" s="8"/>
      <c r="SQQ68" s="8"/>
      <c r="SQR68" s="8"/>
      <c r="SQS68" s="8"/>
      <c r="SQT68" s="8"/>
      <c r="SQU68" s="8"/>
      <c r="SQV68" s="8"/>
      <c r="SQW68" s="8"/>
      <c r="SQX68" s="8"/>
      <c r="SQY68" s="8"/>
      <c r="SQZ68" s="8"/>
      <c r="SRA68" s="8"/>
      <c r="SRB68" s="8"/>
      <c r="SRC68" s="8"/>
      <c r="SRD68" s="8"/>
      <c r="SRE68" s="8"/>
      <c r="SRF68" s="8"/>
      <c r="SRG68" s="8"/>
      <c r="SRH68" s="8"/>
      <c r="SRI68" s="8"/>
      <c r="SRJ68" s="8"/>
      <c r="SRK68" s="8"/>
      <c r="SRL68" s="8"/>
      <c r="SRM68" s="8"/>
      <c r="SRN68" s="8"/>
      <c r="SRO68" s="8"/>
      <c r="SRP68" s="8"/>
      <c r="SRQ68" s="8"/>
      <c r="SRR68" s="8"/>
      <c r="SRS68" s="8"/>
      <c r="SRT68" s="8"/>
      <c r="SRU68" s="8"/>
      <c r="SRV68" s="8"/>
      <c r="SRW68" s="8"/>
      <c r="SRX68" s="8"/>
      <c r="SRY68" s="8"/>
      <c r="SRZ68" s="8"/>
      <c r="SSA68" s="8"/>
      <c r="SSB68" s="8"/>
      <c r="SSC68" s="8"/>
      <c r="SSD68" s="8"/>
      <c r="SSE68" s="8"/>
      <c r="SSF68" s="8"/>
      <c r="SSG68" s="8"/>
      <c r="SSH68" s="8"/>
      <c r="SSI68" s="8"/>
      <c r="SSJ68" s="8"/>
      <c r="SSK68" s="8"/>
      <c r="SSL68" s="8"/>
      <c r="SSM68" s="8"/>
      <c r="SSN68" s="8"/>
      <c r="SSO68" s="8"/>
      <c r="SSP68" s="8"/>
      <c r="SSQ68" s="8"/>
      <c r="SSR68" s="8"/>
      <c r="SSS68" s="8"/>
      <c r="SST68" s="8"/>
      <c r="SSU68" s="8"/>
      <c r="SSV68" s="8"/>
      <c r="SSW68" s="8"/>
      <c r="SSX68" s="8"/>
      <c r="SSY68" s="8"/>
      <c r="SSZ68" s="8"/>
      <c r="STA68" s="8"/>
      <c r="STB68" s="8"/>
      <c r="STC68" s="8"/>
      <c r="STD68" s="8"/>
      <c r="STE68" s="8"/>
      <c r="STF68" s="8"/>
      <c r="STG68" s="8"/>
      <c r="STH68" s="8"/>
      <c r="STI68" s="8"/>
      <c r="STJ68" s="8"/>
      <c r="STK68" s="8"/>
      <c r="STL68" s="8"/>
      <c r="STM68" s="8"/>
      <c r="STN68" s="8"/>
      <c r="STO68" s="8"/>
      <c r="STP68" s="8"/>
      <c r="STQ68" s="8"/>
      <c r="STR68" s="8"/>
      <c r="STS68" s="8"/>
      <c r="STT68" s="8"/>
      <c r="STU68" s="8"/>
      <c r="STV68" s="8"/>
      <c r="STW68" s="8"/>
      <c r="STX68" s="8"/>
      <c r="STY68" s="8"/>
      <c r="STZ68" s="8"/>
      <c r="SUA68" s="8"/>
      <c r="SUB68" s="8"/>
      <c r="SUC68" s="8"/>
      <c r="SUD68" s="8"/>
      <c r="SUE68" s="8"/>
      <c r="SUF68" s="8"/>
      <c r="SUG68" s="8"/>
      <c r="SUH68" s="8"/>
      <c r="SUI68" s="8"/>
      <c r="SUJ68" s="8"/>
      <c r="SUK68" s="8"/>
      <c r="SUL68" s="8"/>
      <c r="SUM68" s="8"/>
      <c r="SUN68" s="8"/>
      <c r="SUO68" s="8"/>
      <c r="SUP68" s="8"/>
      <c r="SUQ68" s="8"/>
      <c r="SUR68" s="8"/>
      <c r="SUS68" s="8"/>
      <c r="SUT68" s="8"/>
      <c r="SUU68" s="8"/>
      <c r="SUV68" s="8"/>
      <c r="SUW68" s="8"/>
      <c r="SUX68" s="8"/>
      <c r="SUY68" s="8"/>
      <c r="SUZ68" s="8"/>
      <c r="SVA68" s="8"/>
      <c r="SVB68" s="8"/>
      <c r="SVC68" s="8"/>
      <c r="SVD68" s="8"/>
      <c r="SVE68" s="8"/>
      <c r="SVF68" s="8"/>
      <c r="SVG68" s="8"/>
      <c r="SVH68" s="8"/>
      <c r="SVI68" s="8"/>
      <c r="SVJ68" s="8"/>
      <c r="SVK68" s="8"/>
      <c r="SVL68" s="8"/>
      <c r="SVM68" s="8"/>
      <c r="SVN68" s="8"/>
      <c r="SVO68" s="8"/>
      <c r="SVP68" s="8"/>
      <c r="SVQ68" s="8"/>
      <c r="SVR68" s="8"/>
      <c r="SVS68" s="8"/>
      <c r="SVT68" s="8"/>
      <c r="SVU68" s="8"/>
      <c r="SVV68" s="8"/>
      <c r="SVW68" s="8"/>
      <c r="SVX68" s="8"/>
      <c r="SVY68" s="8"/>
      <c r="SVZ68" s="8"/>
      <c r="SWA68" s="8"/>
      <c r="SWB68" s="8"/>
      <c r="SWC68" s="8"/>
      <c r="SWD68" s="8"/>
      <c r="SWE68" s="8"/>
      <c r="SWF68" s="8"/>
      <c r="SWG68" s="8"/>
      <c r="SWH68" s="8"/>
      <c r="SWI68" s="8"/>
      <c r="SWJ68" s="8"/>
      <c r="SWK68" s="8"/>
      <c r="SWL68" s="8"/>
      <c r="SWM68" s="8"/>
      <c r="SWN68" s="8"/>
      <c r="SWO68" s="8"/>
      <c r="SWP68" s="8"/>
      <c r="SWQ68" s="8"/>
      <c r="SWR68" s="8"/>
      <c r="SWS68" s="8"/>
      <c r="SWT68" s="8"/>
      <c r="SWU68" s="8"/>
      <c r="SWV68" s="8"/>
      <c r="SWW68" s="8"/>
      <c r="SWX68" s="8"/>
      <c r="SWY68" s="8"/>
      <c r="SWZ68" s="8"/>
      <c r="SXA68" s="8"/>
      <c r="SXB68" s="8"/>
      <c r="SXC68" s="8"/>
      <c r="SXD68" s="8"/>
      <c r="SXE68" s="8"/>
      <c r="SXF68" s="8"/>
      <c r="SXG68" s="8"/>
      <c r="SXH68" s="8"/>
      <c r="SXI68" s="8"/>
      <c r="SXJ68" s="8"/>
      <c r="SXK68" s="8"/>
      <c r="SXL68" s="8"/>
      <c r="SXM68" s="8"/>
      <c r="SXN68" s="8"/>
      <c r="SXO68" s="8"/>
      <c r="SXP68" s="8"/>
      <c r="SXQ68" s="8"/>
      <c r="SXR68" s="8"/>
      <c r="SXS68" s="8"/>
      <c r="SXT68" s="8"/>
      <c r="SXU68" s="8"/>
      <c r="SXV68" s="8"/>
      <c r="SXW68" s="8"/>
      <c r="SXX68" s="8"/>
      <c r="SXY68" s="8"/>
      <c r="SXZ68" s="8"/>
      <c r="SYA68" s="8"/>
      <c r="SYB68" s="8"/>
      <c r="SYC68" s="8"/>
      <c r="SYD68" s="8"/>
      <c r="SYE68" s="8"/>
      <c r="SYF68" s="8"/>
      <c r="SYG68" s="8"/>
      <c r="SYH68" s="8"/>
      <c r="SYI68" s="8"/>
      <c r="SYJ68" s="8"/>
      <c r="SYK68" s="8"/>
      <c r="SYL68" s="8"/>
      <c r="SYM68" s="8"/>
      <c r="SYN68" s="8"/>
      <c r="SYO68" s="8"/>
      <c r="SYP68" s="8"/>
      <c r="SYQ68" s="8"/>
      <c r="SYR68" s="8"/>
      <c r="SYS68" s="8"/>
      <c r="SYT68" s="8"/>
      <c r="SYU68" s="8"/>
      <c r="SYV68" s="8"/>
      <c r="SYW68" s="8"/>
      <c r="SYX68" s="8"/>
      <c r="SYY68" s="8"/>
      <c r="SYZ68" s="8"/>
      <c r="SZA68" s="8"/>
      <c r="SZB68" s="8"/>
      <c r="SZC68" s="8"/>
      <c r="SZD68" s="8"/>
      <c r="SZE68" s="8"/>
      <c r="SZF68" s="8"/>
      <c r="SZG68" s="8"/>
      <c r="SZH68" s="8"/>
      <c r="SZI68" s="8"/>
      <c r="SZJ68" s="8"/>
      <c r="SZK68" s="8"/>
      <c r="SZL68" s="8"/>
      <c r="SZM68" s="8"/>
      <c r="SZN68" s="8"/>
      <c r="SZO68" s="8"/>
      <c r="SZP68" s="8"/>
      <c r="SZQ68" s="8"/>
      <c r="SZR68" s="8"/>
      <c r="SZS68" s="8"/>
      <c r="SZT68" s="8"/>
      <c r="SZU68" s="8"/>
      <c r="SZV68" s="8"/>
      <c r="SZW68" s="8"/>
      <c r="SZX68" s="8"/>
      <c r="SZY68" s="8"/>
      <c r="SZZ68" s="8"/>
      <c r="TAA68" s="8"/>
      <c r="TAB68" s="8"/>
      <c r="TAC68" s="8"/>
      <c r="TAD68" s="8"/>
      <c r="TAE68" s="8"/>
      <c r="TAF68" s="8"/>
      <c r="TAG68" s="8"/>
      <c r="TAH68" s="8"/>
      <c r="TAI68" s="8"/>
      <c r="TAJ68" s="8"/>
      <c r="TAK68" s="8"/>
      <c r="TAL68" s="8"/>
      <c r="TAM68" s="8"/>
      <c r="TAN68" s="8"/>
      <c r="TAO68" s="8"/>
      <c r="TAP68" s="8"/>
      <c r="TAQ68" s="8"/>
      <c r="TAR68" s="8"/>
      <c r="TAS68" s="8"/>
      <c r="TAT68" s="8"/>
      <c r="TAU68" s="8"/>
      <c r="TAV68" s="8"/>
      <c r="TAW68" s="8"/>
      <c r="TAX68" s="8"/>
      <c r="TAY68" s="8"/>
      <c r="TAZ68" s="8"/>
      <c r="TBA68" s="8"/>
      <c r="TBB68" s="8"/>
      <c r="TBC68" s="8"/>
      <c r="TBD68" s="8"/>
      <c r="TBE68" s="8"/>
      <c r="TBF68" s="8"/>
      <c r="TBG68" s="8"/>
      <c r="TBH68" s="8"/>
      <c r="TBI68" s="8"/>
      <c r="TBJ68" s="8"/>
      <c r="TBK68" s="8"/>
      <c r="TBL68" s="8"/>
      <c r="TBM68" s="8"/>
      <c r="TBN68" s="8"/>
      <c r="TBO68" s="8"/>
      <c r="TBP68" s="8"/>
      <c r="TBQ68" s="8"/>
      <c r="TBR68" s="8"/>
      <c r="TBS68" s="8"/>
      <c r="TBT68" s="8"/>
      <c r="TBU68" s="8"/>
      <c r="TBV68" s="8"/>
      <c r="TBW68" s="8"/>
      <c r="TBX68" s="8"/>
      <c r="TBY68" s="8"/>
      <c r="TBZ68" s="8"/>
      <c r="TCA68" s="8"/>
      <c r="TCB68" s="8"/>
      <c r="TCC68" s="8"/>
      <c r="TCD68" s="8"/>
      <c r="TCE68" s="8"/>
      <c r="TCF68" s="8"/>
      <c r="TCG68" s="8"/>
      <c r="TCH68" s="8"/>
      <c r="TCI68" s="8"/>
      <c r="TCJ68" s="8"/>
      <c r="TCK68" s="8"/>
      <c r="TCL68" s="8"/>
      <c r="TCM68" s="8"/>
      <c r="TCN68" s="8"/>
      <c r="TCO68" s="8"/>
      <c r="TCP68" s="8"/>
      <c r="TCQ68" s="8"/>
      <c r="TCR68" s="8"/>
      <c r="TCS68" s="8"/>
      <c r="TCT68" s="8"/>
      <c r="TCU68" s="8"/>
      <c r="TCV68" s="8"/>
      <c r="TCW68" s="8"/>
      <c r="TCX68" s="8"/>
      <c r="TCY68" s="8"/>
      <c r="TCZ68" s="8"/>
      <c r="TDA68" s="8"/>
      <c r="TDB68" s="8"/>
      <c r="TDC68" s="8"/>
      <c r="TDD68" s="8"/>
      <c r="TDE68" s="8"/>
      <c r="TDF68" s="8"/>
      <c r="TDG68" s="8"/>
      <c r="TDH68" s="8"/>
      <c r="TDI68" s="8"/>
      <c r="TDJ68" s="8"/>
      <c r="TDK68" s="8"/>
      <c r="TDL68" s="8"/>
      <c r="TDM68" s="8"/>
      <c r="TDN68" s="8"/>
      <c r="TDO68" s="8"/>
      <c r="TDP68" s="8"/>
      <c r="TDQ68" s="8"/>
      <c r="TDR68" s="8"/>
      <c r="TDS68" s="8"/>
      <c r="TDT68" s="8"/>
      <c r="TDU68" s="8"/>
      <c r="TDV68" s="8"/>
      <c r="TDW68" s="8"/>
      <c r="TDX68" s="8"/>
      <c r="TDY68" s="8"/>
      <c r="TDZ68" s="8"/>
      <c r="TEA68" s="8"/>
      <c r="TEB68" s="8"/>
      <c r="TEC68" s="8"/>
      <c r="TED68" s="8"/>
      <c r="TEE68" s="8"/>
      <c r="TEF68" s="8"/>
      <c r="TEG68" s="8"/>
      <c r="TEH68" s="8"/>
      <c r="TEI68" s="8"/>
      <c r="TEJ68" s="8"/>
      <c r="TEK68" s="8"/>
      <c r="TEL68" s="8"/>
      <c r="TEM68" s="8"/>
      <c r="TEN68" s="8"/>
      <c r="TEO68" s="8"/>
      <c r="TEP68" s="8"/>
      <c r="TEQ68" s="8"/>
      <c r="TER68" s="8"/>
      <c r="TES68" s="8"/>
      <c r="TET68" s="8"/>
      <c r="TEU68" s="8"/>
      <c r="TEV68" s="8"/>
      <c r="TEW68" s="8"/>
      <c r="TEX68" s="8"/>
      <c r="TEY68" s="8"/>
      <c r="TEZ68" s="8"/>
      <c r="TFA68" s="8"/>
      <c r="TFB68" s="8"/>
      <c r="TFC68" s="8"/>
      <c r="TFD68" s="8"/>
      <c r="TFE68" s="8"/>
      <c r="TFF68" s="8"/>
      <c r="TFG68" s="8"/>
      <c r="TFH68" s="8"/>
      <c r="TFI68" s="8"/>
      <c r="TFJ68" s="8"/>
      <c r="TFK68" s="8"/>
      <c r="TFL68" s="8"/>
      <c r="TFM68" s="8"/>
      <c r="TFN68" s="8"/>
      <c r="TFO68" s="8"/>
      <c r="TFP68" s="8"/>
      <c r="TFQ68" s="8"/>
      <c r="TFR68" s="8"/>
      <c r="TFS68" s="8"/>
      <c r="TFT68" s="8"/>
      <c r="TFU68" s="8"/>
      <c r="TFV68" s="8"/>
      <c r="TFW68" s="8"/>
      <c r="TFX68" s="8"/>
      <c r="TFY68" s="8"/>
      <c r="TFZ68" s="8"/>
      <c r="TGA68" s="8"/>
      <c r="TGB68" s="8"/>
      <c r="TGC68" s="8"/>
      <c r="TGD68" s="8"/>
      <c r="TGE68" s="8"/>
      <c r="TGF68" s="8"/>
      <c r="TGG68" s="8"/>
      <c r="TGH68" s="8"/>
      <c r="TGI68" s="8"/>
      <c r="TGJ68" s="8"/>
      <c r="TGK68" s="8"/>
      <c r="TGL68" s="8"/>
      <c r="TGM68" s="8"/>
      <c r="TGN68" s="8"/>
      <c r="TGO68" s="8"/>
      <c r="TGP68" s="8"/>
      <c r="TGQ68" s="8"/>
      <c r="TGR68" s="8"/>
      <c r="TGS68" s="8"/>
      <c r="TGT68" s="8"/>
      <c r="TGU68" s="8"/>
      <c r="TGV68" s="8"/>
      <c r="TGW68" s="8"/>
      <c r="TGX68" s="8"/>
      <c r="TGY68" s="8"/>
      <c r="TGZ68" s="8"/>
      <c r="THA68" s="8"/>
      <c r="THB68" s="8"/>
      <c r="THC68" s="8"/>
      <c r="THD68" s="8"/>
      <c r="THE68" s="8"/>
      <c r="THF68" s="8"/>
      <c r="THG68" s="8"/>
      <c r="THH68" s="8"/>
      <c r="THI68" s="8"/>
      <c r="THJ68" s="8"/>
      <c r="THK68" s="8"/>
      <c r="THL68" s="8"/>
      <c r="THM68" s="8"/>
      <c r="THN68" s="8"/>
      <c r="THO68" s="8"/>
      <c r="THP68" s="8"/>
      <c r="THQ68" s="8"/>
      <c r="THR68" s="8"/>
      <c r="THS68" s="8"/>
      <c r="THT68" s="8"/>
      <c r="THU68" s="8"/>
      <c r="THV68" s="8"/>
      <c r="THW68" s="8"/>
      <c r="THX68" s="8"/>
      <c r="THY68" s="8"/>
      <c r="THZ68" s="8"/>
      <c r="TIA68" s="8"/>
      <c r="TIB68" s="8"/>
      <c r="TIC68" s="8"/>
      <c r="TID68" s="8"/>
      <c r="TIE68" s="8"/>
      <c r="TIF68" s="8"/>
      <c r="TIG68" s="8"/>
      <c r="TIH68" s="8"/>
      <c r="TII68" s="8"/>
      <c r="TIJ68" s="8"/>
      <c r="TIK68" s="8"/>
      <c r="TIL68" s="8"/>
      <c r="TIM68" s="8"/>
      <c r="TIN68" s="8"/>
      <c r="TIO68" s="8"/>
      <c r="TIP68" s="8"/>
      <c r="TIQ68" s="8"/>
      <c r="TIR68" s="8"/>
      <c r="TIS68" s="8"/>
      <c r="TIT68" s="8"/>
      <c r="TIU68" s="8"/>
      <c r="TIV68" s="8"/>
      <c r="TIW68" s="8"/>
      <c r="TIX68" s="8"/>
      <c r="TIY68" s="8"/>
      <c r="TIZ68" s="8"/>
      <c r="TJA68" s="8"/>
      <c r="TJB68" s="8"/>
      <c r="TJC68" s="8"/>
      <c r="TJD68" s="8"/>
      <c r="TJE68" s="8"/>
      <c r="TJF68" s="8"/>
      <c r="TJG68" s="8"/>
      <c r="TJH68" s="8"/>
      <c r="TJI68" s="8"/>
      <c r="TJJ68" s="8"/>
      <c r="TJK68" s="8"/>
      <c r="TJL68" s="8"/>
      <c r="TJM68" s="8"/>
      <c r="TJN68" s="8"/>
      <c r="TJO68" s="8"/>
      <c r="TJP68" s="8"/>
      <c r="TJQ68" s="8"/>
      <c r="TJR68" s="8"/>
      <c r="TJS68" s="8"/>
      <c r="TJT68" s="8"/>
      <c r="TJU68" s="8"/>
      <c r="TJV68" s="8"/>
      <c r="TJW68" s="8"/>
      <c r="TJX68" s="8"/>
      <c r="TJY68" s="8"/>
      <c r="TJZ68" s="8"/>
      <c r="TKA68" s="8"/>
      <c r="TKB68" s="8"/>
      <c r="TKC68" s="8"/>
      <c r="TKD68" s="8"/>
      <c r="TKE68" s="8"/>
      <c r="TKF68" s="8"/>
      <c r="TKG68" s="8"/>
      <c r="TKH68" s="8"/>
      <c r="TKI68" s="8"/>
      <c r="TKJ68" s="8"/>
      <c r="TKK68" s="8"/>
      <c r="TKL68" s="8"/>
      <c r="TKM68" s="8"/>
      <c r="TKN68" s="8"/>
      <c r="TKO68" s="8"/>
      <c r="TKP68" s="8"/>
      <c r="TKQ68" s="8"/>
      <c r="TKR68" s="8"/>
      <c r="TKS68" s="8"/>
      <c r="TKT68" s="8"/>
      <c r="TKU68" s="8"/>
      <c r="TKV68" s="8"/>
      <c r="TKW68" s="8"/>
      <c r="TKX68" s="8"/>
      <c r="TKY68" s="8"/>
      <c r="TKZ68" s="8"/>
      <c r="TLA68" s="8"/>
      <c r="TLB68" s="8"/>
      <c r="TLC68" s="8"/>
      <c r="TLD68" s="8"/>
      <c r="TLE68" s="8"/>
      <c r="TLF68" s="8"/>
      <c r="TLG68" s="8"/>
      <c r="TLH68" s="8"/>
      <c r="TLI68" s="8"/>
      <c r="TLJ68" s="8"/>
      <c r="TLK68" s="8"/>
      <c r="TLL68" s="8"/>
      <c r="TLM68" s="8"/>
      <c r="TLN68" s="8"/>
      <c r="TLO68" s="8"/>
      <c r="TLP68" s="8"/>
      <c r="TLQ68" s="8"/>
      <c r="TLR68" s="8"/>
      <c r="TLS68" s="8"/>
      <c r="TLT68" s="8"/>
      <c r="TLU68" s="8"/>
      <c r="TLV68" s="8"/>
      <c r="TLW68" s="8"/>
      <c r="TLX68" s="8"/>
      <c r="TLY68" s="8"/>
      <c r="TLZ68" s="8"/>
      <c r="TMA68" s="8"/>
      <c r="TMB68" s="8"/>
      <c r="TMC68" s="8"/>
      <c r="TMD68" s="8"/>
      <c r="TME68" s="8"/>
      <c r="TMF68" s="8"/>
      <c r="TMG68" s="8"/>
      <c r="TMH68" s="8"/>
      <c r="TMI68" s="8"/>
      <c r="TMJ68" s="8"/>
      <c r="TMK68" s="8"/>
      <c r="TML68" s="8"/>
      <c r="TMM68" s="8"/>
      <c r="TMN68" s="8"/>
      <c r="TMO68" s="8"/>
      <c r="TMP68" s="8"/>
      <c r="TMQ68" s="8"/>
      <c r="TMR68" s="8"/>
      <c r="TMS68" s="8"/>
      <c r="TMT68" s="8"/>
      <c r="TMU68" s="8"/>
      <c r="TMV68" s="8"/>
      <c r="TMW68" s="8"/>
      <c r="TMX68" s="8"/>
      <c r="TMY68" s="8"/>
      <c r="TMZ68" s="8"/>
      <c r="TNA68" s="8"/>
      <c r="TNB68" s="8"/>
      <c r="TNC68" s="8"/>
      <c r="TND68" s="8"/>
      <c r="TNE68" s="8"/>
      <c r="TNF68" s="8"/>
      <c r="TNG68" s="8"/>
      <c r="TNH68" s="8"/>
      <c r="TNI68" s="8"/>
      <c r="TNJ68" s="8"/>
      <c r="TNK68" s="8"/>
      <c r="TNL68" s="8"/>
      <c r="TNM68" s="8"/>
      <c r="TNN68" s="8"/>
      <c r="TNO68" s="8"/>
      <c r="TNP68" s="8"/>
      <c r="TNQ68" s="8"/>
      <c r="TNR68" s="8"/>
      <c r="TNS68" s="8"/>
      <c r="TNT68" s="8"/>
      <c r="TNU68" s="8"/>
      <c r="TNV68" s="8"/>
      <c r="TNW68" s="8"/>
      <c r="TNX68" s="8"/>
      <c r="TNY68" s="8"/>
      <c r="TNZ68" s="8"/>
      <c r="TOA68" s="8"/>
      <c r="TOB68" s="8"/>
      <c r="TOC68" s="8"/>
      <c r="TOD68" s="8"/>
      <c r="TOE68" s="8"/>
      <c r="TOF68" s="8"/>
      <c r="TOG68" s="8"/>
      <c r="TOH68" s="8"/>
      <c r="TOI68" s="8"/>
      <c r="TOJ68" s="8"/>
      <c r="TOK68" s="8"/>
      <c r="TOL68" s="8"/>
      <c r="TOM68" s="8"/>
      <c r="TON68" s="8"/>
      <c r="TOO68" s="8"/>
      <c r="TOP68" s="8"/>
      <c r="TOQ68" s="8"/>
      <c r="TOR68" s="8"/>
      <c r="TOS68" s="8"/>
      <c r="TOT68" s="8"/>
      <c r="TOU68" s="8"/>
      <c r="TOV68" s="8"/>
      <c r="TOW68" s="8"/>
      <c r="TOX68" s="8"/>
      <c r="TOY68" s="8"/>
      <c r="TOZ68" s="8"/>
      <c r="TPA68" s="8"/>
      <c r="TPB68" s="8"/>
      <c r="TPC68" s="8"/>
      <c r="TPD68" s="8"/>
      <c r="TPE68" s="8"/>
      <c r="TPF68" s="8"/>
      <c r="TPG68" s="8"/>
      <c r="TPH68" s="8"/>
      <c r="TPI68" s="8"/>
      <c r="TPJ68" s="8"/>
      <c r="TPK68" s="8"/>
      <c r="TPL68" s="8"/>
      <c r="TPM68" s="8"/>
      <c r="TPN68" s="8"/>
      <c r="TPO68" s="8"/>
      <c r="TPP68" s="8"/>
      <c r="TPQ68" s="8"/>
      <c r="TPR68" s="8"/>
      <c r="TPS68" s="8"/>
      <c r="TPT68" s="8"/>
      <c r="TPU68" s="8"/>
      <c r="TPV68" s="8"/>
      <c r="TPW68" s="8"/>
      <c r="TPX68" s="8"/>
      <c r="TPY68" s="8"/>
      <c r="TPZ68" s="8"/>
      <c r="TQA68" s="8"/>
      <c r="TQB68" s="8"/>
      <c r="TQC68" s="8"/>
      <c r="TQD68" s="8"/>
      <c r="TQE68" s="8"/>
      <c r="TQF68" s="8"/>
      <c r="TQG68" s="8"/>
      <c r="TQH68" s="8"/>
      <c r="TQI68" s="8"/>
      <c r="TQJ68" s="8"/>
      <c r="TQK68" s="8"/>
      <c r="TQL68" s="8"/>
      <c r="TQM68" s="8"/>
      <c r="TQN68" s="8"/>
      <c r="TQO68" s="8"/>
      <c r="TQP68" s="8"/>
      <c r="TQQ68" s="8"/>
      <c r="TQR68" s="8"/>
      <c r="TQS68" s="8"/>
      <c r="TQT68" s="8"/>
      <c r="TQU68" s="8"/>
      <c r="TQV68" s="8"/>
      <c r="TQW68" s="8"/>
      <c r="TQX68" s="8"/>
      <c r="TQY68" s="8"/>
      <c r="TQZ68" s="8"/>
      <c r="TRA68" s="8"/>
      <c r="TRB68" s="8"/>
      <c r="TRC68" s="8"/>
      <c r="TRD68" s="8"/>
      <c r="TRE68" s="8"/>
      <c r="TRF68" s="8"/>
      <c r="TRG68" s="8"/>
      <c r="TRH68" s="8"/>
      <c r="TRI68" s="8"/>
      <c r="TRJ68" s="8"/>
      <c r="TRK68" s="8"/>
      <c r="TRL68" s="8"/>
      <c r="TRM68" s="8"/>
      <c r="TRN68" s="8"/>
      <c r="TRO68" s="8"/>
      <c r="TRP68" s="8"/>
      <c r="TRQ68" s="8"/>
      <c r="TRR68" s="8"/>
      <c r="TRS68" s="8"/>
      <c r="TRT68" s="8"/>
      <c r="TRU68" s="8"/>
      <c r="TRV68" s="8"/>
      <c r="TRW68" s="8"/>
      <c r="TRX68" s="8"/>
      <c r="TRY68" s="8"/>
      <c r="TRZ68" s="8"/>
      <c r="TSA68" s="8"/>
      <c r="TSB68" s="8"/>
      <c r="TSC68" s="8"/>
      <c r="TSD68" s="8"/>
      <c r="TSE68" s="8"/>
      <c r="TSF68" s="8"/>
      <c r="TSG68" s="8"/>
      <c r="TSH68" s="8"/>
      <c r="TSI68" s="8"/>
      <c r="TSJ68" s="8"/>
      <c r="TSK68" s="8"/>
      <c r="TSL68" s="8"/>
      <c r="TSM68" s="8"/>
      <c r="TSN68" s="8"/>
      <c r="TSO68" s="8"/>
      <c r="TSP68" s="8"/>
      <c r="TSQ68" s="8"/>
      <c r="TSR68" s="8"/>
      <c r="TSS68" s="8"/>
      <c r="TST68" s="8"/>
      <c r="TSU68" s="8"/>
      <c r="TSV68" s="8"/>
      <c r="TSW68" s="8"/>
      <c r="TSX68" s="8"/>
      <c r="TSY68" s="8"/>
      <c r="TSZ68" s="8"/>
      <c r="TTA68" s="8"/>
      <c r="TTB68" s="8"/>
      <c r="TTC68" s="8"/>
      <c r="TTD68" s="8"/>
      <c r="TTE68" s="8"/>
      <c r="TTF68" s="8"/>
      <c r="TTG68" s="8"/>
      <c r="TTH68" s="8"/>
      <c r="TTI68" s="8"/>
      <c r="TTJ68" s="8"/>
      <c r="TTK68" s="8"/>
      <c r="TTL68" s="8"/>
      <c r="TTM68" s="8"/>
      <c r="TTN68" s="8"/>
      <c r="TTO68" s="8"/>
      <c r="TTP68" s="8"/>
      <c r="TTQ68" s="8"/>
      <c r="TTR68" s="8"/>
      <c r="TTS68" s="8"/>
      <c r="TTT68" s="8"/>
      <c r="TTU68" s="8"/>
      <c r="TTV68" s="8"/>
      <c r="TTW68" s="8"/>
      <c r="TTX68" s="8"/>
      <c r="TTY68" s="8"/>
      <c r="TTZ68" s="8"/>
      <c r="TUA68" s="8"/>
      <c r="TUB68" s="8"/>
      <c r="TUC68" s="8"/>
      <c r="TUD68" s="8"/>
      <c r="TUE68" s="8"/>
      <c r="TUF68" s="8"/>
      <c r="TUG68" s="8"/>
      <c r="TUH68" s="8"/>
      <c r="TUI68" s="8"/>
      <c r="TUJ68" s="8"/>
      <c r="TUK68" s="8"/>
      <c r="TUL68" s="8"/>
      <c r="TUM68" s="8"/>
      <c r="TUN68" s="8"/>
      <c r="TUO68" s="8"/>
      <c r="TUP68" s="8"/>
      <c r="TUQ68" s="8"/>
      <c r="TUR68" s="8"/>
      <c r="TUS68" s="8"/>
      <c r="TUT68" s="8"/>
      <c r="TUU68" s="8"/>
      <c r="TUV68" s="8"/>
      <c r="TUW68" s="8"/>
      <c r="TUX68" s="8"/>
      <c r="TUY68" s="8"/>
      <c r="TUZ68" s="8"/>
      <c r="TVA68" s="8"/>
      <c r="TVB68" s="8"/>
      <c r="TVC68" s="8"/>
      <c r="TVD68" s="8"/>
      <c r="TVE68" s="8"/>
      <c r="TVF68" s="8"/>
      <c r="TVG68" s="8"/>
      <c r="TVH68" s="8"/>
      <c r="TVI68" s="8"/>
      <c r="TVJ68" s="8"/>
      <c r="TVK68" s="8"/>
      <c r="TVL68" s="8"/>
      <c r="TVM68" s="8"/>
      <c r="TVN68" s="8"/>
      <c r="TVO68" s="8"/>
      <c r="TVP68" s="8"/>
      <c r="TVQ68" s="8"/>
      <c r="TVR68" s="8"/>
      <c r="TVS68" s="8"/>
      <c r="TVT68" s="8"/>
      <c r="TVU68" s="8"/>
      <c r="TVV68" s="8"/>
      <c r="TVW68" s="8"/>
      <c r="TVX68" s="8"/>
      <c r="TVY68" s="8"/>
      <c r="TVZ68" s="8"/>
      <c r="TWA68" s="8"/>
      <c r="TWB68" s="8"/>
      <c r="TWC68" s="8"/>
      <c r="TWD68" s="8"/>
      <c r="TWE68" s="8"/>
      <c r="TWF68" s="8"/>
      <c r="TWG68" s="8"/>
      <c r="TWH68" s="8"/>
      <c r="TWI68" s="8"/>
      <c r="TWJ68" s="8"/>
      <c r="TWK68" s="8"/>
      <c r="TWL68" s="8"/>
      <c r="TWM68" s="8"/>
      <c r="TWN68" s="8"/>
      <c r="TWO68" s="8"/>
      <c r="TWP68" s="8"/>
      <c r="TWQ68" s="8"/>
      <c r="TWR68" s="8"/>
      <c r="TWS68" s="8"/>
      <c r="TWT68" s="8"/>
      <c r="TWU68" s="8"/>
      <c r="TWV68" s="8"/>
      <c r="TWW68" s="8"/>
      <c r="TWX68" s="8"/>
      <c r="TWY68" s="8"/>
      <c r="TWZ68" s="8"/>
      <c r="TXA68" s="8"/>
      <c r="TXB68" s="8"/>
      <c r="TXC68" s="8"/>
      <c r="TXD68" s="8"/>
      <c r="TXE68" s="8"/>
      <c r="TXF68" s="8"/>
      <c r="TXG68" s="8"/>
      <c r="TXH68" s="8"/>
      <c r="TXI68" s="8"/>
      <c r="TXJ68" s="8"/>
      <c r="TXK68" s="8"/>
      <c r="TXL68" s="8"/>
      <c r="TXM68" s="8"/>
      <c r="TXN68" s="8"/>
      <c r="TXO68" s="8"/>
      <c r="TXP68" s="8"/>
      <c r="TXQ68" s="8"/>
      <c r="TXR68" s="8"/>
      <c r="TXS68" s="8"/>
      <c r="TXT68" s="8"/>
      <c r="TXU68" s="8"/>
      <c r="TXV68" s="8"/>
      <c r="TXW68" s="8"/>
      <c r="TXX68" s="8"/>
      <c r="TXY68" s="8"/>
      <c r="TXZ68" s="8"/>
      <c r="TYA68" s="8"/>
      <c r="TYB68" s="8"/>
      <c r="TYC68" s="8"/>
      <c r="TYD68" s="8"/>
      <c r="TYE68" s="8"/>
      <c r="TYF68" s="8"/>
      <c r="TYG68" s="8"/>
      <c r="TYH68" s="8"/>
      <c r="TYI68" s="8"/>
      <c r="TYJ68" s="8"/>
      <c r="TYK68" s="8"/>
      <c r="TYL68" s="8"/>
      <c r="TYM68" s="8"/>
      <c r="TYN68" s="8"/>
      <c r="TYO68" s="8"/>
      <c r="TYP68" s="8"/>
      <c r="TYQ68" s="8"/>
      <c r="TYR68" s="8"/>
      <c r="TYS68" s="8"/>
      <c r="TYT68" s="8"/>
      <c r="TYU68" s="8"/>
      <c r="TYV68" s="8"/>
      <c r="TYW68" s="8"/>
      <c r="TYX68" s="8"/>
      <c r="TYY68" s="8"/>
      <c r="TYZ68" s="8"/>
      <c r="TZA68" s="8"/>
      <c r="TZB68" s="8"/>
      <c r="TZC68" s="8"/>
      <c r="TZD68" s="8"/>
      <c r="TZE68" s="8"/>
      <c r="TZF68" s="8"/>
      <c r="TZG68" s="8"/>
      <c r="TZH68" s="8"/>
      <c r="TZI68" s="8"/>
      <c r="TZJ68" s="8"/>
      <c r="TZK68" s="8"/>
      <c r="TZL68" s="8"/>
      <c r="TZM68" s="8"/>
      <c r="TZN68" s="8"/>
      <c r="TZO68" s="8"/>
      <c r="TZP68" s="8"/>
      <c r="TZQ68" s="8"/>
      <c r="TZR68" s="8"/>
      <c r="TZS68" s="8"/>
      <c r="TZT68" s="8"/>
      <c r="TZU68" s="8"/>
      <c r="TZV68" s="8"/>
      <c r="TZW68" s="8"/>
      <c r="TZX68" s="8"/>
      <c r="TZY68" s="8"/>
      <c r="TZZ68" s="8"/>
      <c r="UAA68" s="8"/>
      <c r="UAB68" s="8"/>
      <c r="UAC68" s="8"/>
      <c r="UAD68" s="8"/>
      <c r="UAE68" s="8"/>
      <c r="UAF68" s="8"/>
      <c r="UAG68" s="8"/>
      <c r="UAH68" s="8"/>
      <c r="UAI68" s="8"/>
      <c r="UAJ68" s="8"/>
      <c r="UAK68" s="8"/>
      <c r="UAL68" s="8"/>
      <c r="UAM68" s="8"/>
      <c r="UAN68" s="8"/>
      <c r="UAO68" s="8"/>
      <c r="UAP68" s="8"/>
      <c r="UAQ68" s="8"/>
      <c r="UAR68" s="8"/>
      <c r="UAS68" s="8"/>
      <c r="UAT68" s="8"/>
      <c r="UAU68" s="8"/>
      <c r="UAV68" s="8"/>
      <c r="UAW68" s="8"/>
      <c r="UAX68" s="8"/>
      <c r="UAY68" s="8"/>
      <c r="UAZ68" s="8"/>
      <c r="UBA68" s="8"/>
      <c r="UBB68" s="8"/>
      <c r="UBC68" s="8"/>
      <c r="UBD68" s="8"/>
      <c r="UBE68" s="8"/>
      <c r="UBF68" s="8"/>
      <c r="UBG68" s="8"/>
      <c r="UBH68" s="8"/>
      <c r="UBI68" s="8"/>
      <c r="UBJ68" s="8"/>
      <c r="UBK68" s="8"/>
      <c r="UBL68" s="8"/>
      <c r="UBM68" s="8"/>
      <c r="UBN68" s="8"/>
      <c r="UBO68" s="8"/>
      <c r="UBP68" s="8"/>
      <c r="UBQ68" s="8"/>
      <c r="UBR68" s="8"/>
      <c r="UBS68" s="8"/>
      <c r="UBT68" s="8"/>
      <c r="UBU68" s="8"/>
      <c r="UBV68" s="8"/>
      <c r="UBW68" s="8"/>
      <c r="UBX68" s="8"/>
      <c r="UBY68" s="8"/>
      <c r="UBZ68" s="8"/>
      <c r="UCA68" s="8"/>
      <c r="UCB68" s="8"/>
      <c r="UCC68" s="8"/>
      <c r="UCD68" s="8"/>
      <c r="UCE68" s="8"/>
      <c r="UCF68" s="8"/>
      <c r="UCG68" s="8"/>
      <c r="UCH68" s="8"/>
      <c r="UCI68" s="8"/>
      <c r="UCJ68" s="8"/>
      <c r="UCK68" s="8"/>
      <c r="UCL68" s="8"/>
      <c r="UCM68" s="8"/>
      <c r="UCN68" s="8"/>
      <c r="UCO68" s="8"/>
      <c r="UCP68" s="8"/>
      <c r="UCQ68" s="8"/>
      <c r="UCR68" s="8"/>
      <c r="UCS68" s="8"/>
      <c r="UCT68" s="8"/>
      <c r="UCU68" s="8"/>
      <c r="UCV68" s="8"/>
      <c r="UCW68" s="8"/>
      <c r="UCX68" s="8"/>
      <c r="UCY68" s="8"/>
      <c r="UCZ68" s="8"/>
      <c r="UDA68" s="8"/>
      <c r="UDB68" s="8"/>
      <c r="UDC68" s="8"/>
      <c r="UDD68" s="8"/>
      <c r="UDE68" s="8"/>
      <c r="UDF68" s="8"/>
      <c r="UDG68" s="8"/>
      <c r="UDH68" s="8"/>
      <c r="UDI68" s="8"/>
      <c r="UDJ68" s="8"/>
      <c r="UDK68" s="8"/>
      <c r="UDL68" s="8"/>
      <c r="UDM68" s="8"/>
      <c r="UDN68" s="8"/>
      <c r="UDO68" s="8"/>
      <c r="UDP68" s="8"/>
      <c r="UDQ68" s="8"/>
      <c r="UDR68" s="8"/>
      <c r="UDS68" s="8"/>
      <c r="UDT68" s="8"/>
      <c r="UDU68" s="8"/>
      <c r="UDV68" s="8"/>
      <c r="UDW68" s="8"/>
      <c r="UDX68" s="8"/>
      <c r="UDY68" s="8"/>
      <c r="UDZ68" s="8"/>
      <c r="UEA68" s="8"/>
      <c r="UEB68" s="8"/>
      <c r="UEC68" s="8"/>
      <c r="UED68" s="8"/>
      <c r="UEE68" s="8"/>
      <c r="UEF68" s="8"/>
      <c r="UEG68" s="8"/>
      <c r="UEH68" s="8"/>
      <c r="UEI68" s="8"/>
      <c r="UEJ68" s="8"/>
      <c r="UEK68" s="8"/>
      <c r="UEL68" s="8"/>
      <c r="UEM68" s="8"/>
      <c r="UEN68" s="8"/>
      <c r="UEO68" s="8"/>
      <c r="UEP68" s="8"/>
      <c r="UEQ68" s="8"/>
      <c r="UER68" s="8"/>
      <c r="UES68" s="8"/>
      <c r="UET68" s="8"/>
      <c r="UEU68" s="8"/>
      <c r="UEV68" s="8"/>
      <c r="UEW68" s="8"/>
      <c r="UEX68" s="8"/>
      <c r="UEY68" s="8"/>
      <c r="UEZ68" s="8"/>
      <c r="UFA68" s="8"/>
      <c r="UFB68" s="8"/>
      <c r="UFC68" s="8"/>
      <c r="UFD68" s="8"/>
      <c r="UFE68" s="8"/>
      <c r="UFF68" s="8"/>
      <c r="UFG68" s="8"/>
      <c r="UFH68" s="8"/>
      <c r="UFI68" s="8"/>
      <c r="UFJ68" s="8"/>
      <c r="UFK68" s="8"/>
      <c r="UFL68" s="8"/>
      <c r="UFM68" s="8"/>
      <c r="UFN68" s="8"/>
      <c r="UFO68" s="8"/>
      <c r="UFP68" s="8"/>
      <c r="UFQ68" s="8"/>
      <c r="UFR68" s="8"/>
      <c r="UFS68" s="8"/>
      <c r="UFT68" s="8"/>
      <c r="UFU68" s="8"/>
      <c r="UFV68" s="8"/>
      <c r="UFW68" s="8"/>
      <c r="UFX68" s="8"/>
      <c r="UFY68" s="8"/>
      <c r="UFZ68" s="8"/>
      <c r="UGA68" s="8"/>
      <c r="UGB68" s="8"/>
      <c r="UGC68" s="8"/>
      <c r="UGD68" s="8"/>
      <c r="UGE68" s="8"/>
      <c r="UGF68" s="8"/>
      <c r="UGG68" s="8"/>
      <c r="UGH68" s="8"/>
      <c r="UGI68" s="8"/>
      <c r="UGJ68" s="8"/>
      <c r="UGK68" s="8"/>
      <c r="UGL68" s="8"/>
      <c r="UGM68" s="8"/>
      <c r="UGN68" s="8"/>
      <c r="UGO68" s="8"/>
      <c r="UGP68" s="8"/>
      <c r="UGQ68" s="8"/>
      <c r="UGR68" s="8"/>
      <c r="UGS68" s="8"/>
      <c r="UGT68" s="8"/>
      <c r="UGU68" s="8"/>
      <c r="UGV68" s="8"/>
      <c r="UGW68" s="8"/>
      <c r="UGX68" s="8"/>
      <c r="UGY68" s="8"/>
      <c r="UGZ68" s="8"/>
      <c r="UHA68" s="8"/>
      <c r="UHB68" s="8"/>
      <c r="UHC68" s="8"/>
      <c r="UHD68" s="8"/>
      <c r="UHE68" s="8"/>
      <c r="UHF68" s="8"/>
      <c r="UHG68" s="8"/>
      <c r="UHH68" s="8"/>
      <c r="UHI68" s="8"/>
      <c r="UHJ68" s="8"/>
      <c r="UHK68" s="8"/>
      <c r="UHL68" s="8"/>
      <c r="UHM68" s="8"/>
      <c r="UHN68" s="8"/>
      <c r="UHO68" s="8"/>
      <c r="UHP68" s="8"/>
      <c r="UHQ68" s="8"/>
      <c r="UHR68" s="8"/>
      <c r="UHS68" s="8"/>
      <c r="UHT68" s="8"/>
      <c r="UHU68" s="8"/>
      <c r="UHV68" s="8"/>
      <c r="UHW68" s="8"/>
      <c r="UHX68" s="8"/>
      <c r="UHY68" s="8"/>
      <c r="UHZ68" s="8"/>
      <c r="UIA68" s="8"/>
      <c r="UIB68" s="8"/>
      <c r="UIC68" s="8"/>
      <c r="UID68" s="8"/>
      <c r="UIE68" s="8"/>
      <c r="UIF68" s="8"/>
      <c r="UIG68" s="8"/>
      <c r="UIH68" s="8"/>
      <c r="UII68" s="8"/>
      <c r="UIJ68" s="8"/>
      <c r="UIK68" s="8"/>
      <c r="UIL68" s="8"/>
      <c r="UIM68" s="8"/>
      <c r="UIN68" s="8"/>
      <c r="UIO68" s="8"/>
      <c r="UIP68" s="8"/>
      <c r="UIQ68" s="8"/>
      <c r="UIR68" s="8"/>
      <c r="UIS68" s="8"/>
      <c r="UIT68" s="8"/>
      <c r="UIU68" s="8"/>
      <c r="UIV68" s="8"/>
      <c r="UIW68" s="8"/>
      <c r="UIX68" s="8"/>
      <c r="UIY68" s="8"/>
      <c r="UIZ68" s="8"/>
      <c r="UJA68" s="8"/>
      <c r="UJB68" s="8"/>
      <c r="UJC68" s="8"/>
      <c r="UJD68" s="8"/>
      <c r="UJE68" s="8"/>
      <c r="UJF68" s="8"/>
      <c r="UJG68" s="8"/>
      <c r="UJH68" s="8"/>
      <c r="UJI68" s="8"/>
      <c r="UJJ68" s="8"/>
      <c r="UJK68" s="8"/>
      <c r="UJL68" s="8"/>
      <c r="UJM68" s="8"/>
      <c r="UJN68" s="8"/>
      <c r="UJO68" s="8"/>
      <c r="UJP68" s="8"/>
      <c r="UJQ68" s="8"/>
      <c r="UJR68" s="8"/>
      <c r="UJS68" s="8"/>
      <c r="UJT68" s="8"/>
      <c r="UJU68" s="8"/>
      <c r="UJV68" s="8"/>
      <c r="UJW68" s="8"/>
      <c r="UJX68" s="8"/>
      <c r="UJY68" s="8"/>
      <c r="UJZ68" s="8"/>
      <c r="UKA68" s="8"/>
      <c r="UKB68" s="8"/>
      <c r="UKC68" s="8"/>
      <c r="UKD68" s="8"/>
      <c r="UKE68" s="8"/>
      <c r="UKF68" s="8"/>
      <c r="UKG68" s="8"/>
      <c r="UKH68" s="8"/>
      <c r="UKI68" s="8"/>
      <c r="UKJ68" s="8"/>
      <c r="UKK68" s="8"/>
      <c r="UKL68" s="8"/>
      <c r="UKM68" s="8"/>
      <c r="UKN68" s="8"/>
      <c r="UKO68" s="8"/>
      <c r="UKP68" s="8"/>
      <c r="UKQ68" s="8"/>
      <c r="UKR68" s="8"/>
      <c r="UKS68" s="8"/>
      <c r="UKT68" s="8"/>
      <c r="UKU68" s="8"/>
      <c r="UKV68" s="8"/>
      <c r="UKW68" s="8"/>
      <c r="UKX68" s="8"/>
      <c r="UKY68" s="8"/>
      <c r="UKZ68" s="8"/>
      <c r="ULA68" s="8"/>
      <c r="ULB68" s="8"/>
      <c r="ULC68" s="8"/>
      <c r="ULD68" s="8"/>
      <c r="ULE68" s="8"/>
      <c r="ULF68" s="8"/>
      <c r="ULG68" s="8"/>
      <c r="ULH68" s="8"/>
      <c r="ULI68" s="8"/>
      <c r="ULJ68" s="8"/>
      <c r="ULK68" s="8"/>
      <c r="ULL68" s="8"/>
      <c r="ULM68" s="8"/>
      <c r="ULN68" s="8"/>
      <c r="ULO68" s="8"/>
      <c r="ULP68" s="8"/>
      <c r="ULQ68" s="8"/>
      <c r="ULR68" s="8"/>
      <c r="ULS68" s="8"/>
      <c r="ULT68" s="8"/>
      <c r="ULU68" s="8"/>
      <c r="ULV68" s="8"/>
      <c r="ULW68" s="8"/>
      <c r="ULX68" s="8"/>
      <c r="ULY68" s="8"/>
      <c r="ULZ68" s="8"/>
      <c r="UMA68" s="8"/>
      <c r="UMB68" s="8"/>
      <c r="UMC68" s="8"/>
      <c r="UMD68" s="8"/>
      <c r="UME68" s="8"/>
      <c r="UMF68" s="8"/>
      <c r="UMG68" s="8"/>
      <c r="UMH68" s="8"/>
      <c r="UMI68" s="8"/>
      <c r="UMJ68" s="8"/>
      <c r="UMK68" s="8"/>
      <c r="UML68" s="8"/>
      <c r="UMM68" s="8"/>
      <c r="UMN68" s="8"/>
      <c r="UMO68" s="8"/>
      <c r="UMP68" s="8"/>
      <c r="UMQ68" s="8"/>
      <c r="UMR68" s="8"/>
      <c r="UMS68" s="8"/>
      <c r="UMT68" s="8"/>
      <c r="UMU68" s="8"/>
      <c r="UMV68" s="8"/>
      <c r="UMW68" s="8"/>
      <c r="UMX68" s="8"/>
      <c r="UMY68" s="8"/>
      <c r="UMZ68" s="8"/>
      <c r="UNA68" s="8"/>
      <c r="UNB68" s="8"/>
      <c r="UNC68" s="8"/>
      <c r="UND68" s="8"/>
      <c r="UNE68" s="8"/>
      <c r="UNF68" s="8"/>
      <c r="UNG68" s="8"/>
      <c r="UNH68" s="8"/>
      <c r="UNI68" s="8"/>
      <c r="UNJ68" s="8"/>
      <c r="UNK68" s="8"/>
      <c r="UNL68" s="8"/>
      <c r="UNM68" s="8"/>
      <c r="UNN68" s="8"/>
      <c r="UNO68" s="8"/>
      <c r="UNP68" s="8"/>
      <c r="UNQ68" s="8"/>
      <c r="UNR68" s="8"/>
      <c r="UNS68" s="8"/>
      <c r="UNT68" s="8"/>
      <c r="UNU68" s="8"/>
      <c r="UNV68" s="8"/>
      <c r="UNW68" s="8"/>
      <c r="UNX68" s="8"/>
      <c r="UNY68" s="8"/>
      <c r="UNZ68" s="8"/>
      <c r="UOA68" s="8"/>
      <c r="UOB68" s="8"/>
      <c r="UOC68" s="8"/>
      <c r="UOD68" s="8"/>
      <c r="UOE68" s="8"/>
      <c r="UOF68" s="8"/>
      <c r="UOG68" s="8"/>
      <c r="UOH68" s="8"/>
      <c r="UOI68" s="8"/>
      <c r="UOJ68" s="8"/>
      <c r="UOK68" s="8"/>
      <c r="UOL68" s="8"/>
      <c r="UOM68" s="8"/>
      <c r="UON68" s="8"/>
      <c r="UOO68" s="8"/>
      <c r="UOP68" s="8"/>
      <c r="UOQ68" s="8"/>
      <c r="UOR68" s="8"/>
      <c r="UOS68" s="8"/>
      <c r="UOT68" s="8"/>
      <c r="UOU68" s="8"/>
      <c r="UOV68" s="8"/>
      <c r="UOW68" s="8"/>
      <c r="UOX68" s="8"/>
      <c r="UOY68" s="8"/>
      <c r="UOZ68" s="8"/>
      <c r="UPA68" s="8"/>
      <c r="UPB68" s="8"/>
      <c r="UPC68" s="8"/>
      <c r="UPD68" s="8"/>
      <c r="UPE68" s="8"/>
      <c r="UPF68" s="8"/>
      <c r="UPG68" s="8"/>
      <c r="UPH68" s="8"/>
      <c r="UPI68" s="8"/>
      <c r="UPJ68" s="8"/>
      <c r="UPK68" s="8"/>
      <c r="UPL68" s="8"/>
      <c r="UPM68" s="8"/>
      <c r="UPN68" s="8"/>
      <c r="UPO68" s="8"/>
      <c r="UPP68" s="8"/>
      <c r="UPQ68" s="8"/>
      <c r="UPR68" s="8"/>
      <c r="UPS68" s="8"/>
      <c r="UPT68" s="8"/>
      <c r="UPU68" s="8"/>
      <c r="UPV68" s="8"/>
      <c r="UPW68" s="8"/>
      <c r="UPX68" s="8"/>
      <c r="UPY68" s="8"/>
      <c r="UPZ68" s="8"/>
      <c r="UQA68" s="8"/>
      <c r="UQB68" s="8"/>
      <c r="UQC68" s="8"/>
      <c r="UQD68" s="8"/>
      <c r="UQE68" s="8"/>
      <c r="UQF68" s="8"/>
      <c r="UQG68" s="8"/>
      <c r="UQH68" s="8"/>
      <c r="UQI68" s="8"/>
      <c r="UQJ68" s="8"/>
      <c r="UQK68" s="8"/>
      <c r="UQL68" s="8"/>
      <c r="UQM68" s="8"/>
      <c r="UQN68" s="8"/>
      <c r="UQO68" s="8"/>
      <c r="UQP68" s="8"/>
      <c r="UQQ68" s="8"/>
      <c r="UQR68" s="8"/>
      <c r="UQS68" s="8"/>
      <c r="UQT68" s="8"/>
      <c r="UQU68" s="8"/>
      <c r="UQV68" s="8"/>
      <c r="UQW68" s="8"/>
      <c r="UQX68" s="8"/>
      <c r="UQY68" s="8"/>
      <c r="UQZ68" s="8"/>
      <c r="URA68" s="8"/>
      <c r="URB68" s="8"/>
      <c r="URC68" s="8"/>
      <c r="URD68" s="8"/>
      <c r="URE68" s="8"/>
      <c r="URF68" s="8"/>
      <c r="URG68" s="8"/>
      <c r="URH68" s="8"/>
      <c r="URI68" s="8"/>
      <c r="URJ68" s="8"/>
      <c r="URK68" s="8"/>
      <c r="URL68" s="8"/>
      <c r="URM68" s="8"/>
      <c r="URN68" s="8"/>
      <c r="URO68" s="8"/>
      <c r="URP68" s="8"/>
      <c r="URQ68" s="8"/>
      <c r="URR68" s="8"/>
      <c r="URS68" s="8"/>
      <c r="URT68" s="8"/>
      <c r="URU68" s="8"/>
      <c r="URV68" s="8"/>
      <c r="URW68" s="8"/>
      <c r="URX68" s="8"/>
      <c r="URY68" s="8"/>
      <c r="URZ68" s="8"/>
      <c r="USA68" s="8"/>
      <c r="USB68" s="8"/>
      <c r="USC68" s="8"/>
      <c r="USD68" s="8"/>
      <c r="USE68" s="8"/>
      <c r="USF68" s="8"/>
      <c r="USG68" s="8"/>
      <c r="USH68" s="8"/>
      <c r="USI68" s="8"/>
      <c r="USJ68" s="8"/>
      <c r="USK68" s="8"/>
      <c r="USL68" s="8"/>
      <c r="USM68" s="8"/>
      <c r="USN68" s="8"/>
      <c r="USO68" s="8"/>
      <c r="USP68" s="8"/>
      <c r="USQ68" s="8"/>
      <c r="USR68" s="8"/>
      <c r="USS68" s="8"/>
      <c r="UST68" s="8"/>
      <c r="USU68" s="8"/>
      <c r="USV68" s="8"/>
      <c r="USW68" s="8"/>
      <c r="USX68" s="8"/>
      <c r="USY68" s="8"/>
      <c r="USZ68" s="8"/>
      <c r="UTA68" s="8"/>
      <c r="UTB68" s="8"/>
      <c r="UTC68" s="8"/>
      <c r="UTD68" s="8"/>
      <c r="UTE68" s="8"/>
      <c r="UTF68" s="8"/>
      <c r="UTG68" s="8"/>
      <c r="UTH68" s="8"/>
      <c r="UTI68" s="8"/>
      <c r="UTJ68" s="8"/>
      <c r="UTK68" s="8"/>
      <c r="UTL68" s="8"/>
      <c r="UTM68" s="8"/>
      <c r="UTN68" s="8"/>
      <c r="UTO68" s="8"/>
      <c r="UTP68" s="8"/>
      <c r="UTQ68" s="8"/>
      <c r="UTR68" s="8"/>
      <c r="UTS68" s="8"/>
      <c r="UTT68" s="8"/>
      <c r="UTU68" s="8"/>
      <c r="UTV68" s="8"/>
      <c r="UTW68" s="8"/>
      <c r="UTX68" s="8"/>
      <c r="UTY68" s="8"/>
      <c r="UTZ68" s="8"/>
      <c r="UUA68" s="8"/>
      <c r="UUB68" s="8"/>
      <c r="UUC68" s="8"/>
      <c r="UUD68" s="8"/>
      <c r="UUE68" s="8"/>
      <c r="UUF68" s="8"/>
      <c r="UUG68" s="8"/>
      <c r="UUH68" s="8"/>
      <c r="UUI68" s="8"/>
      <c r="UUJ68" s="8"/>
      <c r="UUK68" s="8"/>
      <c r="UUL68" s="8"/>
      <c r="UUM68" s="8"/>
      <c r="UUN68" s="8"/>
      <c r="UUO68" s="8"/>
      <c r="UUP68" s="8"/>
      <c r="UUQ68" s="8"/>
      <c r="UUR68" s="8"/>
      <c r="UUS68" s="8"/>
      <c r="UUT68" s="8"/>
      <c r="UUU68" s="8"/>
      <c r="UUV68" s="8"/>
      <c r="UUW68" s="8"/>
      <c r="UUX68" s="8"/>
      <c r="UUY68" s="8"/>
      <c r="UUZ68" s="8"/>
      <c r="UVA68" s="8"/>
      <c r="UVB68" s="8"/>
      <c r="UVC68" s="8"/>
      <c r="UVD68" s="8"/>
      <c r="UVE68" s="8"/>
      <c r="UVF68" s="8"/>
      <c r="UVG68" s="8"/>
      <c r="UVH68" s="8"/>
      <c r="UVI68" s="8"/>
      <c r="UVJ68" s="8"/>
      <c r="UVK68" s="8"/>
      <c r="UVL68" s="8"/>
      <c r="UVM68" s="8"/>
      <c r="UVN68" s="8"/>
      <c r="UVO68" s="8"/>
      <c r="UVP68" s="8"/>
      <c r="UVQ68" s="8"/>
      <c r="UVR68" s="8"/>
      <c r="UVS68" s="8"/>
      <c r="UVT68" s="8"/>
      <c r="UVU68" s="8"/>
      <c r="UVV68" s="8"/>
      <c r="UVW68" s="8"/>
      <c r="UVX68" s="8"/>
      <c r="UVY68" s="8"/>
      <c r="UVZ68" s="8"/>
      <c r="UWA68" s="8"/>
      <c r="UWB68" s="8"/>
      <c r="UWC68" s="8"/>
      <c r="UWD68" s="8"/>
      <c r="UWE68" s="8"/>
      <c r="UWF68" s="8"/>
      <c r="UWG68" s="8"/>
      <c r="UWH68" s="8"/>
      <c r="UWI68" s="8"/>
      <c r="UWJ68" s="8"/>
      <c r="UWK68" s="8"/>
      <c r="UWL68" s="8"/>
      <c r="UWM68" s="8"/>
      <c r="UWN68" s="8"/>
      <c r="UWO68" s="8"/>
      <c r="UWP68" s="8"/>
      <c r="UWQ68" s="8"/>
      <c r="UWR68" s="8"/>
      <c r="UWS68" s="8"/>
      <c r="UWT68" s="8"/>
      <c r="UWU68" s="8"/>
      <c r="UWV68" s="8"/>
      <c r="UWW68" s="8"/>
      <c r="UWX68" s="8"/>
      <c r="UWY68" s="8"/>
      <c r="UWZ68" s="8"/>
      <c r="UXA68" s="8"/>
      <c r="UXB68" s="8"/>
      <c r="UXC68" s="8"/>
      <c r="UXD68" s="8"/>
      <c r="UXE68" s="8"/>
      <c r="UXF68" s="8"/>
      <c r="UXG68" s="8"/>
      <c r="UXH68" s="8"/>
      <c r="UXI68" s="8"/>
      <c r="UXJ68" s="8"/>
      <c r="UXK68" s="8"/>
      <c r="UXL68" s="8"/>
      <c r="UXM68" s="8"/>
      <c r="UXN68" s="8"/>
      <c r="UXO68" s="8"/>
      <c r="UXP68" s="8"/>
      <c r="UXQ68" s="8"/>
      <c r="UXR68" s="8"/>
      <c r="UXS68" s="8"/>
      <c r="UXT68" s="8"/>
      <c r="UXU68" s="8"/>
      <c r="UXV68" s="8"/>
      <c r="UXW68" s="8"/>
      <c r="UXX68" s="8"/>
      <c r="UXY68" s="8"/>
      <c r="UXZ68" s="8"/>
      <c r="UYA68" s="8"/>
      <c r="UYB68" s="8"/>
      <c r="UYC68" s="8"/>
      <c r="UYD68" s="8"/>
      <c r="UYE68" s="8"/>
      <c r="UYF68" s="8"/>
      <c r="UYG68" s="8"/>
      <c r="UYH68" s="8"/>
      <c r="UYI68" s="8"/>
      <c r="UYJ68" s="8"/>
      <c r="UYK68" s="8"/>
      <c r="UYL68" s="8"/>
      <c r="UYM68" s="8"/>
      <c r="UYN68" s="8"/>
      <c r="UYO68" s="8"/>
      <c r="UYP68" s="8"/>
      <c r="UYQ68" s="8"/>
      <c r="UYR68" s="8"/>
      <c r="UYS68" s="8"/>
      <c r="UYT68" s="8"/>
      <c r="UYU68" s="8"/>
      <c r="UYV68" s="8"/>
      <c r="UYW68" s="8"/>
      <c r="UYX68" s="8"/>
      <c r="UYY68" s="8"/>
      <c r="UYZ68" s="8"/>
      <c r="UZA68" s="8"/>
      <c r="UZB68" s="8"/>
      <c r="UZC68" s="8"/>
      <c r="UZD68" s="8"/>
      <c r="UZE68" s="8"/>
      <c r="UZF68" s="8"/>
      <c r="UZG68" s="8"/>
      <c r="UZH68" s="8"/>
      <c r="UZI68" s="8"/>
      <c r="UZJ68" s="8"/>
      <c r="UZK68" s="8"/>
      <c r="UZL68" s="8"/>
      <c r="UZM68" s="8"/>
      <c r="UZN68" s="8"/>
      <c r="UZO68" s="8"/>
      <c r="UZP68" s="8"/>
      <c r="UZQ68" s="8"/>
      <c r="UZR68" s="8"/>
      <c r="UZS68" s="8"/>
      <c r="UZT68" s="8"/>
      <c r="UZU68" s="8"/>
      <c r="UZV68" s="8"/>
      <c r="UZW68" s="8"/>
      <c r="UZX68" s="8"/>
      <c r="UZY68" s="8"/>
      <c r="UZZ68" s="8"/>
      <c r="VAA68" s="8"/>
      <c r="VAB68" s="8"/>
      <c r="VAC68" s="8"/>
      <c r="VAD68" s="8"/>
      <c r="VAE68" s="8"/>
      <c r="VAF68" s="8"/>
      <c r="VAG68" s="8"/>
      <c r="VAH68" s="8"/>
      <c r="VAI68" s="8"/>
      <c r="VAJ68" s="8"/>
      <c r="VAK68" s="8"/>
      <c r="VAL68" s="8"/>
      <c r="VAM68" s="8"/>
      <c r="VAN68" s="8"/>
      <c r="VAO68" s="8"/>
      <c r="VAP68" s="8"/>
      <c r="VAQ68" s="8"/>
      <c r="VAR68" s="8"/>
      <c r="VAS68" s="8"/>
      <c r="VAT68" s="8"/>
      <c r="VAU68" s="8"/>
      <c r="VAV68" s="8"/>
      <c r="VAW68" s="8"/>
      <c r="VAX68" s="8"/>
      <c r="VAY68" s="8"/>
      <c r="VAZ68" s="8"/>
      <c r="VBA68" s="8"/>
      <c r="VBB68" s="8"/>
      <c r="VBC68" s="8"/>
      <c r="VBD68" s="8"/>
      <c r="VBE68" s="8"/>
      <c r="VBF68" s="8"/>
      <c r="VBG68" s="8"/>
      <c r="VBH68" s="8"/>
      <c r="VBI68" s="8"/>
      <c r="VBJ68" s="8"/>
      <c r="VBK68" s="8"/>
      <c r="VBL68" s="8"/>
      <c r="VBM68" s="8"/>
      <c r="VBN68" s="8"/>
      <c r="VBO68" s="8"/>
      <c r="VBP68" s="8"/>
      <c r="VBQ68" s="8"/>
      <c r="VBR68" s="8"/>
      <c r="VBS68" s="8"/>
      <c r="VBT68" s="8"/>
      <c r="VBU68" s="8"/>
      <c r="VBV68" s="8"/>
      <c r="VBW68" s="8"/>
      <c r="VBX68" s="8"/>
      <c r="VBY68" s="8"/>
      <c r="VBZ68" s="8"/>
      <c r="VCA68" s="8"/>
      <c r="VCB68" s="8"/>
      <c r="VCC68" s="8"/>
      <c r="VCD68" s="8"/>
      <c r="VCE68" s="8"/>
      <c r="VCF68" s="8"/>
      <c r="VCG68" s="8"/>
      <c r="VCH68" s="8"/>
      <c r="VCI68" s="8"/>
      <c r="VCJ68" s="8"/>
      <c r="VCK68" s="8"/>
      <c r="VCL68" s="8"/>
      <c r="VCM68" s="8"/>
      <c r="VCN68" s="8"/>
      <c r="VCO68" s="8"/>
      <c r="VCP68" s="8"/>
      <c r="VCQ68" s="8"/>
      <c r="VCR68" s="8"/>
      <c r="VCS68" s="8"/>
      <c r="VCT68" s="8"/>
      <c r="VCU68" s="8"/>
      <c r="VCV68" s="8"/>
      <c r="VCW68" s="8"/>
      <c r="VCX68" s="8"/>
      <c r="VCY68" s="8"/>
      <c r="VCZ68" s="8"/>
      <c r="VDA68" s="8"/>
      <c r="VDB68" s="8"/>
      <c r="VDC68" s="8"/>
      <c r="VDD68" s="8"/>
      <c r="VDE68" s="8"/>
      <c r="VDF68" s="8"/>
      <c r="VDG68" s="8"/>
      <c r="VDH68" s="8"/>
      <c r="VDI68" s="8"/>
      <c r="VDJ68" s="8"/>
      <c r="VDK68" s="8"/>
      <c r="VDL68" s="8"/>
      <c r="VDM68" s="8"/>
      <c r="VDN68" s="8"/>
      <c r="VDO68" s="8"/>
      <c r="VDP68" s="8"/>
      <c r="VDQ68" s="8"/>
      <c r="VDR68" s="8"/>
      <c r="VDS68" s="8"/>
      <c r="VDT68" s="8"/>
      <c r="VDU68" s="8"/>
      <c r="VDV68" s="8"/>
      <c r="VDW68" s="8"/>
      <c r="VDX68" s="8"/>
      <c r="VDY68" s="8"/>
      <c r="VDZ68" s="8"/>
      <c r="VEA68" s="8"/>
      <c r="VEB68" s="8"/>
      <c r="VEC68" s="8"/>
      <c r="VED68" s="8"/>
      <c r="VEE68" s="8"/>
      <c r="VEF68" s="8"/>
      <c r="VEG68" s="8"/>
      <c r="VEH68" s="8"/>
      <c r="VEI68" s="8"/>
      <c r="VEJ68" s="8"/>
      <c r="VEK68" s="8"/>
      <c r="VEL68" s="8"/>
      <c r="VEM68" s="8"/>
      <c r="VEN68" s="8"/>
      <c r="VEO68" s="8"/>
      <c r="VEP68" s="8"/>
      <c r="VEQ68" s="8"/>
      <c r="VER68" s="8"/>
      <c r="VES68" s="8"/>
      <c r="VET68" s="8"/>
      <c r="VEU68" s="8"/>
      <c r="VEV68" s="8"/>
      <c r="VEW68" s="8"/>
      <c r="VEX68" s="8"/>
      <c r="VEY68" s="8"/>
      <c r="VEZ68" s="8"/>
      <c r="VFA68" s="8"/>
      <c r="VFB68" s="8"/>
      <c r="VFC68" s="8"/>
      <c r="VFD68" s="8"/>
      <c r="VFE68" s="8"/>
      <c r="VFF68" s="8"/>
      <c r="VFG68" s="8"/>
      <c r="VFH68" s="8"/>
      <c r="VFI68" s="8"/>
      <c r="VFJ68" s="8"/>
      <c r="VFK68" s="8"/>
      <c r="VFL68" s="8"/>
      <c r="VFM68" s="8"/>
      <c r="VFN68" s="8"/>
      <c r="VFO68" s="8"/>
      <c r="VFP68" s="8"/>
      <c r="VFQ68" s="8"/>
      <c r="VFR68" s="8"/>
      <c r="VFS68" s="8"/>
      <c r="VFT68" s="8"/>
      <c r="VFU68" s="8"/>
      <c r="VFV68" s="8"/>
      <c r="VFW68" s="8"/>
      <c r="VFX68" s="8"/>
      <c r="VFY68" s="8"/>
      <c r="VFZ68" s="8"/>
      <c r="VGA68" s="8"/>
      <c r="VGB68" s="8"/>
      <c r="VGC68" s="8"/>
      <c r="VGD68" s="8"/>
      <c r="VGE68" s="8"/>
      <c r="VGF68" s="8"/>
      <c r="VGG68" s="8"/>
      <c r="VGH68" s="8"/>
      <c r="VGI68" s="8"/>
      <c r="VGJ68" s="8"/>
      <c r="VGK68" s="8"/>
      <c r="VGL68" s="8"/>
      <c r="VGM68" s="8"/>
      <c r="VGN68" s="8"/>
      <c r="VGO68" s="8"/>
      <c r="VGP68" s="8"/>
      <c r="VGQ68" s="8"/>
      <c r="VGR68" s="8"/>
      <c r="VGS68" s="8"/>
      <c r="VGT68" s="8"/>
      <c r="VGU68" s="8"/>
      <c r="VGV68" s="8"/>
      <c r="VGW68" s="8"/>
      <c r="VGX68" s="8"/>
      <c r="VGY68" s="8"/>
      <c r="VGZ68" s="8"/>
      <c r="VHA68" s="8"/>
      <c r="VHB68" s="8"/>
      <c r="VHC68" s="8"/>
      <c r="VHD68" s="8"/>
      <c r="VHE68" s="8"/>
      <c r="VHF68" s="8"/>
      <c r="VHG68" s="8"/>
      <c r="VHH68" s="8"/>
      <c r="VHI68" s="8"/>
      <c r="VHJ68" s="8"/>
      <c r="VHK68" s="8"/>
      <c r="VHL68" s="8"/>
      <c r="VHM68" s="8"/>
      <c r="VHN68" s="8"/>
      <c r="VHO68" s="8"/>
      <c r="VHP68" s="8"/>
      <c r="VHQ68" s="8"/>
      <c r="VHR68" s="8"/>
      <c r="VHS68" s="8"/>
      <c r="VHT68" s="8"/>
      <c r="VHU68" s="8"/>
      <c r="VHV68" s="8"/>
      <c r="VHW68" s="8"/>
      <c r="VHX68" s="8"/>
      <c r="VHY68" s="8"/>
      <c r="VHZ68" s="8"/>
      <c r="VIA68" s="8"/>
      <c r="VIB68" s="8"/>
      <c r="VIC68" s="8"/>
      <c r="VID68" s="8"/>
      <c r="VIE68" s="8"/>
      <c r="VIF68" s="8"/>
      <c r="VIG68" s="8"/>
      <c r="VIH68" s="8"/>
      <c r="VII68" s="8"/>
      <c r="VIJ68" s="8"/>
      <c r="VIK68" s="8"/>
      <c r="VIL68" s="8"/>
      <c r="VIM68" s="8"/>
      <c r="VIN68" s="8"/>
      <c r="VIO68" s="8"/>
      <c r="VIP68" s="8"/>
      <c r="VIQ68" s="8"/>
      <c r="VIR68" s="8"/>
      <c r="VIS68" s="8"/>
      <c r="VIT68" s="8"/>
      <c r="VIU68" s="8"/>
      <c r="VIV68" s="8"/>
      <c r="VIW68" s="8"/>
      <c r="VIX68" s="8"/>
      <c r="VIY68" s="8"/>
      <c r="VIZ68" s="8"/>
      <c r="VJA68" s="8"/>
      <c r="VJB68" s="8"/>
      <c r="VJC68" s="8"/>
      <c r="VJD68" s="8"/>
      <c r="VJE68" s="8"/>
      <c r="VJF68" s="8"/>
      <c r="VJG68" s="8"/>
      <c r="VJH68" s="8"/>
      <c r="VJI68" s="8"/>
      <c r="VJJ68" s="8"/>
      <c r="VJK68" s="8"/>
      <c r="VJL68" s="8"/>
      <c r="VJM68" s="8"/>
      <c r="VJN68" s="8"/>
      <c r="VJO68" s="8"/>
      <c r="VJP68" s="8"/>
      <c r="VJQ68" s="8"/>
      <c r="VJR68" s="8"/>
      <c r="VJS68" s="8"/>
      <c r="VJT68" s="8"/>
      <c r="VJU68" s="8"/>
      <c r="VJV68" s="8"/>
      <c r="VJW68" s="8"/>
      <c r="VJX68" s="8"/>
      <c r="VJY68" s="8"/>
      <c r="VJZ68" s="8"/>
      <c r="VKA68" s="8"/>
      <c r="VKB68" s="8"/>
      <c r="VKC68" s="8"/>
      <c r="VKD68" s="8"/>
      <c r="VKE68" s="8"/>
      <c r="VKF68" s="8"/>
      <c r="VKG68" s="8"/>
      <c r="VKH68" s="8"/>
      <c r="VKI68" s="8"/>
      <c r="VKJ68" s="8"/>
      <c r="VKK68" s="8"/>
      <c r="VKL68" s="8"/>
      <c r="VKM68" s="8"/>
      <c r="VKN68" s="8"/>
      <c r="VKO68" s="8"/>
      <c r="VKP68" s="8"/>
      <c r="VKQ68" s="8"/>
      <c r="VKR68" s="8"/>
      <c r="VKS68" s="8"/>
      <c r="VKT68" s="8"/>
      <c r="VKU68" s="8"/>
      <c r="VKV68" s="8"/>
      <c r="VKW68" s="8"/>
      <c r="VKX68" s="8"/>
      <c r="VKY68" s="8"/>
      <c r="VKZ68" s="8"/>
      <c r="VLA68" s="8"/>
      <c r="VLB68" s="8"/>
      <c r="VLC68" s="8"/>
      <c r="VLD68" s="8"/>
      <c r="VLE68" s="8"/>
      <c r="VLF68" s="8"/>
      <c r="VLG68" s="8"/>
      <c r="VLH68" s="8"/>
      <c r="VLI68" s="8"/>
      <c r="VLJ68" s="8"/>
      <c r="VLK68" s="8"/>
      <c r="VLL68" s="8"/>
      <c r="VLM68" s="8"/>
      <c r="VLN68" s="8"/>
      <c r="VLO68" s="8"/>
      <c r="VLP68" s="8"/>
      <c r="VLQ68" s="8"/>
      <c r="VLR68" s="8"/>
      <c r="VLS68" s="8"/>
      <c r="VLT68" s="8"/>
      <c r="VLU68" s="8"/>
      <c r="VLV68" s="8"/>
      <c r="VLW68" s="8"/>
      <c r="VLX68" s="8"/>
      <c r="VLY68" s="8"/>
      <c r="VLZ68" s="8"/>
      <c r="VMA68" s="8"/>
      <c r="VMB68" s="8"/>
      <c r="VMC68" s="8"/>
      <c r="VMD68" s="8"/>
      <c r="VME68" s="8"/>
      <c r="VMF68" s="8"/>
      <c r="VMG68" s="8"/>
      <c r="VMH68" s="8"/>
      <c r="VMI68" s="8"/>
      <c r="VMJ68" s="8"/>
      <c r="VMK68" s="8"/>
      <c r="VML68" s="8"/>
      <c r="VMM68" s="8"/>
      <c r="VMN68" s="8"/>
      <c r="VMO68" s="8"/>
      <c r="VMP68" s="8"/>
      <c r="VMQ68" s="8"/>
      <c r="VMR68" s="8"/>
      <c r="VMS68" s="8"/>
      <c r="VMT68" s="8"/>
      <c r="VMU68" s="8"/>
      <c r="VMV68" s="8"/>
      <c r="VMW68" s="8"/>
      <c r="VMX68" s="8"/>
      <c r="VMY68" s="8"/>
      <c r="VMZ68" s="8"/>
      <c r="VNA68" s="8"/>
      <c r="VNB68" s="8"/>
      <c r="VNC68" s="8"/>
      <c r="VND68" s="8"/>
      <c r="VNE68" s="8"/>
      <c r="VNF68" s="8"/>
      <c r="VNG68" s="8"/>
      <c r="VNH68" s="8"/>
      <c r="VNI68" s="8"/>
      <c r="VNJ68" s="8"/>
      <c r="VNK68" s="8"/>
      <c r="VNL68" s="8"/>
      <c r="VNM68" s="8"/>
      <c r="VNN68" s="8"/>
      <c r="VNO68" s="8"/>
      <c r="VNP68" s="8"/>
      <c r="VNQ68" s="8"/>
      <c r="VNR68" s="8"/>
      <c r="VNS68" s="8"/>
      <c r="VNT68" s="8"/>
      <c r="VNU68" s="8"/>
      <c r="VNV68" s="8"/>
      <c r="VNW68" s="8"/>
      <c r="VNX68" s="8"/>
      <c r="VNY68" s="8"/>
      <c r="VNZ68" s="8"/>
      <c r="VOA68" s="8"/>
      <c r="VOB68" s="8"/>
      <c r="VOC68" s="8"/>
      <c r="VOD68" s="8"/>
      <c r="VOE68" s="8"/>
      <c r="VOF68" s="8"/>
      <c r="VOG68" s="8"/>
      <c r="VOH68" s="8"/>
      <c r="VOI68" s="8"/>
      <c r="VOJ68" s="8"/>
      <c r="VOK68" s="8"/>
      <c r="VOL68" s="8"/>
      <c r="VOM68" s="8"/>
      <c r="VON68" s="8"/>
      <c r="VOO68" s="8"/>
      <c r="VOP68" s="8"/>
      <c r="VOQ68" s="8"/>
      <c r="VOR68" s="8"/>
      <c r="VOS68" s="8"/>
      <c r="VOT68" s="8"/>
      <c r="VOU68" s="8"/>
      <c r="VOV68" s="8"/>
      <c r="VOW68" s="8"/>
      <c r="VOX68" s="8"/>
      <c r="VOY68" s="8"/>
      <c r="VOZ68" s="8"/>
      <c r="VPA68" s="8"/>
      <c r="VPB68" s="8"/>
      <c r="VPC68" s="8"/>
      <c r="VPD68" s="8"/>
      <c r="VPE68" s="8"/>
      <c r="VPF68" s="8"/>
      <c r="VPG68" s="8"/>
      <c r="VPH68" s="8"/>
      <c r="VPI68" s="8"/>
      <c r="VPJ68" s="8"/>
      <c r="VPK68" s="8"/>
      <c r="VPL68" s="8"/>
      <c r="VPM68" s="8"/>
      <c r="VPN68" s="8"/>
      <c r="VPO68" s="8"/>
      <c r="VPP68" s="8"/>
      <c r="VPQ68" s="8"/>
      <c r="VPR68" s="8"/>
      <c r="VPS68" s="8"/>
      <c r="VPT68" s="8"/>
      <c r="VPU68" s="8"/>
      <c r="VPV68" s="8"/>
      <c r="VPW68" s="8"/>
      <c r="VPX68" s="8"/>
      <c r="VPY68" s="8"/>
      <c r="VPZ68" s="8"/>
      <c r="VQA68" s="8"/>
      <c r="VQB68" s="8"/>
      <c r="VQC68" s="8"/>
      <c r="VQD68" s="8"/>
      <c r="VQE68" s="8"/>
      <c r="VQF68" s="8"/>
      <c r="VQG68" s="8"/>
      <c r="VQH68" s="8"/>
      <c r="VQI68" s="8"/>
      <c r="VQJ68" s="8"/>
      <c r="VQK68" s="8"/>
      <c r="VQL68" s="8"/>
      <c r="VQM68" s="8"/>
      <c r="VQN68" s="8"/>
      <c r="VQO68" s="8"/>
      <c r="VQP68" s="8"/>
      <c r="VQQ68" s="8"/>
      <c r="VQR68" s="8"/>
      <c r="VQS68" s="8"/>
      <c r="VQT68" s="8"/>
      <c r="VQU68" s="8"/>
      <c r="VQV68" s="8"/>
      <c r="VQW68" s="8"/>
      <c r="VQX68" s="8"/>
      <c r="VQY68" s="8"/>
      <c r="VQZ68" s="8"/>
      <c r="VRA68" s="8"/>
      <c r="VRB68" s="8"/>
      <c r="VRC68" s="8"/>
      <c r="VRD68" s="8"/>
      <c r="VRE68" s="8"/>
      <c r="VRF68" s="8"/>
      <c r="VRG68" s="8"/>
      <c r="VRH68" s="8"/>
      <c r="VRI68" s="8"/>
      <c r="VRJ68" s="8"/>
      <c r="VRK68" s="8"/>
      <c r="VRL68" s="8"/>
      <c r="VRM68" s="8"/>
      <c r="VRN68" s="8"/>
      <c r="VRO68" s="8"/>
      <c r="VRP68" s="8"/>
      <c r="VRQ68" s="8"/>
      <c r="VRR68" s="8"/>
      <c r="VRS68" s="8"/>
      <c r="VRT68" s="8"/>
      <c r="VRU68" s="8"/>
      <c r="VRV68" s="8"/>
      <c r="VRW68" s="8"/>
      <c r="VRX68" s="8"/>
      <c r="VRY68" s="8"/>
      <c r="VRZ68" s="8"/>
      <c r="VSA68" s="8"/>
      <c r="VSB68" s="8"/>
      <c r="VSC68" s="8"/>
      <c r="VSD68" s="8"/>
      <c r="VSE68" s="8"/>
      <c r="VSF68" s="8"/>
      <c r="VSG68" s="8"/>
      <c r="VSH68" s="8"/>
      <c r="VSI68" s="8"/>
      <c r="VSJ68" s="8"/>
      <c r="VSK68" s="8"/>
      <c r="VSL68" s="8"/>
      <c r="VSM68" s="8"/>
      <c r="VSN68" s="8"/>
      <c r="VSO68" s="8"/>
      <c r="VSP68" s="8"/>
      <c r="VSQ68" s="8"/>
      <c r="VSR68" s="8"/>
      <c r="VSS68" s="8"/>
      <c r="VST68" s="8"/>
      <c r="VSU68" s="8"/>
      <c r="VSV68" s="8"/>
      <c r="VSW68" s="8"/>
      <c r="VSX68" s="8"/>
      <c r="VSY68" s="8"/>
      <c r="VSZ68" s="8"/>
      <c r="VTA68" s="8"/>
      <c r="VTB68" s="8"/>
      <c r="VTC68" s="8"/>
      <c r="VTD68" s="8"/>
      <c r="VTE68" s="8"/>
      <c r="VTF68" s="8"/>
      <c r="VTG68" s="8"/>
      <c r="VTH68" s="8"/>
      <c r="VTI68" s="8"/>
      <c r="VTJ68" s="8"/>
      <c r="VTK68" s="8"/>
      <c r="VTL68" s="8"/>
      <c r="VTM68" s="8"/>
      <c r="VTN68" s="8"/>
      <c r="VTO68" s="8"/>
      <c r="VTP68" s="8"/>
      <c r="VTQ68" s="8"/>
      <c r="VTR68" s="8"/>
      <c r="VTS68" s="8"/>
      <c r="VTT68" s="8"/>
      <c r="VTU68" s="8"/>
      <c r="VTV68" s="8"/>
      <c r="VTW68" s="8"/>
      <c r="VTX68" s="8"/>
      <c r="VTY68" s="8"/>
      <c r="VTZ68" s="8"/>
      <c r="VUA68" s="8"/>
      <c r="VUB68" s="8"/>
      <c r="VUC68" s="8"/>
      <c r="VUD68" s="8"/>
      <c r="VUE68" s="8"/>
      <c r="VUF68" s="8"/>
      <c r="VUG68" s="8"/>
      <c r="VUH68" s="8"/>
      <c r="VUI68" s="8"/>
      <c r="VUJ68" s="8"/>
      <c r="VUK68" s="8"/>
      <c r="VUL68" s="8"/>
      <c r="VUM68" s="8"/>
      <c r="VUN68" s="8"/>
      <c r="VUO68" s="8"/>
      <c r="VUP68" s="8"/>
      <c r="VUQ68" s="8"/>
      <c r="VUR68" s="8"/>
      <c r="VUS68" s="8"/>
      <c r="VUT68" s="8"/>
      <c r="VUU68" s="8"/>
      <c r="VUV68" s="8"/>
      <c r="VUW68" s="8"/>
      <c r="VUX68" s="8"/>
      <c r="VUY68" s="8"/>
      <c r="VUZ68" s="8"/>
      <c r="VVA68" s="8"/>
      <c r="VVB68" s="8"/>
      <c r="VVC68" s="8"/>
      <c r="VVD68" s="8"/>
      <c r="VVE68" s="8"/>
      <c r="VVF68" s="8"/>
      <c r="VVG68" s="8"/>
      <c r="VVH68" s="8"/>
      <c r="VVI68" s="8"/>
      <c r="VVJ68" s="8"/>
      <c r="VVK68" s="8"/>
      <c r="VVL68" s="8"/>
      <c r="VVM68" s="8"/>
      <c r="VVN68" s="8"/>
      <c r="VVO68" s="8"/>
      <c r="VVP68" s="8"/>
      <c r="VVQ68" s="8"/>
      <c r="VVR68" s="8"/>
      <c r="VVS68" s="8"/>
      <c r="VVT68" s="8"/>
      <c r="VVU68" s="8"/>
      <c r="VVV68" s="8"/>
      <c r="VVW68" s="8"/>
      <c r="VVX68" s="8"/>
      <c r="VVY68" s="8"/>
      <c r="VVZ68" s="8"/>
      <c r="VWA68" s="8"/>
      <c r="VWB68" s="8"/>
      <c r="VWC68" s="8"/>
      <c r="VWD68" s="8"/>
      <c r="VWE68" s="8"/>
      <c r="VWF68" s="8"/>
      <c r="VWG68" s="8"/>
      <c r="VWH68" s="8"/>
      <c r="VWI68" s="8"/>
      <c r="VWJ68" s="8"/>
      <c r="VWK68" s="8"/>
      <c r="VWL68" s="8"/>
      <c r="VWM68" s="8"/>
      <c r="VWN68" s="8"/>
      <c r="VWO68" s="8"/>
      <c r="VWP68" s="8"/>
      <c r="VWQ68" s="8"/>
      <c r="VWR68" s="8"/>
      <c r="VWS68" s="8"/>
      <c r="VWT68" s="8"/>
      <c r="VWU68" s="8"/>
      <c r="VWV68" s="8"/>
      <c r="VWW68" s="8"/>
      <c r="VWX68" s="8"/>
      <c r="VWY68" s="8"/>
      <c r="VWZ68" s="8"/>
      <c r="VXA68" s="8"/>
      <c r="VXB68" s="8"/>
      <c r="VXC68" s="8"/>
      <c r="VXD68" s="8"/>
      <c r="VXE68" s="8"/>
      <c r="VXF68" s="8"/>
      <c r="VXG68" s="8"/>
      <c r="VXH68" s="8"/>
      <c r="VXI68" s="8"/>
      <c r="VXJ68" s="8"/>
      <c r="VXK68" s="8"/>
      <c r="VXL68" s="8"/>
      <c r="VXM68" s="8"/>
      <c r="VXN68" s="8"/>
      <c r="VXO68" s="8"/>
      <c r="VXP68" s="8"/>
      <c r="VXQ68" s="8"/>
      <c r="VXR68" s="8"/>
      <c r="VXS68" s="8"/>
      <c r="VXT68" s="8"/>
      <c r="VXU68" s="8"/>
      <c r="VXV68" s="8"/>
      <c r="VXW68" s="8"/>
      <c r="VXX68" s="8"/>
      <c r="VXY68" s="8"/>
      <c r="VXZ68" s="8"/>
      <c r="VYA68" s="8"/>
      <c r="VYB68" s="8"/>
      <c r="VYC68" s="8"/>
      <c r="VYD68" s="8"/>
      <c r="VYE68" s="8"/>
      <c r="VYF68" s="8"/>
      <c r="VYG68" s="8"/>
      <c r="VYH68" s="8"/>
      <c r="VYI68" s="8"/>
      <c r="VYJ68" s="8"/>
      <c r="VYK68" s="8"/>
      <c r="VYL68" s="8"/>
      <c r="VYM68" s="8"/>
      <c r="VYN68" s="8"/>
      <c r="VYO68" s="8"/>
      <c r="VYP68" s="8"/>
      <c r="VYQ68" s="8"/>
      <c r="VYR68" s="8"/>
      <c r="VYS68" s="8"/>
      <c r="VYT68" s="8"/>
      <c r="VYU68" s="8"/>
      <c r="VYV68" s="8"/>
      <c r="VYW68" s="8"/>
      <c r="VYX68" s="8"/>
      <c r="VYY68" s="8"/>
      <c r="VYZ68" s="8"/>
      <c r="VZA68" s="8"/>
      <c r="VZB68" s="8"/>
      <c r="VZC68" s="8"/>
      <c r="VZD68" s="8"/>
      <c r="VZE68" s="8"/>
      <c r="VZF68" s="8"/>
      <c r="VZG68" s="8"/>
      <c r="VZH68" s="8"/>
      <c r="VZI68" s="8"/>
      <c r="VZJ68" s="8"/>
      <c r="VZK68" s="8"/>
      <c r="VZL68" s="8"/>
      <c r="VZM68" s="8"/>
      <c r="VZN68" s="8"/>
      <c r="VZO68" s="8"/>
      <c r="VZP68" s="8"/>
      <c r="VZQ68" s="8"/>
      <c r="VZR68" s="8"/>
      <c r="VZS68" s="8"/>
      <c r="VZT68" s="8"/>
      <c r="VZU68" s="8"/>
      <c r="VZV68" s="8"/>
      <c r="VZW68" s="8"/>
      <c r="VZX68" s="8"/>
      <c r="VZY68" s="8"/>
      <c r="VZZ68" s="8"/>
      <c r="WAA68" s="8"/>
      <c r="WAB68" s="8"/>
      <c r="WAC68" s="8"/>
      <c r="WAD68" s="8"/>
      <c r="WAE68" s="8"/>
      <c r="WAF68" s="8"/>
      <c r="WAG68" s="8"/>
      <c r="WAH68" s="8"/>
      <c r="WAI68" s="8"/>
      <c r="WAJ68" s="8"/>
      <c r="WAK68" s="8"/>
      <c r="WAL68" s="8"/>
      <c r="WAM68" s="8"/>
      <c r="WAN68" s="8"/>
      <c r="WAO68" s="8"/>
      <c r="WAP68" s="8"/>
      <c r="WAQ68" s="8"/>
      <c r="WAR68" s="8"/>
      <c r="WAS68" s="8"/>
      <c r="WAT68" s="8"/>
      <c r="WAU68" s="8"/>
      <c r="WAV68" s="8"/>
      <c r="WAW68" s="8"/>
      <c r="WAX68" s="8"/>
      <c r="WAY68" s="8"/>
      <c r="WAZ68" s="8"/>
      <c r="WBA68" s="8"/>
      <c r="WBB68" s="8"/>
      <c r="WBC68" s="8"/>
      <c r="WBD68" s="8"/>
      <c r="WBE68" s="8"/>
      <c r="WBF68" s="8"/>
      <c r="WBG68" s="8"/>
      <c r="WBH68" s="8"/>
      <c r="WBI68" s="8"/>
      <c r="WBJ68" s="8"/>
      <c r="WBK68" s="8"/>
      <c r="WBL68" s="8"/>
      <c r="WBM68" s="8"/>
      <c r="WBN68" s="8"/>
      <c r="WBO68" s="8"/>
      <c r="WBP68" s="8"/>
      <c r="WBQ68" s="8"/>
      <c r="WBR68" s="8"/>
      <c r="WBS68" s="8"/>
      <c r="WBT68" s="8"/>
      <c r="WBU68" s="8"/>
      <c r="WBV68" s="8"/>
      <c r="WBW68" s="8"/>
      <c r="WBX68" s="8"/>
      <c r="WBY68" s="8"/>
      <c r="WBZ68" s="8"/>
      <c r="WCA68" s="8"/>
      <c r="WCB68" s="8"/>
      <c r="WCC68" s="8"/>
      <c r="WCD68" s="8"/>
      <c r="WCE68" s="8"/>
      <c r="WCF68" s="8"/>
      <c r="WCG68" s="8"/>
      <c r="WCH68" s="8"/>
      <c r="WCI68" s="8"/>
      <c r="WCJ68" s="8"/>
      <c r="WCK68" s="8"/>
      <c r="WCL68" s="8"/>
      <c r="WCM68" s="8"/>
      <c r="WCN68" s="8"/>
      <c r="WCO68" s="8"/>
      <c r="WCP68" s="8"/>
      <c r="WCQ68" s="8"/>
      <c r="WCR68" s="8"/>
      <c r="WCS68" s="8"/>
      <c r="WCT68" s="8"/>
      <c r="WCU68" s="8"/>
      <c r="WCV68" s="8"/>
      <c r="WCW68" s="8"/>
      <c r="WCX68" s="8"/>
      <c r="WCY68" s="8"/>
      <c r="WCZ68" s="8"/>
      <c r="WDA68" s="8"/>
      <c r="WDB68" s="8"/>
      <c r="WDC68" s="8"/>
      <c r="WDD68" s="8"/>
      <c r="WDE68" s="8"/>
      <c r="WDF68" s="8"/>
      <c r="WDG68" s="8"/>
      <c r="WDH68" s="8"/>
      <c r="WDI68" s="8"/>
      <c r="WDJ68" s="8"/>
      <c r="WDK68" s="8"/>
      <c r="WDL68" s="8"/>
      <c r="WDM68" s="8"/>
      <c r="WDN68" s="8"/>
      <c r="WDO68" s="8"/>
      <c r="WDP68" s="8"/>
      <c r="WDQ68" s="8"/>
      <c r="WDR68" s="8"/>
      <c r="WDS68" s="8"/>
      <c r="WDT68" s="8"/>
      <c r="WDU68" s="8"/>
      <c r="WDV68" s="8"/>
      <c r="WDW68" s="8"/>
      <c r="WDX68" s="8"/>
      <c r="WDY68" s="8"/>
      <c r="WDZ68" s="8"/>
      <c r="WEA68" s="8"/>
      <c r="WEB68" s="8"/>
      <c r="WEC68" s="8"/>
      <c r="WED68" s="8"/>
      <c r="WEE68" s="8"/>
      <c r="WEF68" s="8"/>
      <c r="WEG68" s="8"/>
      <c r="WEH68" s="8"/>
      <c r="WEI68" s="8"/>
      <c r="WEJ68" s="8"/>
      <c r="WEK68" s="8"/>
      <c r="WEL68" s="8"/>
      <c r="WEM68" s="8"/>
      <c r="WEN68" s="8"/>
      <c r="WEO68" s="8"/>
      <c r="WEP68" s="8"/>
      <c r="WEQ68" s="8"/>
      <c r="WER68" s="8"/>
      <c r="WES68" s="8"/>
      <c r="WET68" s="8"/>
      <c r="WEU68" s="8"/>
      <c r="WEV68" s="8"/>
      <c r="WEW68" s="8"/>
      <c r="WEX68" s="8"/>
      <c r="WEY68" s="8"/>
      <c r="WEZ68" s="8"/>
      <c r="WFA68" s="8"/>
      <c r="WFB68" s="8"/>
      <c r="WFC68" s="8"/>
      <c r="WFD68" s="8"/>
      <c r="WFE68" s="8"/>
      <c r="WFF68" s="8"/>
      <c r="WFG68" s="8"/>
      <c r="WFH68" s="8"/>
      <c r="WFI68" s="8"/>
      <c r="WFJ68" s="8"/>
      <c r="WFK68" s="8"/>
      <c r="WFL68" s="8"/>
      <c r="WFM68" s="8"/>
      <c r="WFN68" s="8"/>
      <c r="WFO68" s="8"/>
      <c r="WFP68" s="8"/>
      <c r="WFQ68" s="8"/>
      <c r="WFR68" s="8"/>
      <c r="WFS68" s="8"/>
      <c r="WFT68" s="8"/>
      <c r="WFU68" s="8"/>
      <c r="WFV68" s="8"/>
      <c r="WFW68" s="8"/>
      <c r="WFX68" s="8"/>
      <c r="WFY68" s="8"/>
      <c r="WFZ68" s="8"/>
      <c r="WGA68" s="8"/>
      <c r="WGB68" s="8"/>
      <c r="WGC68" s="8"/>
      <c r="WGD68" s="8"/>
      <c r="WGE68" s="8"/>
      <c r="WGF68" s="8"/>
      <c r="WGG68" s="8"/>
      <c r="WGH68" s="8"/>
      <c r="WGI68" s="8"/>
      <c r="WGJ68" s="8"/>
      <c r="WGK68" s="8"/>
      <c r="WGL68" s="8"/>
      <c r="WGM68" s="8"/>
      <c r="WGN68" s="8"/>
      <c r="WGO68" s="8"/>
      <c r="WGP68" s="8"/>
      <c r="WGQ68" s="8"/>
      <c r="WGR68" s="8"/>
      <c r="WGS68" s="8"/>
      <c r="WGT68" s="8"/>
      <c r="WGU68" s="8"/>
      <c r="WGV68" s="8"/>
      <c r="WGW68" s="8"/>
      <c r="WGX68" s="8"/>
      <c r="WGY68" s="8"/>
      <c r="WGZ68" s="8"/>
      <c r="WHA68" s="8"/>
      <c r="WHB68" s="8"/>
      <c r="WHC68" s="8"/>
      <c r="WHD68" s="8"/>
      <c r="WHE68" s="8"/>
      <c r="WHF68" s="8"/>
      <c r="WHG68" s="8"/>
      <c r="WHH68" s="8"/>
      <c r="WHI68" s="8"/>
      <c r="WHJ68" s="8"/>
      <c r="WHK68" s="8"/>
      <c r="WHL68" s="8"/>
      <c r="WHM68" s="8"/>
      <c r="WHN68" s="8"/>
      <c r="WHO68" s="8"/>
      <c r="WHP68" s="8"/>
      <c r="WHQ68" s="8"/>
      <c r="WHR68" s="8"/>
      <c r="WHS68" s="8"/>
      <c r="WHT68" s="8"/>
      <c r="WHU68" s="8"/>
      <c r="WHV68" s="8"/>
      <c r="WHW68" s="8"/>
      <c r="WHX68" s="8"/>
      <c r="WHY68" s="8"/>
      <c r="WHZ68" s="8"/>
      <c r="WIA68" s="8"/>
      <c r="WIB68" s="8"/>
      <c r="WIC68" s="8"/>
      <c r="WID68" s="8"/>
      <c r="WIE68" s="8"/>
      <c r="WIF68" s="8"/>
      <c r="WIG68" s="8"/>
      <c r="WIH68" s="8"/>
      <c r="WII68" s="8"/>
      <c r="WIJ68" s="8"/>
      <c r="WIK68" s="8"/>
      <c r="WIL68" s="8"/>
      <c r="WIM68" s="8"/>
      <c r="WIN68" s="8"/>
      <c r="WIO68" s="8"/>
      <c r="WIP68" s="8"/>
      <c r="WIQ68" s="8"/>
      <c r="WIR68" s="8"/>
      <c r="WIS68" s="8"/>
      <c r="WIT68" s="8"/>
      <c r="WIU68" s="8"/>
      <c r="WIV68" s="8"/>
      <c r="WIW68" s="8"/>
      <c r="WIX68" s="8"/>
      <c r="WIY68" s="8"/>
      <c r="WIZ68" s="8"/>
      <c r="WJA68" s="8"/>
      <c r="WJB68" s="8"/>
      <c r="WJC68" s="8"/>
      <c r="WJD68" s="8"/>
      <c r="WJE68" s="8"/>
      <c r="WJF68" s="8"/>
      <c r="WJG68" s="8"/>
      <c r="WJH68" s="8"/>
      <c r="WJI68" s="8"/>
      <c r="WJJ68" s="8"/>
      <c r="WJK68" s="8"/>
      <c r="WJL68" s="8"/>
      <c r="WJM68" s="8"/>
      <c r="WJN68" s="8"/>
      <c r="WJO68" s="8"/>
      <c r="WJP68" s="8"/>
      <c r="WJQ68" s="8"/>
      <c r="WJR68" s="8"/>
      <c r="WJS68" s="8"/>
      <c r="WJT68" s="8"/>
      <c r="WJU68" s="8"/>
      <c r="WJV68" s="8"/>
      <c r="WJW68" s="8"/>
      <c r="WJX68" s="8"/>
      <c r="WJY68" s="8"/>
      <c r="WJZ68" s="8"/>
      <c r="WKA68" s="8"/>
      <c r="WKB68" s="8"/>
      <c r="WKC68" s="8"/>
      <c r="WKD68" s="8"/>
      <c r="WKE68" s="8"/>
      <c r="WKF68" s="8"/>
      <c r="WKG68" s="8"/>
      <c r="WKH68" s="8"/>
      <c r="WKI68" s="8"/>
      <c r="WKJ68" s="8"/>
      <c r="WKK68" s="8"/>
      <c r="WKL68" s="8"/>
      <c r="WKM68" s="8"/>
      <c r="WKN68" s="8"/>
      <c r="WKO68" s="8"/>
      <c r="WKP68" s="8"/>
      <c r="WKQ68" s="8"/>
      <c r="WKR68" s="8"/>
      <c r="WKS68" s="8"/>
      <c r="WKT68" s="8"/>
      <c r="WKU68" s="8"/>
      <c r="WKV68" s="8"/>
      <c r="WKW68" s="8"/>
      <c r="WKX68" s="8"/>
      <c r="WKY68" s="8"/>
      <c r="WKZ68" s="8"/>
      <c r="WLA68" s="8"/>
      <c r="WLB68" s="8"/>
      <c r="WLC68" s="8"/>
      <c r="WLD68" s="8"/>
      <c r="WLE68" s="8"/>
      <c r="WLF68" s="8"/>
      <c r="WLG68" s="8"/>
      <c r="WLH68" s="8"/>
      <c r="WLI68" s="8"/>
      <c r="WLJ68" s="8"/>
      <c r="WLK68" s="8"/>
      <c r="WLL68" s="8"/>
      <c r="WLM68" s="8"/>
      <c r="WLN68" s="8"/>
      <c r="WLO68" s="8"/>
      <c r="WLP68" s="8"/>
      <c r="WLQ68" s="8"/>
      <c r="WLR68" s="8"/>
      <c r="WLS68" s="8"/>
      <c r="WLT68" s="8"/>
      <c r="WLU68" s="8"/>
      <c r="WLV68" s="8"/>
      <c r="WLW68" s="8"/>
      <c r="WLX68" s="8"/>
      <c r="WLY68" s="8"/>
      <c r="WLZ68" s="8"/>
      <c r="WMA68" s="8"/>
      <c r="WMB68" s="8"/>
      <c r="WMC68" s="8"/>
      <c r="WMD68" s="8"/>
      <c r="WME68" s="8"/>
      <c r="WMF68" s="8"/>
      <c r="WMG68" s="8"/>
      <c r="WMH68" s="8"/>
      <c r="WMI68" s="8"/>
      <c r="WMJ68" s="8"/>
      <c r="WMK68" s="8"/>
      <c r="WML68" s="8"/>
      <c r="WMM68" s="8"/>
      <c r="WMN68" s="8"/>
      <c r="WMO68" s="8"/>
      <c r="WMP68" s="8"/>
      <c r="WMQ68" s="8"/>
      <c r="WMR68" s="8"/>
      <c r="WMS68" s="8"/>
      <c r="WMT68" s="8"/>
      <c r="WMU68" s="8"/>
      <c r="WMV68" s="8"/>
      <c r="WMW68" s="8"/>
      <c r="WMX68" s="8"/>
      <c r="WMY68" s="8"/>
      <c r="WMZ68" s="8"/>
      <c r="WNA68" s="8"/>
      <c r="WNB68" s="8"/>
      <c r="WNC68" s="8"/>
      <c r="WND68" s="8"/>
      <c r="WNE68" s="8"/>
      <c r="WNF68" s="8"/>
      <c r="WNG68" s="8"/>
      <c r="WNH68" s="8"/>
      <c r="WNI68" s="8"/>
      <c r="WNJ68" s="8"/>
      <c r="WNK68" s="8"/>
      <c r="WNL68" s="8"/>
      <c r="WNM68" s="8"/>
      <c r="WNN68" s="8"/>
      <c r="WNO68" s="8"/>
      <c r="WNP68" s="8"/>
      <c r="WNQ68" s="8"/>
      <c r="WNR68" s="8"/>
      <c r="WNS68" s="8"/>
      <c r="WNT68" s="8"/>
      <c r="WNU68" s="8"/>
      <c r="WNV68" s="8"/>
      <c r="WNW68" s="8"/>
      <c r="WNX68" s="8"/>
      <c r="WNY68" s="8"/>
      <c r="WNZ68" s="8"/>
      <c r="WOA68" s="8"/>
      <c r="WOB68" s="8"/>
      <c r="WOC68" s="8"/>
      <c r="WOD68" s="8"/>
      <c r="WOE68" s="8"/>
      <c r="WOF68" s="8"/>
      <c r="WOG68" s="8"/>
      <c r="WOH68" s="8"/>
      <c r="WOI68" s="8"/>
      <c r="WOJ68" s="8"/>
      <c r="WOK68" s="8"/>
      <c r="WOL68" s="8"/>
      <c r="WOM68" s="8"/>
      <c r="WON68" s="8"/>
      <c r="WOO68" s="8"/>
      <c r="WOP68" s="8"/>
      <c r="WOQ68" s="8"/>
      <c r="WOR68" s="8"/>
      <c r="WOS68" s="8"/>
      <c r="WOT68" s="8"/>
      <c r="WOU68" s="8"/>
      <c r="WOV68" s="8"/>
      <c r="WOW68" s="8"/>
      <c r="WOX68" s="8"/>
      <c r="WOY68" s="8"/>
      <c r="WOZ68" s="8"/>
      <c r="WPA68" s="8"/>
      <c r="WPB68" s="8"/>
      <c r="WPC68" s="8"/>
      <c r="WPD68" s="8"/>
      <c r="WPE68" s="8"/>
      <c r="WPF68" s="8"/>
      <c r="WPG68" s="8"/>
      <c r="WPH68" s="8"/>
      <c r="WPI68" s="8"/>
      <c r="WPJ68" s="8"/>
      <c r="WPK68" s="8"/>
      <c r="WPL68" s="8"/>
      <c r="WPM68" s="8"/>
      <c r="WPN68" s="8"/>
      <c r="WPO68" s="8"/>
      <c r="WPP68" s="8"/>
      <c r="WPQ68" s="8"/>
      <c r="WPR68" s="8"/>
      <c r="WPS68" s="8"/>
      <c r="WPT68" s="8"/>
      <c r="WPU68" s="8"/>
      <c r="WPV68" s="8"/>
      <c r="WPW68" s="8"/>
      <c r="WPX68" s="8"/>
      <c r="WPY68" s="8"/>
      <c r="WPZ68" s="8"/>
      <c r="WQA68" s="8"/>
      <c r="WQB68" s="8"/>
      <c r="WQC68" s="8"/>
      <c r="WQD68" s="8"/>
      <c r="WQE68" s="8"/>
      <c r="WQF68" s="8"/>
      <c r="WQG68" s="8"/>
      <c r="WQH68" s="8"/>
      <c r="WQI68" s="8"/>
      <c r="WQJ68" s="8"/>
      <c r="WQK68" s="8"/>
      <c r="WQL68" s="8"/>
      <c r="WQM68" s="8"/>
      <c r="WQN68" s="8"/>
      <c r="WQO68" s="8"/>
      <c r="WQP68" s="8"/>
      <c r="WQQ68" s="8"/>
      <c r="WQR68" s="8"/>
      <c r="WQS68" s="8"/>
      <c r="WQT68" s="8"/>
      <c r="WQU68" s="8"/>
      <c r="WQV68" s="8"/>
      <c r="WQW68" s="8"/>
      <c r="WQX68" s="8"/>
      <c r="WQY68" s="8"/>
      <c r="WQZ68" s="8"/>
      <c r="WRA68" s="8"/>
      <c r="WRB68" s="8"/>
      <c r="WRC68" s="8"/>
      <c r="WRD68" s="8"/>
      <c r="WRE68" s="8"/>
      <c r="WRF68" s="8"/>
      <c r="WRG68" s="8"/>
      <c r="WRH68" s="8"/>
      <c r="WRI68" s="8"/>
      <c r="WRJ68" s="8"/>
      <c r="WRK68" s="8"/>
      <c r="WRL68" s="8"/>
      <c r="WRM68" s="8"/>
      <c r="WRN68" s="8"/>
      <c r="WRO68" s="8"/>
      <c r="WRP68" s="8"/>
      <c r="WRQ68" s="8"/>
      <c r="WRR68" s="8"/>
      <c r="WRS68" s="8"/>
      <c r="WRT68" s="8"/>
      <c r="WRU68" s="8"/>
      <c r="WRV68" s="8"/>
      <c r="WRW68" s="8"/>
      <c r="WRX68" s="8"/>
      <c r="WRY68" s="8"/>
      <c r="WRZ68" s="8"/>
      <c r="WSA68" s="8"/>
      <c r="WSB68" s="8"/>
      <c r="WSC68" s="8"/>
      <c r="WSD68" s="8"/>
      <c r="WSE68" s="8"/>
      <c r="WSF68" s="8"/>
      <c r="WSG68" s="8"/>
      <c r="WSH68" s="8"/>
      <c r="WSI68" s="8"/>
      <c r="WSJ68" s="8"/>
      <c r="WSK68" s="8"/>
      <c r="WSL68" s="8"/>
      <c r="WSM68" s="8"/>
      <c r="WSN68" s="8"/>
      <c r="WSO68" s="8"/>
      <c r="WSP68" s="8"/>
      <c r="WSQ68" s="8"/>
      <c r="WSR68" s="8"/>
      <c r="WSS68" s="8"/>
      <c r="WST68" s="8"/>
      <c r="WSU68" s="8"/>
      <c r="WSV68" s="8"/>
      <c r="WSW68" s="8"/>
      <c r="WSX68" s="8"/>
      <c r="WSY68" s="8"/>
      <c r="WSZ68" s="8"/>
      <c r="WTA68" s="8"/>
      <c r="WTB68" s="8"/>
      <c r="WTC68" s="8"/>
      <c r="WTD68" s="8"/>
      <c r="WTE68" s="8"/>
      <c r="WTF68" s="8"/>
      <c r="WTG68" s="8"/>
      <c r="WTH68" s="8"/>
      <c r="WTI68" s="8"/>
      <c r="WTJ68" s="8"/>
      <c r="WTK68" s="8"/>
      <c r="WTL68" s="8"/>
      <c r="WTM68" s="8"/>
      <c r="WTN68" s="8"/>
      <c r="WTO68" s="8"/>
      <c r="WTP68" s="8"/>
      <c r="WTQ68" s="8"/>
      <c r="WTR68" s="8"/>
      <c r="WTS68" s="8"/>
      <c r="WTT68" s="8"/>
      <c r="WTU68" s="8"/>
      <c r="WTV68" s="8"/>
      <c r="WTW68" s="8"/>
      <c r="WTX68" s="8"/>
      <c r="WTY68" s="8"/>
      <c r="WTZ68" s="8"/>
      <c r="WUA68" s="8"/>
      <c r="WUB68" s="8"/>
      <c r="WUC68" s="8"/>
      <c r="WUD68" s="8"/>
      <c r="WUE68" s="8"/>
      <c r="WUF68" s="8"/>
      <c r="WUG68" s="8"/>
      <c r="WUH68" s="8"/>
      <c r="WUI68" s="8"/>
      <c r="WUJ68" s="8"/>
      <c r="WUK68" s="8"/>
      <c r="WUL68" s="8"/>
      <c r="WUM68" s="8"/>
      <c r="WUN68" s="8"/>
      <c r="WUO68" s="8"/>
      <c r="WUP68" s="8"/>
      <c r="WUQ68" s="8"/>
      <c r="WUR68" s="8"/>
      <c r="WUS68" s="8"/>
      <c r="WUT68" s="8"/>
      <c r="WUU68" s="8"/>
      <c r="WUV68" s="8"/>
      <c r="WUW68" s="8"/>
      <c r="WUX68" s="8"/>
      <c r="WUY68" s="8"/>
      <c r="WUZ68" s="8"/>
      <c r="WVA68" s="8"/>
      <c r="WVB68" s="8"/>
      <c r="WVC68" s="8"/>
      <c r="WVD68" s="8"/>
      <c r="WVE68" s="8"/>
      <c r="WVF68" s="8"/>
      <c r="WVG68" s="8"/>
      <c r="WVH68" s="8"/>
      <c r="WVI68" s="8"/>
      <c r="WVJ68" s="8"/>
      <c r="WVK68" s="8"/>
      <c r="WVL68" s="8"/>
      <c r="WVM68" s="8"/>
      <c r="WVN68" s="8"/>
      <c r="WVO68" s="8"/>
      <c r="WVP68" s="8"/>
      <c r="WVQ68" s="8"/>
      <c r="WVR68" s="8"/>
      <c r="WVS68" s="8"/>
      <c r="WVT68" s="8"/>
      <c r="WVU68" s="8"/>
      <c r="WVV68" s="8"/>
      <c r="WVW68" s="8"/>
      <c r="WVX68" s="8"/>
      <c r="WVY68" s="8"/>
      <c r="WVZ68" s="8"/>
      <c r="WWA68" s="8"/>
      <c r="WWB68" s="8"/>
      <c r="WWC68" s="8"/>
      <c r="WWD68" s="8"/>
      <c r="WWE68" s="8"/>
      <c r="WWF68" s="8"/>
      <c r="WWG68" s="8"/>
      <c r="WWH68" s="8"/>
      <c r="WWI68" s="8"/>
      <c r="WWJ68" s="8"/>
      <c r="WWK68" s="8"/>
      <c r="WWL68" s="8"/>
      <c r="WWM68" s="8"/>
      <c r="WWN68" s="8"/>
      <c r="WWO68" s="8"/>
      <c r="WWP68" s="8"/>
      <c r="WWQ68" s="8"/>
      <c r="WWR68" s="8"/>
      <c r="WWS68" s="8"/>
      <c r="WWT68" s="8"/>
      <c r="WWU68" s="8"/>
      <c r="WWV68" s="8"/>
      <c r="WWW68" s="8"/>
      <c r="WWX68" s="8"/>
      <c r="WWY68" s="8"/>
      <c r="WWZ68" s="8"/>
      <c r="WXA68" s="8"/>
      <c r="WXB68" s="8"/>
      <c r="WXC68" s="8"/>
      <c r="WXD68" s="8"/>
      <c r="WXE68" s="8"/>
      <c r="WXF68" s="8"/>
      <c r="WXG68" s="8"/>
      <c r="WXH68" s="8"/>
      <c r="WXI68" s="8"/>
      <c r="WXJ68" s="8"/>
      <c r="WXK68" s="8"/>
      <c r="WXL68" s="8"/>
      <c r="WXM68" s="8"/>
      <c r="WXN68" s="8"/>
      <c r="WXO68" s="8"/>
      <c r="WXP68" s="8"/>
      <c r="WXQ68" s="8"/>
      <c r="WXR68" s="8"/>
      <c r="WXS68" s="8"/>
      <c r="WXT68" s="8"/>
      <c r="WXU68" s="8"/>
      <c r="WXV68" s="8"/>
      <c r="WXW68" s="8"/>
      <c r="WXX68" s="8"/>
      <c r="WXY68" s="8"/>
      <c r="WXZ68" s="8"/>
      <c r="WYA68" s="8"/>
      <c r="WYB68" s="8"/>
      <c r="WYC68" s="8"/>
      <c r="WYD68" s="8"/>
      <c r="WYE68" s="8"/>
      <c r="WYF68" s="8"/>
      <c r="WYG68" s="8"/>
      <c r="WYH68" s="8"/>
      <c r="WYI68" s="8"/>
      <c r="WYJ68" s="8"/>
      <c r="WYK68" s="8"/>
      <c r="WYL68" s="8"/>
      <c r="WYM68" s="8"/>
      <c r="WYN68" s="8"/>
      <c r="WYO68" s="8"/>
      <c r="WYP68" s="8"/>
      <c r="WYQ68" s="8"/>
      <c r="WYR68" s="8"/>
      <c r="WYS68" s="8"/>
      <c r="WYT68" s="8"/>
      <c r="WYU68" s="8"/>
      <c r="WYV68" s="8"/>
      <c r="WYW68" s="8"/>
      <c r="WYX68" s="8"/>
      <c r="WYY68" s="8"/>
      <c r="WYZ68" s="8"/>
      <c r="WZA68" s="8"/>
      <c r="WZB68" s="8"/>
      <c r="WZC68" s="8"/>
      <c r="WZD68" s="8"/>
      <c r="WZE68" s="8"/>
      <c r="WZF68" s="8"/>
      <c r="WZG68" s="8"/>
      <c r="WZH68" s="8"/>
      <c r="WZI68" s="8"/>
      <c r="WZJ68" s="8"/>
      <c r="WZK68" s="8"/>
      <c r="WZL68" s="8"/>
      <c r="WZM68" s="8"/>
      <c r="WZN68" s="8"/>
      <c r="WZO68" s="8"/>
      <c r="WZP68" s="8"/>
      <c r="WZQ68" s="8"/>
      <c r="WZR68" s="8"/>
      <c r="WZS68" s="8"/>
      <c r="WZT68" s="8"/>
      <c r="WZU68" s="8"/>
      <c r="WZV68" s="8"/>
      <c r="WZW68" s="8"/>
      <c r="WZX68" s="8"/>
      <c r="WZY68" s="8"/>
      <c r="WZZ68" s="8"/>
      <c r="XAA68" s="8"/>
      <c r="XAB68" s="8"/>
      <c r="XAC68" s="8"/>
      <c r="XAD68" s="8"/>
      <c r="XAE68" s="8"/>
      <c r="XAF68" s="8"/>
      <c r="XAG68" s="8"/>
      <c r="XAH68" s="8"/>
      <c r="XAI68" s="8"/>
      <c r="XAJ68" s="8"/>
      <c r="XAK68" s="8"/>
      <c r="XAL68" s="8"/>
      <c r="XAM68" s="8"/>
      <c r="XAN68" s="8"/>
      <c r="XAO68" s="8"/>
      <c r="XAP68" s="8"/>
      <c r="XAQ68" s="8"/>
      <c r="XAR68" s="8"/>
      <c r="XAS68" s="8"/>
      <c r="XAT68" s="8"/>
      <c r="XAU68" s="8"/>
      <c r="XAV68" s="8"/>
      <c r="XAW68" s="8"/>
      <c r="XAX68" s="8"/>
      <c r="XAY68" s="8"/>
      <c r="XAZ68" s="8"/>
      <c r="XBA68" s="8"/>
      <c r="XBB68" s="8"/>
      <c r="XBC68" s="8"/>
      <c r="XBD68" s="8"/>
      <c r="XBE68" s="8"/>
      <c r="XBF68" s="8"/>
      <c r="XBG68" s="8"/>
      <c r="XBH68" s="8"/>
      <c r="XBI68" s="8"/>
      <c r="XBJ68" s="8"/>
      <c r="XBK68" s="8"/>
      <c r="XBL68" s="8"/>
      <c r="XBM68" s="8"/>
      <c r="XBN68" s="8"/>
      <c r="XBO68" s="8"/>
      <c r="XBP68" s="8"/>
      <c r="XBQ68" s="8"/>
      <c r="XBR68" s="8"/>
      <c r="XBS68" s="8"/>
      <c r="XBT68" s="8"/>
      <c r="XBU68" s="8"/>
      <c r="XBV68" s="8"/>
      <c r="XBW68" s="8"/>
      <c r="XBX68" s="8"/>
      <c r="XBY68" s="8"/>
      <c r="XBZ68" s="8"/>
      <c r="XCA68" s="8"/>
      <c r="XCB68" s="8"/>
      <c r="XCC68" s="8"/>
      <c r="XCD68" s="8"/>
      <c r="XCE68" s="8"/>
      <c r="XCF68" s="8"/>
      <c r="XCG68" s="8"/>
      <c r="XCH68" s="8"/>
      <c r="XCI68" s="8"/>
      <c r="XCJ68" s="8"/>
      <c r="XCK68" s="8"/>
      <c r="XCL68" s="8"/>
      <c r="XCM68" s="8"/>
      <c r="XCN68" s="8"/>
      <c r="XCO68" s="8"/>
      <c r="XCP68" s="8"/>
      <c r="XCQ68" s="8"/>
      <c r="XCR68" s="8"/>
      <c r="XCS68" s="8"/>
      <c r="XCT68" s="8"/>
      <c r="XCU68" s="8"/>
      <c r="XCV68" s="8"/>
      <c r="XCW68" s="8"/>
      <c r="XCX68" s="8"/>
      <c r="XCY68" s="8"/>
      <c r="XCZ68" s="8"/>
      <c r="XDA68" s="8"/>
      <c r="XDB68" s="8"/>
      <c r="XDC68" s="8"/>
      <c r="XDD68" s="8"/>
      <c r="XDE68" s="8"/>
      <c r="XDF68" s="8"/>
      <c r="XDG68" s="8"/>
      <c r="XDH68" s="8"/>
      <c r="XDI68" s="8"/>
      <c r="XDJ68" s="8"/>
      <c r="XDK68" s="8"/>
      <c r="XDL68" s="8"/>
      <c r="XDM68" s="8"/>
      <c r="XDN68" s="8"/>
      <c r="XDO68" s="8"/>
      <c r="XDP68" s="8"/>
      <c r="XDQ68" s="8"/>
      <c r="XDR68" s="8"/>
      <c r="XDS68" s="8"/>
      <c r="XDT68" s="8"/>
      <c r="XDU68" s="8"/>
      <c r="XDV68" s="8"/>
      <c r="XDW68" s="8"/>
      <c r="XDX68" s="8"/>
      <c r="XDY68" s="8"/>
      <c r="XDZ68" s="8"/>
      <c r="XEA68" s="8"/>
      <c r="XEB68" s="8"/>
      <c r="XEC68" s="8"/>
      <c r="XED68" s="8"/>
      <c r="XEE68" s="8"/>
      <c r="XEF68" s="8"/>
      <c r="XEG68" s="8"/>
      <c r="XEH68" s="8"/>
      <c r="XEI68" s="8"/>
      <c r="XEJ68" s="8"/>
      <c r="XEK68" s="8"/>
      <c r="XEL68" s="8"/>
      <c r="XEM68" s="8"/>
      <c r="XEN68" s="8"/>
      <c r="XEO68" s="8"/>
      <c r="XEP68" s="8"/>
      <c r="XEQ68" s="8"/>
      <c r="XER68" s="8"/>
      <c r="XES68" s="8"/>
      <c r="XET68" s="8"/>
      <c r="XEU68" s="8"/>
      <c r="XEV68" s="8"/>
      <c r="XEW68" s="8"/>
      <c r="XEX68" s="8"/>
      <c r="XEY68" s="8"/>
      <c r="XEZ68" s="8"/>
      <c r="XFA68" s="8"/>
      <c r="XFB68" s="8"/>
      <c r="XFC68" s="8"/>
    </row>
    <row r="69" spans="2:16383" x14ac:dyDescent="0.25">
      <c r="B69" s="35" t="s">
        <v>189</v>
      </c>
      <c r="C69" s="245">
        <f t="shared" si="0"/>
        <v>0.43333333333333335</v>
      </c>
      <c r="D69" s="12" t="s">
        <v>301</v>
      </c>
      <c r="E69" s="12" t="s">
        <v>429</v>
      </c>
      <c r="F69" s="12" t="s">
        <v>196</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c r="FUI69" s="8"/>
      <c r="FUJ69" s="8"/>
      <c r="FUK69" s="8"/>
      <c r="FUL69" s="8"/>
      <c r="FUM69" s="8"/>
      <c r="FUN69" s="8"/>
      <c r="FUO69" s="8"/>
      <c r="FUP69" s="8"/>
      <c r="FUQ69" s="8"/>
      <c r="FUR69" s="8"/>
      <c r="FUS69" s="8"/>
      <c r="FUT69" s="8"/>
      <c r="FUU69" s="8"/>
      <c r="FUV69" s="8"/>
      <c r="FUW69" s="8"/>
      <c r="FUX69" s="8"/>
      <c r="FUY69" s="8"/>
      <c r="FUZ69" s="8"/>
      <c r="FVA69" s="8"/>
      <c r="FVB69" s="8"/>
      <c r="FVC69" s="8"/>
      <c r="FVD69" s="8"/>
      <c r="FVE69" s="8"/>
      <c r="FVF69" s="8"/>
      <c r="FVG69" s="8"/>
      <c r="FVH69" s="8"/>
      <c r="FVI69" s="8"/>
      <c r="FVJ69" s="8"/>
      <c r="FVK69" s="8"/>
      <c r="FVL69" s="8"/>
      <c r="FVM69" s="8"/>
      <c r="FVN69" s="8"/>
      <c r="FVO69" s="8"/>
      <c r="FVP69" s="8"/>
      <c r="FVQ69" s="8"/>
      <c r="FVR69" s="8"/>
      <c r="FVS69" s="8"/>
      <c r="FVT69" s="8"/>
      <c r="FVU69" s="8"/>
      <c r="FVV69" s="8"/>
      <c r="FVW69" s="8"/>
      <c r="FVX69" s="8"/>
      <c r="FVY69" s="8"/>
      <c r="FVZ69" s="8"/>
      <c r="FWA69" s="8"/>
      <c r="FWB69" s="8"/>
      <c r="FWC69" s="8"/>
      <c r="FWD69" s="8"/>
      <c r="FWE69" s="8"/>
      <c r="FWF69" s="8"/>
      <c r="FWG69" s="8"/>
      <c r="FWH69" s="8"/>
      <c r="FWI69" s="8"/>
      <c r="FWJ69" s="8"/>
      <c r="FWK69" s="8"/>
      <c r="FWL69" s="8"/>
      <c r="FWM69" s="8"/>
      <c r="FWN69" s="8"/>
      <c r="FWO69" s="8"/>
      <c r="FWP69" s="8"/>
      <c r="FWQ69" s="8"/>
      <c r="FWR69" s="8"/>
      <c r="FWS69" s="8"/>
      <c r="FWT69" s="8"/>
      <c r="FWU69" s="8"/>
      <c r="FWV69" s="8"/>
      <c r="FWW69" s="8"/>
      <c r="FWX69" s="8"/>
      <c r="FWY69" s="8"/>
      <c r="FWZ69" s="8"/>
      <c r="FXA69" s="8"/>
      <c r="FXB69" s="8"/>
      <c r="FXC69" s="8"/>
      <c r="FXD69" s="8"/>
      <c r="FXE69" s="8"/>
      <c r="FXF69" s="8"/>
      <c r="FXG69" s="8"/>
      <c r="FXH69" s="8"/>
      <c r="FXI69" s="8"/>
      <c r="FXJ69" s="8"/>
      <c r="FXK69" s="8"/>
      <c r="FXL69" s="8"/>
      <c r="FXM69" s="8"/>
      <c r="FXN69" s="8"/>
      <c r="FXO69" s="8"/>
      <c r="FXP69" s="8"/>
      <c r="FXQ69" s="8"/>
      <c r="FXR69" s="8"/>
      <c r="FXS69" s="8"/>
      <c r="FXT69" s="8"/>
      <c r="FXU69" s="8"/>
      <c r="FXV69" s="8"/>
      <c r="FXW69" s="8"/>
      <c r="FXX69" s="8"/>
      <c r="FXY69" s="8"/>
      <c r="FXZ69" s="8"/>
      <c r="FYA69" s="8"/>
      <c r="FYB69" s="8"/>
      <c r="FYC69" s="8"/>
      <c r="FYD69" s="8"/>
      <c r="FYE69" s="8"/>
      <c r="FYF69" s="8"/>
      <c r="FYG69" s="8"/>
      <c r="FYH69" s="8"/>
      <c r="FYI69" s="8"/>
      <c r="FYJ69" s="8"/>
      <c r="FYK69" s="8"/>
      <c r="FYL69" s="8"/>
      <c r="FYM69" s="8"/>
      <c r="FYN69" s="8"/>
      <c r="FYO69" s="8"/>
      <c r="FYP69" s="8"/>
      <c r="FYQ69" s="8"/>
      <c r="FYR69" s="8"/>
      <c r="FYS69" s="8"/>
      <c r="FYT69" s="8"/>
      <c r="FYU69" s="8"/>
      <c r="FYV69" s="8"/>
      <c r="FYW69" s="8"/>
      <c r="FYX69" s="8"/>
      <c r="FYY69" s="8"/>
      <c r="FYZ69" s="8"/>
      <c r="FZA69" s="8"/>
      <c r="FZB69" s="8"/>
      <c r="FZC69" s="8"/>
      <c r="FZD69" s="8"/>
      <c r="FZE69" s="8"/>
      <c r="FZF69" s="8"/>
      <c r="FZG69" s="8"/>
      <c r="FZH69" s="8"/>
      <c r="FZI69" s="8"/>
      <c r="FZJ69" s="8"/>
      <c r="FZK69" s="8"/>
      <c r="FZL69" s="8"/>
      <c r="FZM69" s="8"/>
      <c r="FZN69" s="8"/>
      <c r="FZO69" s="8"/>
      <c r="FZP69" s="8"/>
      <c r="FZQ69" s="8"/>
      <c r="FZR69" s="8"/>
      <c r="FZS69" s="8"/>
      <c r="FZT69" s="8"/>
      <c r="FZU69" s="8"/>
      <c r="FZV69" s="8"/>
      <c r="FZW69" s="8"/>
      <c r="FZX69" s="8"/>
      <c r="FZY69" s="8"/>
      <c r="FZZ69" s="8"/>
      <c r="GAA69" s="8"/>
      <c r="GAB69" s="8"/>
      <c r="GAC69" s="8"/>
      <c r="GAD69" s="8"/>
      <c r="GAE69" s="8"/>
      <c r="GAF69" s="8"/>
      <c r="GAG69" s="8"/>
      <c r="GAH69" s="8"/>
      <c r="GAI69" s="8"/>
      <c r="GAJ69" s="8"/>
      <c r="GAK69" s="8"/>
      <c r="GAL69" s="8"/>
      <c r="GAM69" s="8"/>
      <c r="GAN69" s="8"/>
      <c r="GAO69" s="8"/>
      <c r="GAP69" s="8"/>
      <c r="GAQ69" s="8"/>
      <c r="GAR69" s="8"/>
      <c r="GAS69" s="8"/>
      <c r="GAT69" s="8"/>
      <c r="GAU69" s="8"/>
      <c r="GAV69" s="8"/>
      <c r="GAW69" s="8"/>
      <c r="GAX69" s="8"/>
      <c r="GAY69" s="8"/>
      <c r="GAZ69" s="8"/>
      <c r="GBA69" s="8"/>
      <c r="GBB69" s="8"/>
      <c r="GBC69" s="8"/>
      <c r="GBD69" s="8"/>
      <c r="GBE69" s="8"/>
      <c r="GBF69" s="8"/>
      <c r="GBG69" s="8"/>
      <c r="GBH69" s="8"/>
      <c r="GBI69" s="8"/>
      <c r="GBJ69" s="8"/>
      <c r="GBK69" s="8"/>
      <c r="GBL69" s="8"/>
      <c r="GBM69" s="8"/>
      <c r="GBN69" s="8"/>
      <c r="GBO69" s="8"/>
      <c r="GBP69" s="8"/>
      <c r="GBQ69" s="8"/>
      <c r="GBR69" s="8"/>
      <c r="GBS69" s="8"/>
      <c r="GBT69" s="8"/>
      <c r="GBU69" s="8"/>
      <c r="GBV69" s="8"/>
      <c r="GBW69" s="8"/>
      <c r="GBX69" s="8"/>
      <c r="GBY69" s="8"/>
      <c r="GBZ69" s="8"/>
      <c r="GCA69" s="8"/>
      <c r="GCB69" s="8"/>
      <c r="GCC69" s="8"/>
      <c r="GCD69" s="8"/>
      <c r="GCE69" s="8"/>
      <c r="GCF69" s="8"/>
      <c r="GCG69" s="8"/>
      <c r="GCH69" s="8"/>
      <c r="GCI69" s="8"/>
      <c r="GCJ69" s="8"/>
      <c r="GCK69" s="8"/>
      <c r="GCL69" s="8"/>
      <c r="GCM69" s="8"/>
      <c r="GCN69" s="8"/>
      <c r="GCO69" s="8"/>
      <c r="GCP69" s="8"/>
      <c r="GCQ69" s="8"/>
      <c r="GCR69" s="8"/>
      <c r="GCS69" s="8"/>
      <c r="GCT69" s="8"/>
      <c r="GCU69" s="8"/>
      <c r="GCV69" s="8"/>
      <c r="GCW69" s="8"/>
      <c r="GCX69" s="8"/>
      <c r="GCY69" s="8"/>
      <c r="GCZ69" s="8"/>
      <c r="GDA69" s="8"/>
      <c r="GDB69" s="8"/>
      <c r="GDC69" s="8"/>
      <c r="GDD69" s="8"/>
      <c r="GDE69" s="8"/>
      <c r="GDF69" s="8"/>
      <c r="GDG69" s="8"/>
      <c r="GDH69" s="8"/>
      <c r="GDI69" s="8"/>
      <c r="GDJ69" s="8"/>
      <c r="GDK69" s="8"/>
      <c r="GDL69" s="8"/>
      <c r="GDM69" s="8"/>
      <c r="GDN69" s="8"/>
      <c r="GDO69" s="8"/>
      <c r="GDP69" s="8"/>
      <c r="GDQ69" s="8"/>
      <c r="GDR69" s="8"/>
      <c r="GDS69" s="8"/>
      <c r="GDT69" s="8"/>
      <c r="GDU69" s="8"/>
      <c r="GDV69" s="8"/>
      <c r="GDW69" s="8"/>
      <c r="GDX69" s="8"/>
      <c r="GDY69" s="8"/>
      <c r="GDZ69" s="8"/>
      <c r="GEA69" s="8"/>
      <c r="GEB69" s="8"/>
      <c r="GEC69" s="8"/>
      <c r="GED69" s="8"/>
      <c r="GEE69" s="8"/>
      <c r="GEF69" s="8"/>
      <c r="GEG69" s="8"/>
      <c r="GEH69" s="8"/>
      <c r="GEI69" s="8"/>
      <c r="GEJ69" s="8"/>
      <c r="GEK69" s="8"/>
      <c r="GEL69" s="8"/>
      <c r="GEM69" s="8"/>
      <c r="GEN69" s="8"/>
      <c r="GEO69" s="8"/>
      <c r="GEP69" s="8"/>
      <c r="GEQ69" s="8"/>
      <c r="GER69" s="8"/>
      <c r="GES69" s="8"/>
      <c r="GET69" s="8"/>
      <c r="GEU69" s="8"/>
      <c r="GEV69" s="8"/>
      <c r="GEW69" s="8"/>
      <c r="GEX69" s="8"/>
      <c r="GEY69" s="8"/>
      <c r="GEZ69" s="8"/>
      <c r="GFA69" s="8"/>
      <c r="GFB69" s="8"/>
      <c r="GFC69" s="8"/>
      <c r="GFD69" s="8"/>
      <c r="GFE69" s="8"/>
      <c r="GFF69" s="8"/>
      <c r="GFG69" s="8"/>
      <c r="GFH69" s="8"/>
      <c r="GFI69" s="8"/>
      <c r="GFJ69" s="8"/>
      <c r="GFK69" s="8"/>
      <c r="GFL69" s="8"/>
      <c r="GFM69" s="8"/>
      <c r="GFN69" s="8"/>
      <c r="GFO69" s="8"/>
      <c r="GFP69" s="8"/>
      <c r="GFQ69" s="8"/>
      <c r="GFR69" s="8"/>
      <c r="GFS69" s="8"/>
      <c r="GFT69" s="8"/>
      <c r="GFU69" s="8"/>
      <c r="GFV69" s="8"/>
      <c r="GFW69" s="8"/>
      <c r="GFX69" s="8"/>
      <c r="GFY69" s="8"/>
      <c r="GFZ69" s="8"/>
      <c r="GGA69" s="8"/>
      <c r="GGB69" s="8"/>
      <c r="GGC69" s="8"/>
      <c r="GGD69" s="8"/>
      <c r="GGE69" s="8"/>
      <c r="GGF69" s="8"/>
      <c r="GGG69" s="8"/>
      <c r="GGH69" s="8"/>
      <c r="GGI69" s="8"/>
      <c r="GGJ69" s="8"/>
      <c r="GGK69" s="8"/>
      <c r="GGL69" s="8"/>
      <c r="GGM69" s="8"/>
      <c r="GGN69" s="8"/>
      <c r="GGO69" s="8"/>
      <c r="GGP69" s="8"/>
      <c r="GGQ69" s="8"/>
      <c r="GGR69" s="8"/>
      <c r="GGS69" s="8"/>
      <c r="GGT69" s="8"/>
      <c r="GGU69" s="8"/>
      <c r="GGV69" s="8"/>
      <c r="GGW69" s="8"/>
      <c r="GGX69" s="8"/>
      <c r="GGY69" s="8"/>
      <c r="GGZ69" s="8"/>
      <c r="GHA69" s="8"/>
      <c r="GHB69" s="8"/>
      <c r="GHC69" s="8"/>
      <c r="GHD69" s="8"/>
      <c r="GHE69" s="8"/>
      <c r="GHF69" s="8"/>
      <c r="GHG69" s="8"/>
      <c r="GHH69" s="8"/>
      <c r="GHI69" s="8"/>
      <c r="GHJ69" s="8"/>
      <c r="GHK69" s="8"/>
      <c r="GHL69" s="8"/>
      <c r="GHM69" s="8"/>
      <c r="GHN69" s="8"/>
      <c r="GHO69" s="8"/>
      <c r="GHP69" s="8"/>
      <c r="GHQ69" s="8"/>
      <c r="GHR69" s="8"/>
      <c r="GHS69" s="8"/>
      <c r="GHT69" s="8"/>
      <c r="GHU69" s="8"/>
      <c r="GHV69" s="8"/>
      <c r="GHW69" s="8"/>
      <c r="GHX69" s="8"/>
      <c r="GHY69" s="8"/>
      <c r="GHZ69" s="8"/>
      <c r="GIA69" s="8"/>
      <c r="GIB69" s="8"/>
      <c r="GIC69" s="8"/>
      <c r="GID69" s="8"/>
      <c r="GIE69" s="8"/>
      <c r="GIF69" s="8"/>
      <c r="GIG69" s="8"/>
      <c r="GIH69" s="8"/>
      <c r="GII69" s="8"/>
      <c r="GIJ69" s="8"/>
      <c r="GIK69" s="8"/>
      <c r="GIL69" s="8"/>
      <c r="GIM69" s="8"/>
      <c r="GIN69" s="8"/>
      <c r="GIO69" s="8"/>
      <c r="GIP69" s="8"/>
      <c r="GIQ69" s="8"/>
      <c r="GIR69" s="8"/>
      <c r="GIS69" s="8"/>
      <c r="GIT69" s="8"/>
      <c r="GIU69" s="8"/>
      <c r="GIV69" s="8"/>
      <c r="GIW69" s="8"/>
      <c r="GIX69" s="8"/>
      <c r="GIY69" s="8"/>
      <c r="GIZ69" s="8"/>
      <c r="GJA69" s="8"/>
      <c r="GJB69" s="8"/>
      <c r="GJC69" s="8"/>
      <c r="GJD69" s="8"/>
      <c r="GJE69" s="8"/>
      <c r="GJF69" s="8"/>
      <c r="GJG69" s="8"/>
      <c r="GJH69" s="8"/>
      <c r="GJI69" s="8"/>
      <c r="GJJ69" s="8"/>
      <c r="GJK69" s="8"/>
      <c r="GJL69" s="8"/>
      <c r="GJM69" s="8"/>
      <c r="GJN69" s="8"/>
      <c r="GJO69" s="8"/>
      <c r="GJP69" s="8"/>
      <c r="GJQ69" s="8"/>
      <c r="GJR69" s="8"/>
      <c r="GJS69" s="8"/>
      <c r="GJT69" s="8"/>
      <c r="GJU69" s="8"/>
      <c r="GJV69" s="8"/>
      <c r="GJW69" s="8"/>
      <c r="GJX69" s="8"/>
      <c r="GJY69" s="8"/>
      <c r="GJZ69" s="8"/>
      <c r="GKA69" s="8"/>
      <c r="GKB69" s="8"/>
      <c r="GKC69" s="8"/>
      <c r="GKD69" s="8"/>
      <c r="GKE69" s="8"/>
      <c r="GKF69" s="8"/>
      <c r="GKG69" s="8"/>
      <c r="GKH69" s="8"/>
      <c r="GKI69" s="8"/>
      <c r="GKJ69" s="8"/>
      <c r="GKK69" s="8"/>
      <c r="GKL69" s="8"/>
      <c r="GKM69" s="8"/>
      <c r="GKN69" s="8"/>
      <c r="GKO69" s="8"/>
      <c r="GKP69" s="8"/>
      <c r="GKQ69" s="8"/>
      <c r="GKR69" s="8"/>
      <c r="GKS69" s="8"/>
      <c r="GKT69" s="8"/>
      <c r="GKU69" s="8"/>
      <c r="GKV69" s="8"/>
      <c r="GKW69" s="8"/>
      <c r="GKX69" s="8"/>
      <c r="GKY69" s="8"/>
      <c r="GKZ69" s="8"/>
      <c r="GLA69" s="8"/>
      <c r="GLB69" s="8"/>
      <c r="GLC69" s="8"/>
      <c r="GLD69" s="8"/>
      <c r="GLE69" s="8"/>
      <c r="GLF69" s="8"/>
      <c r="GLG69" s="8"/>
      <c r="GLH69" s="8"/>
      <c r="GLI69" s="8"/>
      <c r="GLJ69" s="8"/>
      <c r="GLK69" s="8"/>
      <c r="GLL69" s="8"/>
      <c r="GLM69" s="8"/>
      <c r="GLN69" s="8"/>
      <c r="GLO69" s="8"/>
      <c r="GLP69" s="8"/>
      <c r="GLQ69" s="8"/>
      <c r="GLR69" s="8"/>
      <c r="GLS69" s="8"/>
      <c r="GLT69" s="8"/>
      <c r="GLU69" s="8"/>
      <c r="GLV69" s="8"/>
      <c r="GLW69" s="8"/>
      <c r="GLX69" s="8"/>
      <c r="GLY69" s="8"/>
      <c r="GLZ69" s="8"/>
      <c r="GMA69" s="8"/>
      <c r="GMB69" s="8"/>
      <c r="GMC69" s="8"/>
      <c r="GMD69" s="8"/>
      <c r="GME69" s="8"/>
      <c r="GMF69" s="8"/>
      <c r="GMG69" s="8"/>
      <c r="GMH69" s="8"/>
      <c r="GMI69" s="8"/>
      <c r="GMJ69" s="8"/>
      <c r="GMK69" s="8"/>
      <c r="GML69" s="8"/>
      <c r="GMM69" s="8"/>
      <c r="GMN69" s="8"/>
      <c r="GMO69" s="8"/>
      <c r="GMP69" s="8"/>
      <c r="GMQ69" s="8"/>
      <c r="GMR69" s="8"/>
      <c r="GMS69" s="8"/>
      <c r="GMT69" s="8"/>
      <c r="GMU69" s="8"/>
      <c r="GMV69" s="8"/>
      <c r="GMW69" s="8"/>
      <c r="GMX69" s="8"/>
      <c r="GMY69" s="8"/>
      <c r="GMZ69" s="8"/>
      <c r="GNA69" s="8"/>
      <c r="GNB69" s="8"/>
      <c r="GNC69" s="8"/>
      <c r="GND69" s="8"/>
      <c r="GNE69" s="8"/>
      <c r="GNF69" s="8"/>
      <c r="GNG69" s="8"/>
      <c r="GNH69" s="8"/>
      <c r="GNI69" s="8"/>
      <c r="GNJ69" s="8"/>
      <c r="GNK69" s="8"/>
      <c r="GNL69" s="8"/>
      <c r="GNM69" s="8"/>
      <c r="GNN69" s="8"/>
      <c r="GNO69" s="8"/>
      <c r="GNP69" s="8"/>
      <c r="GNQ69" s="8"/>
      <c r="GNR69" s="8"/>
      <c r="GNS69" s="8"/>
      <c r="GNT69" s="8"/>
      <c r="GNU69" s="8"/>
      <c r="GNV69" s="8"/>
      <c r="GNW69" s="8"/>
      <c r="GNX69" s="8"/>
      <c r="GNY69" s="8"/>
      <c r="GNZ69" s="8"/>
      <c r="GOA69" s="8"/>
      <c r="GOB69" s="8"/>
      <c r="GOC69" s="8"/>
      <c r="GOD69" s="8"/>
      <c r="GOE69" s="8"/>
      <c r="GOF69" s="8"/>
      <c r="GOG69" s="8"/>
      <c r="GOH69" s="8"/>
      <c r="GOI69" s="8"/>
      <c r="GOJ69" s="8"/>
      <c r="GOK69" s="8"/>
      <c r="GOL69" s="8"/>
      <c r="GOM69" s="8"/>
      <c r="GON69" s="8"/>
      <c r="GOO69" s="8"/>
      <c r="GOP69" s="8"/>
      <c r="GOQ69" s="8"/>
      <c r="GOR69" s="8"/>
      <c r="GOS69" s="8"/>
      <c r="GOT69" s="8"/>
      <c r="GOU69" s="8"/>
      <c r="GOV69" s="8"/>
      <c r="GOW69" s="8"/>
      <c r="GOX69" s="8"/>
      <c r="GOY69" s="8"/>
      <c r="GOZ69" s="8"/>
      <c r="GPA69" s="8"/>
      <c r="GPB69" s="8"/>
      <c r="GPC69" s="8"/>
      <c r="GPD69" s="8"/>
      <c r="GPE69" s="8"/>
      <c r="GPF69" s="8"/>
      <c r="GPG69" s="8"/>
      <c r="GPH69" s="8"/>
      <c r="GPI69" s="8"/>
      <c r="GPJ69" s="8"/>
      <c r="GPK69" s="8"/>
      <c r="GPL69" s="8"/>
      <c r="GPM69" s="8"/>
      <c r="GPN69" s="8"/>
      <c r="GPO69" s="8"/>
      <c r="GPP69" s="8"/>
      <c r="GPQ69" s="8"/>
      <c r="GPR69" s="8"/>
      <c r="GPS69" s="8"/>
      <c r="GPT69" s="8"/>
      <c r="GPU69" s="8"/>
      <c r="GPV69" s="8"/>
      <c r="GPW69" s="8"/>
      <c r="GPX69" s="8"/>
      <c r="GPY69" s="8"/>
      <c r="GPZ69" s="8"/>
      <c r="GQA69" s="8"/>
      <c r="GQB69" s="8"/>
      <c r="GQC69" s="8"/>
      <c r="GQD69" s="8"/>
      <c r="GQE69" s="8"/>
      <c r="GQF69" s="8"/>
      <c r="GQG69" s="8"/>
      <c r="GQH69" s="8"/>
      <c r="GQI69" s="8"/>
      <c r="GQJ69" s="8"/>
      <c r="GQK69" s="8"/>
      <c r="GQL69" s="8"/>
      <c r="GQM69" s="8"/>
      <c r="GQN69" s="8"/>
      <c r="GQO69" s="8"/>
      <c r="GQP69" s="8"/>
      <c r="GQQ69" s="8"/>
      <c r="GQR69" s="8"/>
      <c r="GQS69" s="8"/>
      <c r="GQT69" s="8"/>
      <c r="GQU69" s="8"/>
      <c r="GQV69" s="8"/>
      <c r="GQW69" s="8"/>
      <c r="GQX69" s="8"/>
      <c r="GQY69" s="8"/>
      <c r="GQZ69" s="8"/>
      <c r="GRA69" s="8"/>
      <c r="GRB69" s="8"/>
      <c r="GRC69" s="8"/>
      <c r="GRD69" s="8"/>
      <c r="GRE69" s="8"/>
      <c r="GRF69" s="8"/>
      <c r="GRG69" s="8"/>
      <c r="GRH69" s="8"/>
      <c r="GRI69" s="8"/>
      <c r="GRJ69" s="8"/>
      <c r="GRK69" s="8"/>
      <c r="GRL69" s="8"/>
      <c r="GRM69" s="8"/>
      <c r="GRN69" s="8"/>
      <c r="GRO69" s="8"/>
      <c r="GRP69" s="8"/>
      <c r="GRQ69" s="8"/>
      <c r="GRR69" s="8"/>
      <c r="GRS69" s="8"/>
      <c r="GRT69" s="8"/>
      <c r="GRU69" s="8"/>
      <c r="GRV69" s="8"/>
      <c r="GRW69" s="8"/>
      <c r="GRX69" s="8"/>
      <c r="GRY69" s="8"/>
      <c r="GRZ69" s="8"/>
      <c r="GSA69" s="8"/>
      <c r="GSB69" s="8"/>
      <c r="GSC69" s="8"/>
      <c r="GSD69" s="8"/>
      <c r="GSE69" s="8"/>
      <c r="GSF69" s="8"/>
      <c r="GSG69" s="8"/>
      <c r="GSH69" s="8"/>
      <c r="GSI69" s="8"/>
      <c r="GSJ69" s="8"/>
      <c r="GSK69" s="8"/>
      <c r="GSL69" s="8"/>
      <c r="GSM69" s="8"/>
      <c r="GSN69" s="8"/>
      <c r="GSO69" s="8"/>
      <c r="GSP69" s="8"/>
      <c r="GSQ69" s="8"/>
      <c r="GSR69" s="8"/>
      <c r="GSS69" s="8"/>
      <c r="GST69" s="8"/>
      <c r="GSU69" s="8"/>
      <c r="GSV69" s="8"/>
      <c r="GSW69" s="8"/>
      <c r="GSX69" s="8"/>
      <c r="GSY69" s="8"/>
      <c r="GSZ69" s="8"/>
      <c r="GTA69" s="8"/>
      <c r="GTB69" s="8"/>
      <c r="GTC69" s="8"/>
      <c r="GTD69" s="8"/>
      <c r="GTE69" s="8"/>
      <c r="GTF69" s="8"/>
      <c r="GTG69" s="8"/>
      <c r="GTH69" s="8"/>
      <c r="GTI69" s="8"/>
      <c r="GTJ69" s="8"/>
      <c r="GTK69" s="8"/>
      <c r="GTL69" s="8"/>
      <c r="GTM69" s="8"/>
      <c r="GTN69" s="8"/>
      <c r="GTO69" s="8"/>
      <c r="GTP69" s="8"/>
      <c r="GTQ69" s="8"/>
      <c r="GTR69" s="8"/>
      <c r="GTS69" s="8"/>
      <c r="GTT69" s="8"/>
      <c r="GTU69" s="8"/>
      <c r="GTV69" s="8"/>
      <c r="GTW69" s="8"/>
      <c r="GTX69" s="8"/>
      <c r="GTY69" s="8"/>
      <c r="GTZ69" s="8"/>
      <c r="GUA69" s="8"/>
      <c r="GUB69" s="8"/>
      <c r="GUC69" s="8"/>
      <c r="GUD69" s="8"/>
      <c r="GUE69" s="8"/>
      <c r="GUF69" s="8"/>
      <c r="GUG69" s="8"/>
      <c r="GUH69" s="8"/>
      <c r="GUI69" s="8"/>
      <c r="GUJ69" s="8"/>
      <c r="GUK69" s="8"/>
      <c r="GUL69" s="8"/>
      <c r="GUM69" s="8"/>
      <c r="GUN69" s="8"/>
      <c r="GUO69" s="8"/>
      <c r="GUP69" s="8"/>
      <c r="GUQ69" s="8"/>
      <c r="GUR69" s="8"/>
      <c r="GUS69" s="8"/>
      <c r="GUT69" s="8"/>
      <c r="GUU69" s="8"/>
      <c r="GUV69" s="8"/>
      <c r="GUW69" s="8"/>
      <c r="GUX69" s="8"/>
      <c r="GUY69" s="8"/>
      <c r="GUZ69" s="8"/>
      <c r="GVA69" s="8"/>
      <c r="GVB69" s="8"/>
      <c r="GVC69" s="8"/>
      <c r="GVD69" s="8"/>
      <c r="GVE69" s="8"/>
      <c r="GVF69" s="8"/>
      <c r="GVG69" s="8"/>
      <c r="GVH69" s="8"/>
      <c r="GVI69" s="8"/>
      <c r="GVJ69" s="8"/>
      <c r="GVK69" s="8"/>
      <c r="GVL69" s="8"/>
      <c r="GVM69" s="8"/>
      <c r="GVN69" s="8"/>
      <c r="GVO69" s="8"/>
      <c r="GVP69" s="8"/>
      <c r="GVQ69" s="8"/>
      <c r="GVR69" s="8"/>
      <c r="GVS69" s="8"/>
      <c r="GVT69" s="8"/>
      <c r="GVU69" s="8"/>
      <c r="GVV69" s="8"/>
      <c r="GVW69" s="8"/>
      <c r="GVX69" s="8"/>
      <c r="GVY69" s="8"/>
      <c r="GVZ69" s="8"/>
      <c r="GWA69" s="8"/>
      <c r="GWB69" s="8"/>
      <c r="GWC69" s="8"/>
      <c r="GWD69" s="8"/>
      <c r="GWE69" s="8"/>
      <c r="GWF69" s="8"/>
      <c r="GWG69" s="8"/>
      <c r="GWH69" s="8"/>
      <c r="GWI69" s="8"/>
      <c r="GWJ69" s="8"/>
      <c r="GWK69" s="8"/>
      <c r="GWL69" s="8"/>
      <c r="GWM69" s="8"/>
      <c r="GWN69" s="8"/>
      <c r="GWO69" s="8"/>
      <c r="GWP69" s="8"/>
      <c r="GWQ69" s="8"/>
      <c r="GWR69" s="8"/>
      <c r="GWS69" s="8"/>
      <c r="GWT69" s="8"/>
      <c r="GWU69" s="8"/>
      <c r="GWV69" s="8"/>
      <c r="GWW69" s="8"/>
      <c r="GWX69" s="8"/>
      <c r="GWY69" s="8"/>
      <c r="GWZ69" s="8"/>
      <c r="GXA69" s="8"/>
      <c r="GXB69" s="8"/>
      <c r="GXC69" s="8"/>
      <c r="GXD69" s="8"/>
      <c r="GXE69" s="8"/>
      <c r="GXF69" s="8"/>
      <c r="GXG69" s="8"/>
      <c r="GXH69" s="8"/>
      <c r="GXI69" s="8"/>
      <c r="GXJ69" s="8"/>
      <c r="GXK69" s="8"/>
      <c r="GXL69" s="8"/>
      <c r="GXM69" s="8"/>
      <c r="GXN69" s="8"/>
      <c r="GXO69" s="8"/>
      <c r="GXP69" s="8"/>
      <c r="GXQ69" s="8"/>
      <c r="GXR69" s="8"/>
      <c r="GXS69" s="8"/>
      <c r="GXT69" s="8"/>
      <c r="GXU69" s="8"/>
      <c r="GXV69" s="8"/>
      <c r="GXW69" s="8"/>
      <c r="GXX69" s="8"/>
      <c r="GXY69" s="8"/>
      <c r="GXZ69" s="8"/>
      <c r="GYA69" s="8"/>
      <c r="GYB69" s="8"/>
      <c r="GYC69" s="8"/>
      <c r="GYD69" s="8"/>
      <c r="GYE69" s="8"/>
      <c r="GYF69" s="8"/>
      <c r="GYG69" s="8"/>
      <c r="GYH69" s="8"/>
      <c r="GYI69" s="8"/>
      <c r="GYJ69" s="8"/>
      <c r="GYK69" s="8"/>
      <c r="GYL69" s="8"/>
      <c r="GYM69" s="8"/>
      <c r="GYN69" s="8"/>
      <c r="GYO69" s="8"/>
      <c r="GYP69" s="8"/>
      <c r="GYQ69" s="8"/>
      <c r="GYR69" s="8"/>
      <c r="GYS69" s="8"/>
      <c r="GYT69" s="8"/>
      <c r="GYU69" s="8"/>
      <c r="GYV69" s="8"/>
      <c r="GYW69" s="8"/>
      <c r="GYX69" s="8"/>
      <c r="GYY69" s="8"/>
      <c r="GYZ69" s="8"/>
      <c r="GZA69" s="8"/>
      <c r="GZB69" s="8"/>
      <c r="GZC69" s="8"/>
      <c r="GZD69" s="8"/>
      <c r="GZE69" s="8"/>
      <c r="GZF69" s="8"/>
      <c r="GZG69" s="8"/>
      <c r="GZH69" s="8"/>
      <c r="GZI69" s="8"/>
      <c r="GZJ69" s="8"/>
      <c r="GZK69" s="8"/>
      <c r="GZL69" s="8"/>
      <c r="GZM69" s="8"/>
      <c r="GZN69" s="8"/>
      <c r="GZO69" s="8"/>
      <c r="GZP69" s="8"/>
      <c r="GZQ69" s="8"/>
      <c r="GZR69" s="8"/>
      <c r="GZS69" s="8"/>
      <c r="GZT69" s="8"/>
      <c r="GZU69" s="8"/>
      <c r="GZV69" s="8"/>
      <c r="GZW69" s="8"/>
      <c r="GZX69" s="8"/>
      <c r="GZY69" s="8"/>
      <c r="GZZ69" s="8"/>
      <c r="HAA69" s="8"/>
      <c r="HAB69" s="8"/>
      <c r="HAC69" s="8"/>
      <c r="HAD69" s="8"/>
      <c r="HAE69" s="8"/>
      <c r="HAF69" s="8"/>
      <c r="HAG69" s="8"/>
      <c r="HAH69" s="8"/>
      <c r="HAI69" s="8"/>
      <c r="HAJ69" s="8"/>
      <c r="HAK69" s="8"/>
      <c r="HAL69" s="8"/>
      <c r="HAM69" s="8"/>
      <c r="HAN69" s="8"/>
      <c r="HAO69" s="8"/>
      <c r="HAP69" s="8"/>
      <c r="HAQ69" s="8"/>
      <c r="HAR69" s="8"/>
      <c r="HAS69" s="8"/>
      <c r="HAT69" s="8"/>
      <c r="HAU69" s="8"/>
      <c r="HAV69" s="8"/>
      <c r="HAW69" s="8"/>
      <c r="HAX69" s="8"/>
      <c r="HAY69" s="8"/>
      <c r="HAZ69" s="8"/>
      <c r="HBA69" s="8"/>
      <c r="HBB69" s="8"/>
      <c r="HBC69" s="8"/>
      <c r="HBD69" s="8"/>
      <c r="HBE69" s="8"/>
      <c r="HBF69" s="8"/>
      <c r="HBG69" s="8"/>
      <c r="HBH69" s="8"/>
      <c r="HBI69" s="8"/>
      <c r="HBJ69" s="8"/>
      <c r="HBK69" s="8"/>
      <c r="HBL69" s="8"/>
      <c r="HBM69" s="8"/>
      <c r="HBN69" s="8"/>
      <c r="HBO69" s="8"/>
      <c r="HBP69" s="8"/>
      <c r="HBQ69" s="8"/>
      <c r="HBR69" s="8"/>
      <c r="HBS69" s="8"/>
      <c r="HBT69" s="8"/>
      <c r="HBU69" s="8"/>
      <c r="HBV69" s="8"/>
      <c r="HBW69" s="8"/>
      <c r="HBX69" s="8"/>
      <c r="HBY69" s="8"/>
      <c r="HBZ69" s="8"/>
      <c r="HCA69" s="8"/>
      <c r="HCB69" s="8"/>
      <c r="HCC69" s="8"/>
      <c r="HCD69" s="8"/>
      <c r="HCE69" s="8"/>
      <c r="HCF69" s="8"/>
      <c r="HCG69" s="8"/>
      <c r="HCH69" s="8"/>
      <c r="HCI69" s="8"/>
      <c r="HCJ69" s="8"/>
      <c r="HCK69" s="8"/>
      <c r="HCL69" s="8"/>
      <c r="HCM69" s="8"/>
      <c r="HCN69" s="8"/>
      <c r="HCO69" s="8"/>
      <c r="HCP69" s="8"/>
      <c r="HCQ69" s="8"/>
      <c r="HCR69" s="8"/>
      <c r="HCS69" s="8"/>
      <c r="HCT69" s="8"/>
      <c r="HCU69" s="8"/>
      <c r="HCV69" s="8"/>
      <c r="HCW69" s="8"/>
      <c r="HCX69" s="8"/>
      <c r="HCY69" s="8"/>
      <c r="HCZ69" s="8"/>
      <c r="HDA69" s="8"/>
      <c r="HDB69" s="8"/>
      <c r="HDC69" s="8"/>
      <c r="HDD69" s="8"/>
      <c r="HDE69" s="8"/>
      <c r="HDF69" s="8"/>
      <c r="HDG69" s="8"/>
      <c r="HDH69" s="8"/>
      <c r="HDI69" s="8"/>
      <c r="HDJ69" s="8"/>
      <c r="HDK69" s="8"/>
      <c r="HDL69" s="8"/>
      <c r="HDM69" s="8"/>
      <c r="HDN69" s="8"/>
      <c r="HDO69" s="8"/>
      <c r="HDP69" s="8"/>
      <c r="HDQ69" s="8"/>
      <c r="HDR69" s="8"/>
      <c r="HDS69" s="8"/>
      <c r="HDT69" s="8"/>
      <c r="HDU69" s="8"/>
      <c r="HDV69" s="8"/>
      <c r="HDW69" s="8"/>
      <c r="HDX69" s="8"/>
      <c r="HDY69" s="8"/>
      <c r="HDZ69" s="8"/>
      <c r="HEA69" s="8"/>
      <c r="HEB69" s="8"/>
      <c r="HEC69" s="8"/>
      <c r="HED69" s="8"/>
      <c r="HEE69" s="8"/>
      <c r="HEF69" s="8"/>
      <c r="HEG69" s="8"/>
      <c r="HEH69" s="8"/>
      <c r="HEI69" s="8"/>
      <c r="HEJ69" s="8"/>
      <c r="HEK69" s="8"/>
      <c r="HEL69" s="8"/>
      <c r="HEM69" s="8"/>
      <c r="HEN69" s="8"/>
      <c r="HEO69" s="8"/>
      <c r="HEP69" s="8"/>
      <c r="HEQ69" s="8"/>
      <c r="HER69" s="8"/>
      <c r="HES69" s="8"/>
      <c r="HET69" s="8"/>
      <c r="HEU69" s="8"/>
      <c r="HEV69" s="8"/>
      <c r="HEW69" s="8"/>
      <c r="HEX69" s="8"/>
      <c r="HEY69" s="8"/>
      <c r="HEZ69" s="8"/>
      <c r="HFA69" s="8"/>
      <c r="HFB69" s="8"/>
      <c r="HFC69" s="8"/>
      <c r="HFD69" s="8"/>
      <c r="HFE69" s="8"/>
      <c r="HFF69" s="8"/>
      <c r="HFG69" s="8"/>
      <c r="HFH69" s="8"/>
      <c r="HFI69" s="8"/>
      <c r="HFJ69" s="8"/>
      <c r="HFK69" s="8"/>
      <c r="HFL69" s="8"/>
      <c r="HFM69" s="8"/>
      <c r="HFN69" s="8"/>
      <c r="HFO69" s="8"/>
      <c r="HFP69" s="8"/>
      <c r="HFQ69" s="8"/>
      <c r="HFR69" s="8"/>
      <c r="HFS69" s="8"/>
      <c r="HFT69" s="8"/>
      <c r="HFU69" s="8"/>
      <c r="HFV69" s="8"/>
      <c r="HFW69" s="8"/>
      <c r="HFX69" s="8"/>
      <c r="HFY69" s="8"/>
      <c r="HFZ69" s="8"/>
      <c r="HGA69" s="8"/>
      <c r="HGB69" s="8"/>
      <c r="HGC69" s="8"/>
      <c r="HGD69" s="8"/>
      <c r="HGE69" s="8"/>
      <c r="HGF69" s="8"/>
      <c r="HGG69" s="8"/>
      <c r="HGH69" s="8"/>
      <c r="HGI69" s="8"/>
      <c r="HGJ69" s="8"/>
      <c r="HGK69" s="8"/>
      <c r="HGL69" s="8"/>
      <c r="HGM69" s="8"/>
      <c r="HGN69" s="8"/>
      <c r="HGO69" s="8"/>
      <c r="HGP69" s="8"/>
      <c r="HGQ69" s="8"/>
      <c r="HGR69" s="8"/>
      <c r="HGS69" s="8"/>
      <c r="HGT69" s="8"/>
      <c r="HGU69" s="8"/>
      <c r="HGV69" s="8"/>
      <c r="HGW69" s="8"/>
      <c r="HGX69" s="8"/>
      <c r="HGY69" s="8"/>
      <c r="HGZ69" s="8"/>
      <c r="HHA69" s="8"/>
      <c r="HHB69" s="8"/>
      <c r="HHC69" s="8"/>
      <c r="HHD69" s="8"/>
      <c r="HHE69" s="8"/>
      <c r="HHF69" s="8"/>
      <c r="HHG69" s="8"/>
      <c r="HHH69" s="8"/>
      <c r="HHI69" s="8"/>
      <c r="HHJ69" s="8"/>
      <c r="HHK69" s="8"/>
      <c r="HHL69" s="8"/>
      <c r="HHM69" s="8"/>
      <c r="HHN69" s="8"/>
      <c r="HHO69" s="8"/>
      <c r="HHP69" s="8"/>
      <c r="HHQ69" s="8"/>
      <c r="HHR69" s="8"/>
      <c r="HHS69" s="8"/>
      <c r="HHT69" s="8"/>
      <c r="HHU69" s="8"/>
      <c r="HHV69" s="8"/>
      <c r="HHW69" s="8"/>
      <c r="HHX69" s="8"/>
      <c r="HHY69" s="8"/>
      <c r="HHZ69" s="8"/>
      <c r="HIA69" s="8"/>
      <c r="HIB69" s="8"/>
      <c r="HIC69" s="8"/>
      <c r="HID69" s="8"/>
      <c r="HIE69" s="8"/>
      <c r="HIF69" s="8"/>
      <c r="HIG69" s="8"/>
      <c r="HIH69" s="8"/>
      <c r="HII69" s="8"/>
      <c r="HIJ69" s="8"/>
      <c r="HIK69" s="8"/>
      <c r="HIL69" s="8"/>
      <c r="HIM69" s="8"/>
      <c r="HIN69" s="8"/>
      <c r="HIO69" s="8"/>
      <c r="HIP69" s="8"/>
      <c r="HIQ69" s="8"/>
      <c r="HIR69" s="8"/>
      <c r="HIS69" s="8"/>
      <c r="HIT69" s="8"/>
      <c r="HIU69" s="8"/>
      <c r="HIV69" s="8"/>
      <c r="HIW69" s="8"/>
      <c r="HIX69" s="8"/>
      <c r="HIY69" s="8"/>
      <c r="HIZ69" s="8"/>
      <c r="HJA69" s="8"/>
      <c r="HJB69" s="8"/>
      <c r="HJC69" s="8"/>
      <c r="HJD69" s="8"/>
      <c r="HJE69" s="8"/>
      <c r="HJF69" s="8"/>
      <c r="HJG69" s="8"/>
      <c r="HJH69" s="8"/>
      <c r="HJI69" s="8"/>
      <c r="HJJ69" s="8"/>
      <c r="HJK69" s="8"/>
      <c r="HJL69" s="8"/>
      <c r="HJM69" s="8"/>
      <c r="HJN69" s="8"/>
      <c r="HJO69" s="8"/>
      <c r="HJP69" s="8"/>
      <c r="HJQ69" s="8"/>
      <c r="HJR69" s="8"/>
      <c r="HJS69" s="8"/>
      <c r="HJT69" s="8"/>
      <c r="HJU69" s="8"/>
      <c r="HJV69" s="8"/>
      <c r="HJW69" s="8"/>
      <c r="HJX69" s="8"/>
      <c r="HJY69" s="8"/>
      <c r="HJZ69" s="8"/>
      <c r="HKA69" s="8"/>
      <c r="HKB69" s="8"/>
      <c r="HKC69" s="8"/>
      <c r="HKD69" s="8"/>
      <c r="HKE69" s="8"/>
      <c r="HKF69" s="8"/>
      <c r="HKG69" s="8"/>
      <c r="HKH69" s="8"/>
      <c r="HKI69" s="8"/>
      <c r="HKJ69" s="8"/>
      <c r="HKK69" s="8"/>
      <c r="HKL69" s="8"/>
      <c r="HKM69" s="8"/>
      <c r="HKN69" s="8"/>
      <c r="HKO69" s="8"/>
      <c r="HKP69" s="8"/>
      <c r="HKQ69" s="8"/>
      <c r="HKR69" s="8"/>
      <c r="HKS69" s="8"/>
      <c r="HKT69" s="8"/>
      <c r="HKU69" s="8"/>
      <c r="HKV69" s="8"/>
      <c r="HKW69" s="8"/>
      <c r="HKX69" s="8"/>
      <c r="HKY69" s="8"/>
      <c r="HKZ69" s="8"/>
      <c r="HLA69" s="8"/>
      <c r="HLB69" s="8"/>
      <c r="HLC69" s="8"/>
      <c r="HLD69" s="8"/>
      <c r="HLE69" s="8"/>
      <c r="HLF69" s="8"/>
      <c r="HLG69" s="8"/>
      <c r="HLH69" s="8"/>
      <c r="HLI69" s="8"/>
      <c r="HLJ69" s="8"/>
      <c r="HLK69" s="8"/>
      <c r="HLL69" s="8"/>
      <c r="HLM69" s="8"/>
      <c r="HLN69" s="8"/>
      <c r="HLO69" s="8"/>
      <c r="HLP69" s="8"/>
      <c r="HLQ69" s="8"/>
      <c r="HLR69" s="8"/>
      <c r="HLS69" s="8"/>
      <c r="HLT69" s="8"/>
      <c r="HLU69" s="8"/>
      <c r="HLV69" s="8"/>
      <c r="HLW69" s="8"/>
      <c r="HLX69" s="8"/>
      <c r="HLY69" s="8"/>
      <c r="HLZ69" s="8"/>
      <c r="HMA69" s="8"/>
      <c r="HMB69" s="8"/>
      <c r="HMC69" s="8"/>
      <c r="HMD69" s="8"/>
      <c r="HME69" s="8"/>
      <c r="HMF69" s="8"/>
      <c r="HMG69" s="8"/>
      <c r="HMH69" s="8"/>
      <c r="HMI69" s="8"/>
      <c r="HMJ69" s="8"/>
      <c r="HMK69" s="8"/>
      <c r="HML69" s="8"/>
      <c r="HMM69" s="8"/>
      <c r="HMN69" s="8"/>
      <c r="HMO69" s="8"/>
      <c r="HMP69" s="8"/>
      <c r="HMQ69" s="8"/>
      <c r="HMR69" s="8"/>
      <c r="HMS69" s="8"/>
      <c r="HMT69" s="8"/>
      <c r="HMU69" s="8"/>
      <c r="HMV69" s="8"/>
      <c r="HMW69" s="8"/>
      <c r="HMX69" s="8"/>
      <c r="HMY69" s="8"/>
      <c r="HMZ69" s="8"/>
      <c r="HNA69" s="8"/>
      <c r="HNB69" s="8"/>
      <c r="HNC69" s="8"/>
      <c r="HND69" s="8"/>
      <c r="HNE69" s="8"/>
      <c r="HNF69" s="8"/>
      <c r="HNG69" s="8"/>
      <c r="HNH69" s="8"/>
      <c r="HNI69" s="8"/>
      <c r="HNJ69" s="8"/>
      <c r="HNK69" s="8"/>
      <c r="HNL69" s="8"/>
      <c r="HNM69" s="8"/>
      <c r="HNN69" s="8"/>
      <c r="HNO69" s="8"/>
      <c r="HNP69" s="8"/>
      <c r="HNQ69" s="8"/>
      <c r="HNR69" s="8"/>
      <c r="HNS69" s="8"/>
      <c r="HNT69" s="8"/>
      <c r="HNU69" s="8"/>
      <c r="HNV69" s="8"/>
      <c r="HNW69" s="8"/>
      <c r="HNX69" s="8"/>
      <c r="HNY69" s="8"/>
      <c r="HNZ69" s="8"/>
      <c r="HOA69" s="8"/>
      <c r="HOB69" s="8"/>
      <c r="HOC69" s="8"/>
      <c r="HOD69" s="8"/>
      <c r="HOE69" s="8"/>
      <c r="HOF69" s="8"/>
      <c r="HOG69" s="8"/>
      <c r="HOH69" s="8"/>
      <c r="HOI69" s="8"/>
      <c r="HOJ69" s="8"/>
      <c r="HOK69" s="8"/>
      <c r="HOL69" s="8"/>
      <c r="HOM69" s="8"/>
      <c r="HON69" s="8"/>
      <c r="HOO69" s="8"/>
      <c r="HOP69" s="8"/>
      <c r="HOQ69" s="8"/>
      <c r="HOR69" s="8"/>
      <c r="HOS69" s="8"/>
      <c r="HOT69" s="8"/>
      <c r="HOU69" s="8"/>
      <c r="HOV69" s="8"/>
      <c r="HOW69" s="8"/>
      <c r="HOX69" s="8"/>
      <c r="HOY69" s="8"/>
      <c r="HOZ69" s="8"/>
      <c r="HPA69" s="8"/>
      <c r="HPB69" s="8"/>
      <c r="HPC69" s="8"/>
      <c r="HPD69" s="8"/>
      <c r="HPE69" s="8"/>
      <c r="HPF69" s="8"/>
      <c r="HPG69" s="8"/>
      <c r="HPH69" s="8"/>
      <c r="HPI69" s="8"/>
      <c r="HPJ69" s="8"/>
      <c r="HPK69" s="8"/>
      <c r="HPL69" s="8"/>
      <c r="HPM69" s="8"/>
      <c r="HPN69" s="8"/>
      <c r="HPO69" s="8"/>
      <c r="HPP69" s="8"/>
      <c r="HPQ69" s="8"/>
      <c r="HPR69" s="8"/>
      <c r="HPS69" s="8"/>
      <c r="HPT69" s="8"/>
      <c r="HPU69" s="8"/>
      <c r="HPV69" s="8"/>
      <c r="HPW69" s="8"/>
      <c r="HPX69" s="8"/>
      <c r="HPY69" s="8"/>
      <c r="HPZ69" s="8"/>
      <c r="HQA69" s="8"/>
      <c r="HQB69" s="8"/>
      <c r="HQC69" s="8"/>
      <c r="HQD69" s="8"/>
      <c r="HQE69" s="8"/>
      <c r="HQF69" s="8"/>
      <c r="HQG69" s="8"/>
      <c r="HQH69" s="8"/>
      <c r="HQI69" s="8"/>
      <c r="HQJ69" s="8"/>
      <c r="HQK69" s="8"/>
      <c r="HQL69" s="8"/>
      <c r="HQM69" s="8"/>
      <c r="HQN69" s="8"/>
      <c r="HQO69" s="8"/>
      <c r="HQP69" s="8"/>
      <c r="HQQ69" s="8"/>
      <c r="HQR69" s="8"/>
      <c r="HQS69" s="8"/>
      <c r="HQT69" s="8"/>
      <c r="HQU69" s="8"/>
      <c r="HQV69" s="8"/>
      <c r="HQW69" s="8"/>
      <c r="HQX69" s="8"/>
      <c r="HQY69" s="8"/>
      <c r="HQZ69" s="8"/>
      <c r="HRA69" s="8"/>
      <c r="HRB69" s="8"/>
      <c r="HRC69" s="8"/>
      <c r="HRD69" s="8"/>
      <c r="HRE69" s="8"/>
      <c r="HRF69" s="8"/>
      <c r="HRG69" s="8"/>
      <c r="HRH69" s="8"/>
      <c r="HRI69" s="8"/>
      <c r="HRJ69" s="8"/>
      <c r="HRK69" s="8"/>
      <c r="HRL69" s="8"/>
      <c r="HRM69" s="8"/>
      <c r="HRN69" s="8"/>
      <c r="HRO69" s="8"/>
      <c r="HRP69" s="8"/>
      <c r="HRQ69" s="8"/>
      <c r="HRR69" s="8"/>
      <c r="HRS69" s="8"/>
      <c r="HRT69" s="8"/>
      <c r="HRU69" s="8"/>
      <c r="HRV69" s="8"/>
      <c r="HRW69" s="8"/>
      <c r="HRX69" s="8"/>
      <c r="HRY69" s="8"/>
      <c r="HRZ69" s="8"/>
      <c r="HSA69" s="8"/>
      <c r="HSB69" s="8"/>
      <c r="HSC69" s="8"/>
      <c r="HSD69" s="8"/>
      <c r="HSE69" s="8"/>
      <c r="HSF69" s="8"/>
      <c r="HSG69" s="8"/>
      <c r="HSH69" s="8"/>
      <c r="HSI69" s="8"/>
      <c r="HSJ69" s="8"/>
      <c r="HSK69" s="8"/>
      <c r="HSL69" s="8"/>
      <c r="HSM69" s="8"/>
      <c r="HSN69" s="8"/>
      <c r="HSO69" s="8"/>
      <c r="HSP69" s="8"/>
      <c r="HSQ69" s="8"/>
      <c r="HSR69" s="8"/>
      <c r="HSS69" s="8"/>
      <c r="HST69" s="8"/>
      <c r="HSU69" s="8"/>
      <c r="HSV69" s="8"/>
      <c r="HSW69" s="8"/>
      <c r="HSX69" s="8"/>
      <c r="HSY69" s="8"/>
      <c r="HSZ69" s="8"/>
      <c r="HTA69" s="8"/>
      <c r="HTB69" s="8"/>
      <c r="HTC69" s="8"/>
      <c r="HTD69" s="8"/>
      <c r="HTE69" s="8"/>
      <c r="HTF69" s="8"/>
      <c r="HTG69" s="8"/>
      <c r="HTH69" s="8"/>
      <c r="HTI69" s="8"/>
      <c r="HTJ69" s="8"/>
      <c r="HTK69" s="8"/>
      <c r="HTL69" s="8"/>
      <c r="HTM69" s="8"/>
      <c r="HTN69" s="8"/>
      <c r="HTO69" s="8"/>
      <c r="HTP69" s="8"/>
      <c r="HTQ69" s="8"/>
      <c r="HTR69" s="8"/>
      <c r="HTS69" s="8"/>
      <c r="HTT69" s="8"/>
      <c r="HTU69" s="8"/>
      <c r="HTV69" s="8"/>
      <c r="HTW69" s="8"/>
      <c r="HTX69" s="8"/>
      <c r="HTY69" s="8"/>
      <c r="HTZ69" s="8"/>
      <c r="HUA69" s="8"/>
      <c r="HUB69" s="8"/>
      <c r="HUC69" s="8"/>
      <c r="HUD69" s="8"/>
      <c r="HUE69" s="8"/>
      <c r="HUF69" s="8"/>
      <c r="HUG69" s="8"/>
      <c r="HUH69" s="8"/>
      <c r="HUI69" s="8"/>
      <c r="HUJ69" s="8"/>
      <c r="HUK69" s="8"/>
      <c r="HUL69" s="8"/>
      <c r="HUM69" s="8"/>
      <c r="HUN69" s="8"/>
      <c r="HUO69" s="8"/>
      <c r="HUP69" s="8"/>
      <c r="HUQ69" s="8"/>
      <c r="HUR69" s="8"/>
      <c r="HUS69" s="8"/>
      <c r="HUT69" s="8"/>
      <c r="HUU69" s="8"/>
      <c r="HUV69" s="8"/>
      <c r="HUW69" s="8"/>
      <c r="HUX69" s="8"/>
      <c r="HUY69" s="8"/>
      <c r="HUZ69" s="8"/>
      <c r="HVA69" s="8"/>
      <c r="HVB69" s="8"/>
      <c r="HVC69" s="8"/>
      <c r="HVD69" s="8"/>
      <c r="HVE69" s="8"/>
      <c r="HVF69" s="8"/>
      <c r="HVG69" s="8"/>
      <c r="HVH69" s="8"/>
      <c r="HVI69" s="8"/>
      <c r="HVJ69" s="8"/>
      <c r="HVK69" s="8"/>
      <c r="HVL69" s="8"/>
      <c r="HVM69" s="8"/>
      <c r="HVN69" s="8"/>
      <c r="HVO69" s="8"/>
      <c r="HVP69" s="8"/>
      <c r="HVQ69" s="8"/>
      <c r="HVR69" s="8"/>
      <c r="HVS69" s="8"/>
      <c r="HVT69" s="8"/>
      <c r="HVU69" s="8"/>
      <c r="HVV69" s="8"/>
      <c r="HVW69" s="8"/>
      <c r="HVX69" s="8"/>
      <c r="HVY69" s="8"/>
      <c r="HVZ69" s="8"/>
      <c r="HWA69" s="8"/>
      <c r="HWB69" s="8"/>
      <c r="HWC69" s="8"/>
      <c r="HWD69" s="8"/>
      <c r="HWE69" s="8"/>
      <c r="HWF69" s="8"/>
      <c r="HWG69" s="8"/>
      <c r="HWH69" s="8"/>
      <c r="HWI69" s="8"/>
      <c r="HWJ69" s="8"/>
      <c r="HWK69" s="8"/>
      <c r="HWL69" s="8"/>
      <c r="HWM69" s="8"/>
      <c r="HWN69" s="8"/>
      <c r="HWO69" s="8"/>
      <c r="HWP69" s="8"/>
      <c r="HWQ69" s="8"/>
      <c r="HWR69" s="8"/>
      <c r="HWS69" s="8"/>
      <c r="HWT69" s="8"/>
      <c r="HWU69" s="8"/>
      <c r="HWV69" s="8"/>
      <c r="HWW69" s="8"/>
      <c r="HWX69" s="8"/>
      <c r="HWY69" s="8"/>
      <c r="HWZ69" s="8"/>
      <c r="HXA69" s="8"/>
      <c r="HXB69" s="8"/>
      <c r="HXC69" s="8"/>
      <c r="HXD69" s="8"/>
      <c r="HXE69" s="8"/>
      <c r="HXF69" s="8"/>
      <c r="HXG69" s="8"/>
      <c r="HXH69" s="8"/>
      <c r="HXI69" s="8"/>
      <c r="HXJ69" s="8"/>
      <c r="HXK69" s="8"/>
      <c r="HXL69" s="8"/>
      <c r="HXM69" s="8"/>
      <c r="HXN69" s="8"/>
      <c r="HXO69" s="8"/>
      <c r="HXP69" s="8"/>
      <c r="HXQ69" s="8"/>
      <c r="HXR69" s="8"/>
      <c r="HXS69" s="8"/>
      <c r="HXT69" s="8"/>
      <c r="HXU69" s="8"/>
      <c r="HXV69" s="8"/>
      <c r="HXW69" s="8"/>
      <c r="HXX69" s="8"/>
      <c r="HXY69" s="8"/>
      <c r="HXZ69" s="8"/>
      <c r="HYA69" s="8"/>
      <c r="HYB69" s="8"/>
      <c r="HYC69" s="8"/>
      <c r="HYD69" s="8"/>
      <c r="HYE69" s="8"/>
      <c r="HYF69" s="8"/>
      <c r="HYG69" s="8"/>
      <c r="HYH69" s="8"/>
      <c r="HYI69" s="8"/>
      <c r="HYJ69" s="8"/>
      <c r="HYK69" s="8"/>
      <c r="HYL69" s="8"/>
      <c r="HYM69" s="8"/>
      <c r="HYN69" s="8"/>
      <c r="HYO69" s="8"/>
      <c r="HYP69" s="8"/>
      <c r="HYQ69" s="8"/>
      <c r="HYR69" s="8"/>
      <c r="HYS69" s="8"/>
      <c r="HYT69" s="8"/>
      <c r="HYU69" s="8"/>
      <c r="HYV69" s="8"/>
      <c r="HYW69" s="8"/>
      <c r="HYX69" s="8"/>
      <c r="HYY69" s="8"/>
      <c r="HYZ69" s="8"/>
      <c r="HZA69" s="8"/>
      <c r="HZB69" s="8"/>
      <c r="HZC69" s="8"/>
      <c r="HZD69" s="8"/>
      <c r="HZE69" s="8"/>
      <c r="HZF69" s="8"/>
      <c r="HZG69" s="8"/>
      <c r="HZH69" s="8"/>
      <c r="HZI69" s="8"/>
      <c r="HZJ69" s="8"/>
      <c r="HZK69" s="8"/>
      <c r="HZL69" s="8"/>
      <c r="HZM69" s="8"/>
      <c r="HZN69" s="8"/>
      <c r="HZO69" s="8"/>
      <c r="HZP69" s="8"/>
      <c r="HZQ69" s="8"/>
      <c r="HZR69" s="8"/>
      <c r="HZS69" s="8"/>
      <c r="HZT69" s="8"/>
      <c r="HZU69" s="8"/>
      <c r="HZV69" s="8"/>
      <c r="HZW69" s="8"/>
      <c r="HZX69" s="8"/>
      <c r="HZY69" s="8"/>
      <c r="HZZ69" s="8"/>
      <c r="IAA69" s="8"/>
      <c r="IAB69" s="8"/>
      <c r="IAC69" s="8"/>
      <c r="IAD69" s="8"/>
      <c r="IAE69" s="8"/>
      <c r="IAF69" s="8"/>
      <c r="IAG69" s="8"/>
      <c r="IAH69" s="8"/>
      <c r="IAI69" s="8"/>
      <c r="IAJ69" s="8"/>
      <c r="IAK69" s="8"/>
      <c r="IAL69" s="8"/>
      <c r="IAM69" s="8"/>
      <c r="IAN69" s="8"/>
      <c r="IAO69" s="8"/>
      <c r="IAP69" s="8"/>
      <c r="IAQ69" s="8"/>
      <c r="IAR69" s="8"/>
      <c r="IAS69" s="8"/>
      <c r="IAT69" s="8"/>
      <c r="IAU69" s="8"/>
      <c r="IAV69" s="8"/>
      <c r="IAW69" s="8"/>
      <c r="IAX69" s="8"/>
      <c r="IAY69" s="8"/>
      <c r="IAZ69" s="8"/>
      <c r="IBA69" s="8"/>
      <c r="IBB69" s="8"/>
      <c r="IBC69" s="8"/>
      <c r="IBD69" s="8"/>
      <c r="IBE69" s="8"/>
      <c r="IBF69" s="8"/>
      <c r="IBG69" s="8"/>
      <c r="IBH69" s="8"/>
      <c r="IBI69" s="8"/>
      <c r="IBJ69" s="8"/>
      <c r="IBK69" s="8"/>
      <c r="IBL69" s="8"/>
      <c r="IBM69" s="8"/>
      <c r="IBN69" s="8"/>
      <c r="IBO69" s="8"/>
      <c r="IBP69" s="8"/>
      <c r="IBQ69" s="8"/>
      <c r="IBR69" s="8"/>
      <c r="IBS69" s="8"/>
      <c r="IBT69" s="8"/>
      <c r="IBU69" s="8"/>
      <c r="IBV69" s="8"/>
      <c r="IBW69" s="8"/>
      <c r="IBX69" s="8"/>
      <c r="IBY69" s="8"/>
      <c r="IBZ69" s="8"/>
      <c r="ICA69" s="8"/>
      <c r="ICB69" s="8"/>
      <c r="ICC69" s="8"/>
      <c r="ICD69" s="8"/>
      <c r="ICE69" s="8"/>
      <c r="ICF69" s="8"/>
      <c r="ICG69" s="8"/>
      <c r="ICH69" s="8"/>
      <c r="ICI69" s="8"/>
      <c r="ICJ69" s="8"/>
      <c r="ICK69" s="8"/>
      <c r="ICL69" s="8"/>
      <c r="ICM69" s="8"/>
      <c r="ICN69" s="8"/>
      <c r="ICO69" s="8"/>
      <c r="ICP69" s="8"/>
      <c r="ICQ69" s="8"/>
      <c r="ICR69" s="8"/>
      <c r="ICS69" s="8"/>
      <c r="ICT69" s="8"/>
      <c r="ICU69" s="8"/>
      <c r="ICV69" s="8"/>
      <c r="ICW69" s="8"/>
      <c r="ICX69" s="8"/>
      <c r="ICY69" s="8"/>
      <c r="ICZ69" s="8"/>
      <c r="IDA69" s="8"/>
      <c r="IDB69" s="8"/>
      <c r="IDC69" s="8"/>
      <c r="IDD69" s="8"/>
      <c r="IDE69" s="8"/>
      <c r="IDF69" s="8"/>
      <c r="IDG69" s="8"/>
      <c r="IDH69" s="8"/>
      <c r="IDI69" s="8"/>
      <c r="IDJ69" s="8"/>
      <c r="IDK69" s="8"/>
      <c r="IDL69" s="8"/>
      <c r="IDM69" s="8"/>
      <c r="IDN69" s="8"/>
      <c r="IDO69" s="8"/>
      <c r="IDP69" s="8"/>
      <c r="IDQ69" s="8"/>
      <c r="IDR69" s="8"/>
      <c r="IDS69" s="8"/>
      <c r="IDT69" s="8"/>
      <c r="IDU69" s="8"/>
      <c r="IDV69" s="8"/>
      <c r="IDW69" s="8"/>
      <c r="IDX69" s="8"/>
      <c r="IDY69" s="8"/>
      <c r="IDZ69" s="8"/>
      <c r="IEA69" s="8"/>
      <c r="IEB69" s="8"/>
      <c r="IEC69" s="8"/>
      <c r="IED69" s="8"/>
      <c r="IEE69" s="8"/>
      <c r="IEF69" s="8"/>
      <c r="IEG69" s="8"/>
      <c r="IEH69" s="8"/>
      <c r="IEI69" s="8"/>
      <c r="IEJ69" s="8"/>
      <c r="IEK69" s="8"/>
      <c r="IEL69" s="8"/>
      <c r="IEM69" s="8"/>
      <c r="IEN69" s="8"/>
      <c r="IEO69" s="8"/>
      <c r="IEP69" s="8"/>
      <c r="IEQ69" s="8"/>
      <c r="IER69" s="8"/>
      <c r="IES69" s="8"/>
      <c r="IET69" s="8"/>
      <c r="IEU69" s="8"/>
      <c r="IEV69" s="8"/>
      <c r="IEW69" s="8"/>
      <c r="IEX69" s="8"/>
      <c r="IEY69" s="8"/>
      <c r="IEZ69" s="8"/>
      <c r="IFA69" s="8"/>
      <c r="IFB69" s="8"/>
      <c r="IFC69" s="8"/>
      <c r="IFD69" s="8"/>
      <c r="IFE69" s="8"/>
      <c r="IFF69" s="8"/>
      <c r="IFG69" s="8"/>
      <c r="IFH69" s="8"/>
      <c r="IFI69" s="8"/>
      <c r="IFJ69" s="8"/>
      <c r="IFK69" s="8"/>
      <c r="IFL69" s="8"/>
      <c r="IFM69" s="8"/>
      <c r="IFN69" s="8"/>
      <c r="IFO69" s="8"/>
      <c r="IFP69" s="8"/>
      <c r="IFQ69" s="8"/>
      <c r="IFR69" s="8"/>
      <c r="IFS69" s="8"/>
      <c r="IFT69" s="8"/>
      <c r="IFU69" s="8"/>
      <c r="IFV69" s="8"/>
      <c r="IFW69" s="8"/>
      <c r="IFX69" s="8"/>
      <c r="IFY69" s="8"/>
      <c r="IFZ69" s="8"/>
      <c r="IGA69" s="8"/>
      <c r="IGB69" s="8"/>
      <c r="IGC69" s="8"/>
      <c r="IGD69" s="8"/>
      <c r="IGE69" s="8"/>
      <c r="IGF69" s="8"/>
      <c r="IGG69" s="8"/>
      <c r="IGH69" s="8"/>
      <c r="IGI69" s="8"/>
      <c r="IGJ69" s="8"/>
      <c r="IGK69" s="8"/>
      <c r="IGL69" s="8"/>
      <c r="IGM69" s="8"/>
      <c r="IGN69" s="8"/>
      <c r="IGO69" s="8"/>
      <c r="IGP69" s="8"/>
      <c r="IGQ69" s="8"/>
      <c r="IGR69" s="8"/>
      <c r="IGS69" s="8"/>
      <c r="IGT69" s="8"/>
      <c r="IGU69" s="8"/>
      <c r="IGV69" s="8"/>
      <c r="IGW69" s="8"/>
      <c r="IGX69" s="8"/>
      <c r="IGY69" s="8"/>
      <c r="IGZ69" s="8"/>
      <c r="IHA69" s="8"/>
      <c r="IHB69" s="8"/>
      <c r="IHC69" s="8"/>
      <c r="IHD69" s="8"/>
      <c r="IHE69" s="8"/>
      <c r="IHF69" s="8"/>
      <c r="IHG69" s="8"/>
      <c r="IHH69" s="8"/>
      <c r="IHI69" s="8"/>
      <c r="IHJ69" s="8"/>
      <c r="IHK69" s="8"/>
      <c r="IHL69" s="8"/>
      <c r="IHM69" s="8"/>
      <c r="IHN69" s="8"/>
      <c r="IHO69" s="8"/>
      <c r="IHP69" s="8"/>
      <c r="IHQ69" s="8"/>
      <c r="IHR69" s="8"/>
      <c r="IHS69" s="8"/>
      <c r="IHT69" s="8"/>
      <c r="IHU69" s="8"/>
      <c r="IHV69" s="8"/>
      <c r="IHW69" s="8"/>
      <c r="IHX69" s="8"/>
      <c r="IHY69" s="8"/>
      <c r="IHZ69" s="8"/>
      <c r="IIA69" s="8"/>
      <c r="IIB69" s="8"/>
      <c r="IIC69" s="8"/>
      <c r="IID69" s="8"/>
      <c r="IIE69" s="8"/>
      <c r="IIF69" s="8"/>
      <c r="IIG69" s="8"/>
      <c r="IIH69" s="8"/>
      <c r="III69" s="8"/>
      <c r="IIJ69" s="8"/>
      <c r="IIK69" s="8"/>
      <c r="IIL69" s="8"/>
      <c r="IIM69" s="8"/>
      <c r="IIN69" s="8"/>
      <c r="IIO69" s="8"/>
      <c r="IIP69" s="8"/>
      <c r="IIQ69" s="8"/>
      <c r="IIR69" s="8"/>
      <c r="IIS69" s="8"/>
      <c r="IIT69" s="8"/>
      <c r="IIU69" s="8"/>
      <c r="IIV69" s="8"/>
      <c r="IIW69" s="8"/>
      <c r="IIX69" s="8"/>
      <c r="IIY69" s="8"/>
      <c r="IIZ69" s="8"/>
      <c r="IJA69" s="8"/>
      <c r="IJB69" s="8"/>
      <c r="IJC69" s="8"/>
      <c r="IJD69" s="8"/>
      <c r="IJE69" s="8"/>
      <c r="IJF69" s="8"/>
      <c r="IJG69" s="8"/>
      <c r="IJH69" s="8"/>
      <c r="IJI69" s="8"/>
      <c r="IJJ69" s="8"/>
      <c r="IJK69" s="8"/>
      <c r="IJL69" s="8"/>
      <c r="IJM69" s="8"/>
      <c r="IJN69" s="8"/>
      <c r="IJO69" s="8"/>
      <c r="IJP69" s="8"/>
      <c r="IJQ69" s="8"/>
      <c r="IJR69" s="8"/>
      <c r="IJS69" s="8"/>
      <c r="IJT69" s="8"/>
      <c r="IJU69" s="8"/>
      <c r="IJV69" s="8"/>
      <c r="IJW69" s="8"/>
      <c r="IJX69" s="8"/>
      <c r="IJY69" s="8"/>
      <c r="IJZ69" s="8"/>
      <c r="IKA69" s="8"/>
      <c r="IKB69" s="8"/>
      <c r="IKC69" s="8"/>
      <c r="IKD69" s="8"/>
      <c r="IKE69" s="8"/>
      <c r="IKF69" s="8"/>
      <c r="IKG69" s="8"/>
      <c r="IKH69" s="8"/>
      <c r="IKI69" s="8"/>
      <c r="IKJ69" s="8"/>
      <c r="IKK69" s="8"/>
      <c r="IKL69" s="8"/>
      <c r="IKM69" s="8"/>
      <c r="IKN69" s="8"/>
      <c r="IKO69" s="8"/>
      <c r="IKP69" s="8"/>
      <c r="IKQ69" s="8"/>
      <c r="IKR69" s="8"/>
      <c r="IKS69" s="8"/>
      <c r="IKT69" s="8"/>
      <c r="IKU69" s="8"/>
      <c r="IKV69" s="8"/>
      <c r="IKW69" s="8"/>
      <c r="IKX69" s="8"/>
      <c r="IKY69" s="8"/>
      <c r="IKZ69" s="8"/>
      <c r="ILA69" s="8"/>
      <c r="ILB69" s="8"/>
      <c r="ILC69" s="8"/>
      <c r="ILD69" s="8"/>
      <c r="ILE69" s="8"/>
      <c r="ILF69" s="8"/>
      <c r="ILG69" s="8"/>
      <c r="ILH69" s="8"/>
      <c r="ILI69" s="8"/>
      <c r="ILJ69" s="8"/>
      <c r="ILK69" s="8"/>
      <c r="ILL69" s="8"/>
      <c r="ILM69" s="8"/>
      <c r="ILN69" s="8"/>
      <c r="ILO69" s="8"/>
      <c r="ILP69" s="8"/>
      <c r="ILQ69" s="8"/>
      <c r="ILR69" s="8"/>
      <c r="ILS69" s="8"/>
      <c r="ILT69" s="8"/>
      <c r="ILU69" s="8"/>
      <c r="ILV69" s="8"/>
      <c r="ILW69" s="8"/>
      <c r="ILX69" s="8"/>
      <c r="ILY69" s="8"/>
      <c r="ILZ69" s="8"/>
      <c r="IMA69" s="8"/>
      <c r="IMB69" s="8"/>
      <c r="IMC69" s="8"/>
      <c r="IMD69" s="8"/>
      <c r="IME69" s="8"/>
      <c r="IMF69" s="8"/>
      <c r="IMG69" s="8"/>
      <c r="IMH69" s="8"/>
      <c r="IMI69" s="8"/>
      <c r="IMJ69" s="8"/>
      <c r="IMK69" s="8"/>
      <c r="IML69" s="8"/>
      <c r="IMM69" s="8"/>
      <c r="IMN69" s="8"/>
      <c r="IMO69" s="8"/>
      <c r="IMP69" s="8"/>
      <c r="IMQ69" s="8"/>
      <c r="IMR69" s="8"/>
      <c r="IMS69" s="8"/>
      <c r="IMT69" s="8"/>
      <c r="IMU69" s="8"/>
      <c r="IMV69" s="8"/>
      <c r="IMW69" s="8"/>
      <c r="IMX69" s="8"/>
      <c r="IMY69" s="8"/>
      <c r="IMZ69" s="8"/>
      <c r="INA69" s="8"/>
      <c r="INB69" s="8"/>
      <c r="INC69" s="8"/>
      <c r="IND69" s="8"/>
      <c r="INE69" s="8"/>
      <c r="INF69" s="8"/>
      <c r="ING69" s="8"/>
      <c r="INH69" s="8"/>
      <c r="INI69" s="8"/>
      <c r="INJ69" s="8"/>
      <c r="INK69" s="8"/>
      <c r="INL69" s="8"/>
      <c r="INM69" s="8"/>
      <c r="INN69" s="8"/>
      <c r="INO69" s="8"/>
      <c r="INP69" s="8"/>
      <c r="INQ69" s="8"/>
      <c r="INR69" s="8"/>
      <c r="INS69" s="8"/>
      <c r="INT69" s="8"/>
      <c r="INU69" s="8"/>
      <c r="INV69" s="8"/>
      <c r="INW69" s="8"/>
      <c r="INX69" s="8"/>
      <c r="INY69" s="8"/>
      <c r="INZ69" s="8"/>
      <c r="IOA69" s="8"/>
      <c r="IOB69" s="8"/>
      <c r="IOC69" s="8"/>
      <c r="IOD69" s="8"/>
      <c r="IOE69" s="8"/>
      <c r="IOF69" s="8"/>
      <c r="IOG69" s="8"/>
      <c r="IOH69" s="8"/>
      <c r="IOI69" s="8"/>
      <c r="IOJ69" s="8"/>
      <c r="IOK69" s="8"/>
      <c r="IOL69" s="8"/>
      <c r="IOM69" s="8"/>
      <c r="ION69" s="8"/>
      <c r="IOO69" s="8"/>
      <c r="IOP69" s="8"/>
      <c r="IOQ69" s="8"/>
      <c r="IOR69" s="8"/>
      <c r="IOS69" s="8"/>
      <c r="IOT69" s="8"/>
      <c r="IOU69" s="8"/>
      <c r="IOV69" s="8"/>
      <c r="IOW69" s="8"/>
      <c r="IOX69" s="8"/>
      <c r="IOY69" s="8"/>
      <c r="IOZ69" s="8"/>
      <c r="IPA69" s="8"/>
      <c r="IPB69" s="8"/>
      <c r="IPC69" s="8"/>
      <c r="IPD69" s="8"/>
      <c r="IPE69" s="8"/>
      <c r="IPF69" s="8"/>
      <c r="IPG69" s="8"/>
      <c r="IPH69" s="8"/>
      <c r="IPI69" s="8"/>
      <c r="IPJ69" s="8"/>
      <c r="IPK69" s="8"/>
      <c r="IPL69" s="8"/>
      <c r="IPM69" s="8"/>
      <c r="IPN69" s="8"/>
      <c r="IPO69" s="8"/>
      <c r="IPP69" s="8"/>
      <c r="IPQ69" s="8"/>
      <c r="IPR69" s="8"/>
      <c r="IPS69" s="8"/>
      <c r="IPT69" s="8"/>
      <c r="IPU69" s="8"/>
      <c r="IPV69" s="8"/>
      <c r="IPW69" s="8"/>
      <c r="IPX69" s="8"/>
      <c r="IPY69" s="8"/>
      <c r="IPZ69" s="8"/>
      <c r="IQA69" s="8"/>
      <c r="IQB69" s="8"/>
      <c r="IQC69" s="8"/>
      <c r="IQD69" s="8"/>
      <c r="IQE69" s="8"/>
      <c r="IQF69" s="8"/>
      <c r="IQG69" s="8"/>
      <c r="IQH69" s="8"/>
      <c r="IQI69" s="8"/>
      <c r="IQJ69" s="8"/>
      <c r="IQK69" s="8"/>
      <c r="IQL69" s="8"/>
      <c r="IQM69" s="8"/>
      <c r="IQN69" s="8"/>
      <c r="IQO69" s="8"/>
      <c r="IQP69" s="8"/>
      <c r="IQQ69" s="8"/>
      <c r="IQR69" s="8"/>
      <c r="IQS69" s="8"/>
      <c r="IQT69" s="8"/>
      <c r="IQU69" s="8"/>
      <c r="IQV69" s="8"/>
      <c r="IQW69" s="8"/>
      <c r="IQX69" s="8"/>
      <c r="IQY69" s="8"/>
      <c r="IQZ69" s="8"/>
      <c r="IRA69" s="8"/>
      <c r="IRB69" s="8"/>
      <c r="IRC69" s="8"/>
      <c r="IRD69" s="8"/>
      <c r="IRE69" s="8"/>
      <c r="IRF69" s="8"/>
      <c r="IRG69" s="8"/>
      <c r="IRH69" s="8"/>
      <c r="IRI69" s="8"/>
      <c r="IRJ69" s="8"/>
      <c r="IRK69" s="8"/>
      <c r="IRL69" s="8"/>
      <c r="IRM69" s="8"/>
      <c r="IRN69" s="8"/>
      <c r="IRO69" s="8"/>
      <c r="IRP69" s="8"/>
      <c r="IRQ69" s="8"/>
      <c r="IRR69" s="8"/>
      <c r="IRS69" s="8"/>
      <c r="IRT69" s="8"/>
      <c r="IRU69" s="8"/>
      <c r="IRV69" s="8"/>
      <c r="IRW69" s="8"/>
      <c r="IRX69" s="8"/>
      <c r="IRY69" s="8"/>
      <c r="IRZ69" s="8"/>
      <c r="ISA69" s="8"/>
      <c r="ISB69" s="8"/>
      <c r="ISC69" s="8"/>
      <c r="ISD69" s="8"/>
      <c r="ISE69" s="8"/>
      <c r="ISF69" s="8"/>
      <c r="ISG69" s="8"/>
      <c r="ISH69" s="8"/>
      <c r="ISI69" s="8"/>
      <c r="ISJ69" s="8"/>
      <c r="ISK69" s="8"/>
      <c r="ISL69" s="8"/>
      <c r="ISM69" s="8"/>
      <c r="ISN69" s="8"/>
      <c r="ISO69" s="8"/>
      <c r="ISP69" s="8"/>
      <c r="ISQ69" s="8"/>
      <c r="ISR69" s="8"/>
      <c r="ISS69" s="8"/>
      <c r="IST69" s="8"/>
      <c r="ISU69" s="8"/>
      <c r="ISV69" s="8"/>
      <c r="ISW69" s="8"/>
      <c r="ISX69" s="8"/>
      <c r="ISY69" s="8"/>
      <c r="ISZ69" s="8"/>
      <c r="ITA69" s="8"/>
      <c r="ITB69" s="8"/>
      <c r="ITC69" s="8"/>
      <c r="ITD69" s="8"/>
      <c r="ITE69" s="8"/>
      <c r="ITF69" s="8"/>
      <c r="ITG69" s="8"/>
      <c r="ITH69" s="8"/>
      <c r="ITI69" s="8"/>
      <c r="ITJ69" s="8"/>
      <c r="ITK69" s="8"/>
      <c r="ITL69" s="8"/>
      <c r="ITM69" s="8"/>
      <c r="ITN69" s="8"/>
      <c r="ITO69" s="8"/>
      <c r="ITP69" s="8"/>
      <c r="ITQ69" s="8"/>
      <c r="ITR69" s="8"/>
      <c r="ITS69" s="8"/>
      <c r="ITT69" s="8"/>
      <c r="ITU69" s="8"/>
      <c r="ITV69" s="8"/>
      <c r="ITW69" s="8"/>
      <c r="ITX69" s="8"/>
      <c r="ITY69" s="8"/>
      <c r="ITZ69" s="8"/>
      <c r="IUA69" s="8"/>
      <c r="IUB69" s="8"/>
      <c r="IUC69" s="8"/>
      <c r="IUD69" s="8"/>
      <c r="IUE69" s="8"/>
      <c r="IUF69" s="8"/>
      <c r="IUG69" s="8"/>
      <c r="IUH69" s="8"/>
      <c r="IUI69" s="8"/>
      <c r="IUJ69" s="8"/>
      <c r="IUK69" s="8"/>
      <c r="IUL69" s="8"/>
      <c r="IUM69" s="8"/>
      <c r="IUN69" s="8"/>
      <c r="IUO69" s="8"/>
      <c r="IUP69" s="8"/>
      <c r="IUQ69" s="8"/>
      <c r="IUR69" s="8"/>
      <c r="IUS69" s="8"/>
      <c r="IUT69" s="8"/>
      <c r="IUU69" s="8"/>
      <c r="IUV69" s="8"/>
      <c r="IUW69" s="8"/>
      <c r="IUX69" s="8"/>
      <c r="IUY69" s="8"/>
      <c r="IUZ69" s="8"/>
      <c r="IVA69" s="8"/>
      <c r="IVB69" s="8"/>
      <c r="IVC69" s="8"/>
      <c r="IVD69" s="8"/>
      <c r="IVE69" s="8"/>
      <c r="IVF69" s="8"/>
      <c r="IVG69" s="8"/>
      <c r="IVH69" s="8"/>
      <c r="IVI69" s="8"/>
      <c r="IVJ69" s="8"/>
      <c r="IVK69" s="8"/>
      <c r="IVL69" s="8"/>
      <c r="IVM69" s="8"/>
      <c r="IVN69" s="8"/>
      <c r="IVO69" s="8"/>
      <c r="IVP69" s="8"/>
      <c r="IVQ69" s="8"/>
      <c r="IVR69" s="8"/>
      <c r="IVS69" s="8"/>
      <c r="IVT69" s="8"/>
      <c r="IVU69" s="8"/>
      <c r="IVV69" s="8"/>
      <c r="IVW69" s="8"/>
      <c r="IVX69" s="8"/>
      <c r="IVY69" s="8"/>
      <c r="IVZ69" s="8"/>
      <c r="IWA69" s="8"/>
      <c r="IWB69" s="8"/>
      <c r="IWC69" s="8"/>
      <c r="IWD69" s="8"/>
      <c r="IWE69" s="8"/>
      <c r="IWF69" s="8"/>
      <c r="IWG69" s="8"/>
      <c r="IWH69" s="8"/>
      <c r="IWI69" s="8"/>
      <c r="IWJ69" s="8"/>
      <c r="IWK69" s="8"/>
      <c r="IWL69" s="8"/>
      <c r="IWM69" s="8"/>
      <c r="IWN69" s="8"/>
      <c r="IWO69" s="8"/>
      <c r="IWP69" s="8"/>
      <c r="IWQ69" s="8"/>
      <c r="IWR69" s="8"/>
      <c r="IWS69" s="8"/>
      <c r="IWT69" s="8"/>
      <c r="IWU69" s="8"/>
      <c r="IWV69" s="8"/>
      <c r="IWW69" s="8"/>
      <c r="IWX69" s="8"/>
      <c r="IWY69" s="8"/>
      <c r="IWZ69" s="8"/>
      <c r="IXA69" s="8"/>
      <c r="IXB69" s="8"/>
      <c r="IXC69" s="8"/>
      <c r="IXD69" s="8"/>
      <c r="IXE69" s="8"/>
      <c r="IXF69" s="8"/>
      <c r="IXG69" s="8"/>
      <c r="IXH69" s="8"/>
      <c r="IXI69" s="8"/>
      <c r="IXJ69" s="8"/>
      <c r="IXK69" s="8"/>
      <c r="IXL69" s="8"/>
      <c r="IXM69" s="8"/>
      <c r="IXN69" s="8"/>
      <c r="IXO69" s="8"/>
      <c r="IXP69" s="8"/>
      <c r="IXQ69" s="8"/>
      <c r="IXR69" s="8"/>
      <c r="IXS69" s="8"/>
      <c r="IXT69" s="8"/>
      <c r="IXU69" s="8"/>
      <c r="IXV69" s="8"/>
      <c r="IXW69" s="8"/>
      <c r="IXX69" s="8"/>
      <c r="IXY69" s="8"/>
      <c r="IXZ69" s="8"/>
      <c r="IYA69" s="8"/>
      <c r="IYB69" s="8"/>
      <c r="IYC69" s="8"/>
      <c r="IYD69" s="8"/>
      <c r="IYE69" s="8"/>
      <c r="IYF69" s="8"/>
      <c r="IYG69" s="8"/>
      <c r="IYH69" s="8"/>
      <c r="IYI69" s="8"/>
      <c r="IYJ69" s="8"/>
      <c r="IYK69" s="8"/>
      <c r="IYL69" s="8"/>
      <c r="IYM69" s="8"/>
      <c r="IYN69" s="8"/>
      <c r="IYO69" s="8"/>
      <c r="IYP69" s="8"/>
      <c r="IYQ69" s="8"/>
      <c r="IYR69" s="8"/>
      <c r="IYS69" s="8"/>
      <c r="IYT69" s="8"/>
      <c r="IYU69" s="8"/>
      <c r="IYV69" s="8"/>
      <c r="IYW69" s="8"/>
      <c r="IYX69" s="8"/>
      <c r="IYY69" s="8"/>
      <c r="IYZ69" s="8"/>
      <c r="IZA69" s="8"/>
      <c r="IZB69" s="8"/>
      <c r="IZC69" s="8"/>
      <c r="IZD69" s="8"/>
      <c r="IZE69" s="8"/>
      <c r="IZF69" s="8"/>
      <c r="IZG69" s="8"/>
      <c r="IZH69" s="8"/>
      <c r="IZI69" s="8"/>
      <c r="IZJ69" s="8"/>
      <c r="IZK69" s="8"/>
      <c r="IZL69" s="8"/>
      <c r="IZM69" s="8"/>
      <c r="IZN69" s="8"/>
      <c r="IZO69" s="8"/>
      <c r="IZP69" s="8"/>
      <c r="IZQ69" s="8"/>
      <c r="IZR69" s="8"/>
      <c r="IZS69" s="8"/>
      <c r="IZT69" s="8"/>
      <c r="IZU69" s="8"/>
      <c r="IZV69" s="8"/>
      <c r="IZW69" s="8"/>
      <c r="IZX69" s="8"/>
      <c r="IZY69" s="8"/>
      <c r="IZZ69" s="8"/>
      <c r="JAA69" s="8"/>
      <c r="JAB69" s="8"/>
      <c r="JAC69" s="8"/>
      <c r="JAD69" s="8"/>
      <c r="JAE69" s="8"/>
      <c r="JAF69" s="8"/>
      <c r="JAG69" s="8"/>
      <c r="JAH69" s="8"/>
      <c r="JAI69" s="8"/>
      <c r="JAJ69" s="8"/>
      <c r="JAK69" s="8"/>
      <c r="JAL69" s="8"/>
      <c r="JAM69" s="8"/>
      <c r="JAN69" s="8"/>
      <c r="JAO69" s="8"/>
      <c r="JAP69" s="8"/>
      <c r="JAQ69" s="8"/>
      <c r="JAR69" s="8"/>
      <c r="JAS69" s="8"/>
      <c r="JAT69" s="8"/>
      <c r="JAU69" s="8"/>
      <c r="JAV69" s="8"/>
      <c r="JAW69" s="8"/>
      <c r="JAX69" s="8"/>
      <c r="JAY69" s="8"/>
      <c r="JAZ69" s="8"/>
      <c r="JBA69" s="8"/>
      <c r="JBB69" s="8"/>
      <c r="JBC69" s="8"/>
      <c r="JBD69" s="8"/>
      <c r="JBE69" s="8"/>
      <c r="JBF69" s="8"/>
      <c r="JBG69" s="8"/>
      <c r="JBH69" s="8"/>
      <c r="JBI69" s="8"/>
      <c r="JBJ69" s="8"/>
      <c r="JBK69" s="8"/>
      <c r="JBL69" s="8"/>
      <c r="JBM69" s="8"/>
      <c r="JBN69" s="8"/>
      <c r="JBO69" s="8"/>
      <c r="JBP69" s="8"/>
      <c r="JBQ69" s="8"/>
      <c r="JBR69" s="8"/>
      <c r="JBS69" s="8"/>
      <c r="JBT69" s="8"/>
      <c r="JBU69" s="8"/>
      <c r="JBV69" s="8"/>
      <c r="JBW69" s="8"/>
      <c r="JBX69" s="8"/>
      <c r="JBY69" s="8"/>
      <c r="JBZ69" s="8"/>
      <c r="JCA69" s="8"/>
      <c r="JCB69" s="8"/>
      <c r="JCC69" s="8"/>
      <c r="JCD69" s="8"/>
      <c r="JCE69" s="8"/>
      <c r="JCF69" s="8"/>
      <c r="JCG69" s="8"/>
      <c r="JCH69" s="8"/>
      <c r="JCI69" s="8"/>
      <c r="JCJ69" s="8"/>
      <c r="JCK69" s="8"/>
      <c r="JCL69" s="8"/>
      <c r="JCM69" s="8"/>
      <c r="JCN69" s="8"/>
      <c r="JCO69" s="8"/>
      <c r="JCP69" s="8"/>
      <c r="JCQ69" s="8"/>
      <c r="JCR69" s="8"/>
      <c r="JCS69" s="8"/>
      <c r="JCT69" s="8"/>
      <c r="JCU69" s="8"/>
      <c r="JCV69" s="8"/>
      <c r="JCW69" s="8"/>
      <c r="JCX69" s="8"/>
      <c r="JCY69" s="8"/>
      <c r="JCZ69" s="8"/>
      <c r="JDA69" s="8"/>
      <c r="JDB69" s="8"/>
      <c r="JDC69" s="8"/>
      <c r="JDD69" s="8"/>
      <c r="JDE69" s="8"/>
      <c r="JDF69" s="8"/>
      <c r="JDG69" s="8"/>
      <c r="JDH69" s="8"/>
      <c r="JDI69" s="8"/>
      <c r="JDJ69" s="8"/>
      <c r="JDK69" s="8"/>
      <c r="JDL69" s="8"/>
      <c r="JDM69" s="8"/>
      <c r="JDN69" s="8"/>
      <c r="JDO69" s="8"/>
      <c r="JDP69" s="8"/>
      <c r="JDQ69" s="8"/>
      <c r="JDR69" s="8"/>
      <c r="JDS69" s="8"/>
      <c r="JDT69" s="8"/>
      <c r="JDU69" s="8"/>
      <c r="JDV69" s="8"/>
      <c r="JDW69" s="8"/>
      <c r="JDX69" s="8"/>
      <c r="JDY69" s="8"/>
      <c r="JDZ69" s="8"/>
      <c r="JEA69" s="8"/>
      <c r="JEB69" s="8"/>
      <c r="JEC69" s="8"/>
      <c r="JED69" s="8"/>
      <c r="JEE69" s="8"/>
      <c r="JEF69" s="8"/>
      <c r="JEG69" s="8"/>
      <c r="JEH69" s="8"/>
      <c r="JEI69" s="8"/>
      <c r="JEJ69" s="8"/>
      <c r="JEK69" s="8"/>
      <c r="JEL69" s="8"/>
      <c r="JEM69" s="8"/>
      <c r="JEN69" s="8"/>
      <c r="JEO69" s="8"/>
      <c r="JEP69" s="8"/>
      <c r="JEQ69" s="8"/>
      <c r="JER69" s="8"/>
      <c r="JES69" s="8"/>
      <c r="JET69" s="8"/>
      <c r="JEU69" s="8"/>
      <c r="JEV69" s="8"/>
      <c r="JEW69" s="8"/>
      <c r="JEX69" s="8"/>
      <c r="JEY69" s="8"/>
      <c r="JEZ69" s="8"/>
      <c r="JFA69" s="8"/>
      <c r="JFB69" s="8"/>
      <c r="JFC69" s="8"/>
      <c r="JFD69" s="8"/>
      <c r="JFE69" s="8"/>
      <c r="JFF69" s="8"/>
      <c r="JFG69" s="8"/>
      <c r="JFH69" s="8"/>
      <c r="JFI69" s="8"/>
      <c r="JFJ69" s="8"/>
      <c r="JFK69" s="8"/>
      <c r="JFL69" s="8"/>
      <c r="JFM69" s="8"/>
      <c r="JFN69" s="8"/>
      <c r="JFO69" s="8"/>
      <c r="JFP69" s="8"/>
      <c r="JFQ69" s="8"/>
      <c r="JFR69" s="8"/>
      <c r="JFS69" s="8"/>
      <c r="JFT69" s="8"/>
      <c r="JFU69" s="8"/>
      <c r="JFV69" s="8"/>
      <c r="JFW69" s="8"/>
      <c r="JFX69" s="8"/>
      <c r="JFY69" s="8"/>
      <c r="JFZ69" s="8"/>
      <c r="JGA69" s="8"/>
      <c r="JGB69" s="8"/>
      <c r="JGC69" s="8"/>
      <c r="JGD69" s="8"/>
      <c r="JGE69" s="8"/>
      <c r="JGF69" s="8"/>
      <c r="JGG69" s="8"/>
      <c r="JGH69" s="8"/>
      <c r="JGI69" s="8"/>
      <c r="JGJ69" s="8"/>
      <c r="JGK69" s="8"/>
      <c r="JGL69" s="8"/>
      <c r="JGM69" s="8"/>
      <c r="JGN69" s="8"/>
      <c r="JGO69" s="8"/>
      <c r="JGP69" s="8"/>
      <c r="JGQ69" s="8"/>
      <c r="JGR69" s="8"/>
      <c r="JGS69" s="8"/>
      <c r="JGT69" s="8"/>
      <c r="JGU69" s="8"/>
      <c r="JGV69" s="8"/>
      <c r="JGW69" s="8"/>
      <c r="JGX69" s="8"/>
      <c r="JGY69" s="8"/>
      <c r="JGZ69" s="8"/>
      <c r="JHA69" s="8"/>
      <c r="JHB69" s="8"/>
      <c r="JHC69" s="8"/>
      <c r="JHD69" s="8"/>
      <c r="JHE69" s="8"/>
      <c r="JHF69" s="8"/>
      <c r="JHG69" s="8"/>
      <c r="JHH69" s="8"/>
      <c r="JHI69" s="8"/>
      <c r="JHJ69" s="8"/>
      <c r="JHK69" s="8"/>
      <c r="JHL69" s="8"/>
      <c r="JHM69" s="8"/>
      <c r="JHN69" s="8"/>
      <c r="JHO69" s="8"/>
      <c r="JHP69" s="8"/>
      <c r="JHQ69" s="8"/>
      <c r="JHR69" s="8"/>
      <c r="JHS69" s="8"/>
      <c r="JHT69" s="8"/>
      <c r="JHU69" s="8"/>
      <c r="JHV69" s="8"/>
      <c r="JHW69" s="8"/>
      <c r="JHX69" s="8"/>
      <c r="JHY69" s="8"/>
      <c r="JHZ69" s="8"/>
      <c r="JIA69" s="8"/>
      <c r="JIB69" s="8"/>
      <c r="JIC69" s="8"/>
      <c r="JID69" s="8"/>
      <c r="JIE69" s="8"/>
      <c r="JIF69" s="8"/>
      <c r="JIG69" s="8"/>
      <c r="JIH69" s="8"/>
      <c r="JII69" s="8"/>
      <c r="JIJ69" s="8"/>
      <c r="JIK69" s="8"/>
      <c r="JIL69" s="8"/>
      <c r="JIM69" s="8"/>
      <c r="JIN69" s="8"/>
      <c r="JIO69" s="8"/>
      <c r="JIP69" s="8"/>
      <c r="JIQ69" s="8"/>
      <c r="JIR69" s="8"/>
      <c r="JIS69" s="8"/>
      <c r="JIT69" s="8"/>
      <c r="JIU69" s="8"/>
      <c r="JIV69" s="8"/>
      <c r="JIW69" s="8"/>
      <c r="JIX69" s="8"/>
      <c r="JIY69" s="8"/>
      <c r="JIZ69" s="8"/>
      <c r="JJA69" s="8"/>
      <c r="JJB69" s="8"/>
      <c r="JJC69" s="8"/>
      <c r="JJD69" s="8"/>
      <c r="JJE69" s="8"/>
      <c r="JJF69" s="8"/>
      <c r="JJG69" s="8"/>
      <c r="JJH69" s="8"/>
      <c r="JJI69" s="8"/>
      <c r="JJJ69" s="8"/>
      <c r="JJK69" s="8"/>
      <c r="JJL69" s="8"/>
      <c r="JJM69" s="8"/>
      <c r="JJN69" s="8"/>
      <c r="JJO69" s="8"/>
      <c r="JJP69" s="8"/>
      <c r="JJQ69" s="8"/>
      <c r="JJR69" s="8"/>
      <c r="JJS69" s="8"/>
      <c r="JJT69" s="8"/>
      <c r="JJU69" s="8"/>
      <c r="JJV69" s="8"/>
      <c r="JJW69" s="8"/>
      <c r="JJX69" s="8"/>
      <c r="JJY69" s="8"/>
      <c r="JJZ69" s="8"/>
      <c r="JKA69" s="8"/>
      <c r="JKB69" s="8"/>
      <c r="JKC69" s="8"/>
      <c r="JKD69" s="8"/>
      <c r="JKE69" s="8"/>
      <c r="JKF69" s="8"/>
      <c r="JKG69" s="8"/>
      <c r="JKH69" s="8"/>
      <c r="JKI69" s="8"/>
      <c r="JKJ69" s="8"/>
      <c r="JKK69" s="8"/>
      <c r="JKL69" s="8"/>
      <c r="JKM69" s="8"/>
      <c r="JKN69" s="8"/>
      <c r="JKO69" s="8"/>
      <c r="JKP69" s="8"/>
      <c r="JKQ69" s="8"/>
      <c r="JKR69" s="8"/>
      <c r="JKS69" s="8"/>
      <c r="JKT69" s="8"/>
      <c r="JKU69" s="8"/>
      <c r="JKV69" s="8"/>
      <c r="JKW69" s="8"/>
      <c r="JKX69" s="8"/>
      <c r="JKY69" s="8"/>
      <c r="JKZ69" s="8"/>
      <c r="JLA69" s="8"/>
      <c r="JLB69" s="8"/>
      <c r="JLC69" s="8"/>
      <c r="JLD69" s="8"/>
      <c r="JLE69" s="8"/>
      <c r="JLF69" s="8"/>
      <c r="JLG69" s="8"/>
      <c r="JLH69" s="8"/>
      <c r="JLI69" s="8"/>
      <c r="JLJ69" s="8"/>
      <c r="JLK69" s="8"/>
      <c r="JLL69" s="8"/>
      <c r="JLM69" s="8"/>
      <c r="JLN69" s="8"/>
      <c r="JLO69" s="8"/>
      <c r="JLP69" s="8"/>
      <c r="JLQ69" s="8"/>
      <c r="JLR69" s="8"/>
      <c r="JLS69" s="8"/>
      <c r="JLT69" s="8"/>
      <c r="JLU69" s="8"/>
      <c r="JLV69" s="8"/>
      <c r="JLW69" s="8"/>
      <c r="JLX69" s="8"/>
      <c r="JLY69" s="8"/>
      <c r="JLZ69" s="8"/>
      <c r="JMA69" s="8"/>
      <c r="JMB69" s="8"/>
      <c r="JMC69" s="8"/>
      <c r="JMD69" s="8"/>
      <c r="JME69" s="8"/>
      <c r="JMF69" s="8"/>
      <c r="JMG69" s="8"/>
      <c r="JMH69" s="8"/>
      <c r="JMI69" s="8"/>
      <c r="JMJ69" s="8"/>
      <c r="JMK69" s="8"/>
      <c r="JML69" s="8"/>
      <c r="JMM69" s="8"/>
      <c r="JMN69" s="8"/>
      <c r="JMO69" s="8"/>
      <c r="JMP69" s="8"/>
      <c r="JMQ69" s="8"/>
      <c r="JMR69" s="8"/>
      <c r="JMS69" s="8"/>
      <c r="JMT69" s="8"/>
      <c r="JMU69" s="8"/>
      <c r="JMV69" s="8"/>
      <c r="JMW69" s="8"/>
      <c r="JMX69" s="8"/>
      <c r="JMY69" s="8"/>
      <c r="JMZ69" s="8"/>
      <c r="JNA69" s="8"/>
      <c r="JNB69" s="8"/>
      <c r="JNC69" s="8"/>
      <c r="JND69" s="8"/>
      <c r="JNE69" s="8"/>
      <c r="JNF69" s="8"/>
      <c r="JNG69" s="8"/>
      <c r="JNH69" s="8"/>
      <c r="JNI69" s="8"/>
      <c r="JNJ69" s="8"/>
      <c r="JNK69" s="8"/>
      <c r="JNL69" s="8"/>
      <c r="JNM69" s="8"/>
      <c r="JNN69" s="8"/>
      <c r="JNO69" s="8"/>
      <c r="JNP69" s="8"/>
      <c r="JNQ69" s="8"/>
      <c r="JNR69" s="8"/>
      <c r="JNS69" s="8"/>
      <c r="JNT69" s="8"/>
      <c r="JNU69" s="8"/>
      <c r="JNV69" s="8"/>
      <c r="JNW69" s="8"/>
      <c r="JNX69" s="8"/>
      <c r="JNY69" s="8"/>
      <c r="JNZ69" s="8"/>
      <c r="JOA69" s="8"/>
      <c r="JOB69" s="8"/>
      <c r="JOC69" s="8"/>
      <c r="JOD69" s="8"/>
      <c r="JOE69" s="8"/>
      <c r="JOF69" s="8"/>
      <c r="JOG69" s="8"/>
      <c r="JOH69" s="8"/>
      <c r="JOI69" s="8"/>
      <c r="JOJ69" s="8"/>
      <c r="JOK69" s="8"/>
      <c r="JOL69" s="8"/>
      <c r="JOM69" s="8"/>
      <c r="JON69" s="8"/>
      <c r="JOO69" s="8"/>
      <c r="JOP69" s="8"/>
      <c r="JOQ69" s="8"/>
      <c r="JOR69" s="8"/>
      <c r="JOS69" s="8"/>
      <c r="JOT69" s="8"/>
      <c r="JOU69" s="8"/>
      <c r="JOV69" s="8"/>
      <c r="JOW69" s="8"/>
      <c r="JOX69" s="8"/>
      <c r="JOY69" s="8"/>
      <c r="JOZ69" s="8"/>
      <c r="JPA69" s="8"/>
      <c r="JPB69" s="8"/>
      <c r="JPC69" s="8"/>
      <c r="JPD69" s="8"/>
      <c r="JPE69" s="8"/>
      <c r="JPF69" s="8"/>
      <c r="JPG69" s="8"/>
      <c r="JPH69" s="8"/>
      <c r="JPI69" s="8"/>
      <c r="JPJ69" s="8"/>
      <c r="JPK69" s="8"/>
      <c r="JPL69" s="8"/>
      <c r="JPM69" s="8"/>
      <c r="JPN69" s="8"/>
      <c r="JPO69" s="8"/>
      <c r="JPP69" s="8"/>
      <c r="JPQ69" s="8"/>
      <c r="JPR69" s="8"/>
      <c r="JPS69" s="8"/>
      <c r="JPT69" s="8"/>
      <c r="JPU69" s="8"/>
      <c r="JPV69" s="8"/>
      <c r="JPW69" s="8"/>
      <c r="JPX69" s="8"/>
      <c r="JPY69" s="8"/>
      <c r="JPZ69" s="8"/>
      <c r="JQA69" s="8"/>
      <c r="JQB69" s="8"/>
      <c r="JQC69" s="8"/>
      <c r="JQD69" s="8"/>
      <c r="JQE69" s="8"/>
      <c r="JQF69" s="8"/>
      <c r="JQG69" s="8"/>
      <c r="JQH69" s="8"/>
      <c r="JQI69" s="8"/>
      <c r="JQJ69" s="8"/>
      <c r="JQK69" s="8"/>
      <c r="JQL69" s="8"/>
      <c r="JQM69" s="8"/>
      <c r="JQN69" s="8"/>
      <c r="JQO69" s="8"/>
      <c r="JQP69" s="8"/>
      <c r="JQQ69" s="8"/>
      <c r="JQR69" s="8"/>
      <c r="JQS69" s="8"/>
      <c r="JQT69" s="8"/>
      <c r="JQU69" s="8"/>
      <c r="JQV69" s="8"/>
      <c r="JQW69" s="8"/>
      <c r="JQX69" s="8"/>
      <c r="JQY69" s="8"/>
      <c r="JQZ69" s="8"/>
      <c r="JRA69" s="8"/>
      <c r="JRB69" s="8"/>
      <c r="JRC69" s="8"/>
      <c r="JRD69" s="8"/>
      <c r="JRE69" s="8"/>
      <c r="JRF69" s="8"/>
      <c r="JRG69" s="8"/>
      <c r="JRH69" s="8"/>
      <c r="JRI69" s="8"/>
      <c r="JRJ69" s="8"/>
      <c r="JRK69" s="8"/>
      <c r="JRL69" s="8"/>
      <c r="JRM69" s="8"/>
      <c r="JRN69" s="8"/>
      <c r="JRO69" s="8"/>
      <c r="JRP69" s="8"/>
      <c r="JRQ69" s="8"/>
      <c r="JRR69" s="8"/>
      <c r="JRS69" s="8"/>
      <c r="JRT69" s="8"/>
      <c r="JRU69" s="8"/>
      <c r="JRV69" s="8"/>
      <c r="JRW69" s="8"/>
      <c r="JRX69" s="8"/>
      <c r="JRY69" s="8"/>
      <c r="JRZ69" s="8"/>
      <c r="JSA69" s="8"/>
      <c r="JSB69" s="8"/>
      <c r="JSC69" s="8"/>
      <c r="JSD69" s="8"/>
      <c r="JSE69" s="8"/>
      <c r="JSF69" s="8"/>
      <c r="JSG69" s="8"/>
      <c r="JSH69" s="8"/>
      <c r="JSI69" s="8"/>
      <c r="JSJ69" s="8"/>
      <c r="JSK69" s="8"/>
      <c r="JSL69" s="8"/>
      <c r="JSM69" s="8"/>
      <c r="JSN69" s="8"/>
      <c r="JSO69" s="8"/>
      <c r="JSP69" s="8"/>
      <c r="JSQ69" s="8"/>
      <c r="JSR69" s="8"/>
      <c r="JSS69" s="8"/>
      <c r="JST69" s="8"/>
      <c r="JSU69" s="8"/>
      <c r="JSV69" s="8"/>
      <c r="JSW69" s="8"/>
      <c r="JSX69" s="8"/>
      <c r="JSY69" s="8"/>
      <c r="JSZ69" s="8"/>
      <c r="JTA69" s="8"/>
      <c r="JTB69" s="8"/>
      <c r="JTC69" s="8"/>
      <c r="JTD69" s="8"/>
      <c r="JTE69" s="8"/>
      <c r="JTF69" s="8"/>
      <c r="JTG69" s="8"/>
      <c r="JTH69" s="8"/>
      <c r="JTI69" s="8"/>
      <c r="JTJ69" s="8"/>
      <c r="JTK69" s="8"/>
      <c r="JTL69" s="8"/>
      <c r="JTM69" s="8"/>
      <c r="JTN69" s="8"/>
      <c r="JTO69" s="8"/>
      <c r="JTP69" s="8"/>
      <c r="JTQ69" s="8"/>
      <c r="JTR69" s="8"/>
      <c r="JTS69" s="8"/>
      <c r="JTT69" s="8"/>
      <c r="JTU69" s="8"/>
      <c r="JTV69" s="8"/>
      <c r="JTW69" s="8"/>
      <c r="JTX69" s="8"/>
      <c r="JTY69" s="8"/>
      <c r="JTZ69" s="8"/>
      <c r="JUA69" s="8"/>
      <c r="JUB69" s="8"/>
      <c r="JUC69" s="8"/>
      <c r="JUD69" s="8"/>
      <c r="JUE69" s="8"/>
      <c r="JUF69" s="8"/>
      <c r="JUG69" s="8"/>
      <c r="JUH69" s="8"/>
      <c r="JUI69" s="8"/>
      <c r="JUJ69" s="8"/>
      <c r="JUK69" s="8"/>
      <c r="JUL69" s="8"/>
      <c r="JUM69" s="8"/>
      <c r="JUN69" s="8"/>
      <c r="JUO69" s="8"/>
      <c r="JUP69" s="8"/>
      <c r="JUQ69" s="8"/>
      <c r="JUR69" s="8"/>
      <c r="JUS69" s="8"/>
      <c r="JUT69" s="8"/>
      <c r="JUU69" s="8"/>
      <c r="JUV69" s="8"/>
      <c r="JUW69" s="8"/>
      <c r="JUX69" s="8"/>
      <c r="JUY69" s="8"/>
      <c r="JUZ69" s="8"/>
      <c r="JVA69" s="8"/>
      <c r="JVB69" s="8"/>
      <c r="JVC69" s="8"/>
      <c r="JVD69" s="8"/>
      <c r="JVE69" s="8"/>
      <c r="JVF69" s="8"/>
      <c r="JVG69" s="8"/>
      <c r="JVH69" s="8"/>
      <c r="JVI69" s="8"/>
      <c r="JVJ69" s="8"/>
      <c r="JVK69" s="8"/>
      <c r="JVL69" s="8"/>
      <c r="JVM69" s="8"/>
      <c r="JVN69" s="8"/>
      <c r="JVO69" s="8"/>
      <c r="JVP69" s="8"/>
      <c r="JVQ69" s="8"/>
      <c r="JVR69" s="8"/>
      <c r="JVS69" s="8"/>
      <c r="JVT69" s="8"/>
      <c r="JVU69" s="8"/>
      <c r="JVV69" s="8"/>
      <c r="JVW69" s="8"/>
      <c r="JVX69" s="8"/>
      <c r="JVY69" s="8"/>
      <c r="JVZ69" s="8"/>
      <c r="JWA69" s="8"/>
      <c r="JWB69" s="8"/>
      <c r="JWC69" s="8"/>
      <c r="JWD69" s="8"/>
      <c r="JWE69" s="8"/>
      <c r="JWF69" s="8"/>
      <c r="JWG69" s="8"/>
      <c r="JWH69" s="8"/>
      <c r="JWI69" s="8"/>
      <c r="JWJ69" s="8"/>
      <c r="JWK69" s="8"/>
      <c r="JWL69" s="8"/>
      <c r="JWM69" s="8"/>
      <c r="JWN69" s="8"/>
      <c r="JWO69" s="8"/>
      <c r="JWP69" s="8"/>
      <c r="JWQ69" s="8"/>
      <c r="JWR69" s="8"/>
      <c r="JWS69" s="8"/>
      <c r="JWT69" s="8"/>
      <c r="JWU69" s="8"/>
      <c r="JWV69" s="8"/>
      <c r="JWW69" s="8"/>
      <c r="JWX69" s="8"/>
      <c r="JWY69" s="8"/>
      <c r="JWZ69" s="8"/>
      <c r="JXA69" s="8"/>
      <c r="JXB69" s="8"/>
      <c r="JXC69" s="8"/>
      <c r="JXD69" s="8"/>
      <c r="JXE69" s="8"/>
      <c r="JXF69" s="8"/>
      <c r="JXG69" s="8"/>
      <c r="JXH69" s="8"/>
      <c r="JXI69" s="8"/>
      <c r="JXJ69" s="8"/>
      <c r="JXK69" s="8"/>
      <c r="JXL69" s="8"/>
      <c r="JXM69" s="8"/>
      <c r="JXN69" s="8"/>
      <c r="JXO69" s="8"/>
      <c r="JXP69" s="8"/>
      <c r="JXQ69" s="8"/>
      <c r="JXR69" s="8"/>
      <c r="JXS69" s="8"/>
      <c r="JXT69" s="8"/>
      <c r="JXU69" s="8"/>
      <c r="JXV69" s="8"/>
      <c r="JXW69" s="8"/>
      <c r="JXX69" s="8"/>
      <c r="JXY69" s="8"/>
      <c r="JXZ69" s="8"/>
      <c r="JYA69" s="8"/>
      <c r="JYB69" s="8"/>
      <c r="JYC69" s="8"/>
      <c r="JYD69" s="8"/>
      <c r="JYE69" s="8"/>
      <c r="JYF69" s="8"/>
      <c r="JYG69" s="8"/>
      <c r="JYH69" s="8"/>
      <c r="JYI69" s="8"/>
      <c r="JYJ69" s="8"/>
      <c r="JYK69" s="8"/>
      <c r="JYL69" s="8"/>
      <c r="JYM69" s="8"/>
      <c r="JYN69" s="8"/>
      <c r="JYO69" s="8"/>
      <c r="JYP69" s="8"/>
      <c r="JYQ69" s="8"/>
      <c r="JYR69" s="8"/>
      <c r="JYS69" s="8"/>
      <c r="JYT69" s="8"/>
      <c r="JYU69" s="8"/>
      <c r="JYV69" s="8"/>
      <c r="JYW69" s="8"/>
      <c r="JYX69" s="8"/>
      <c r="JYY69" s="8"/>
      <c r="JYZ69" s="8"/>
      <c r="JZA69" s="8"/>
      <c r="JZB69" s="8"/>
      <c r="JZC69" s="8"/>
      <c r="JZD69" s="8"/>
      <c r="JZE69" s="8"/>
      <c r="JZF69" s="8"/>
      <c r="JZG69" s="8"/>
      <c r="JZH69" s="8"/>
      <c r="JZI69" s="8"/>
      <c r="JZJ69" s="8"/>
      <c r="JZK69" s="8"/>
      <c r="JZL69" s="8"/>
      <c r="JZM69" s="8"/>
      <c r="JZN69" s="8"/>
      <c r="JZO69" s="8"/>
      <c r="JZP69" s="8"/>
      <c r="JZQ69" s="8"/>
      <c r="JZR69" s="8"/>
      <c r="JZS69" s="8"/>
      <c r="JZT69" s="8"/>
      <c r="JZU69" s="8"/>
      <c r="JZV69" s="8"/>
      <c r="JZW69" s="8"/>
      <c r="JZX69" s="8"/>
      <c r="JZY69" s="8"/>
      <c r="JZZ69" s="8"/>
      <c r="KAA69" s="8"/>
      <c r="KAB69" s="8"/>
      <c r="KAC69" s="8"/>
      <c r="KAD69" s="8"/>
      <c r="KAE69" s="8"/>
      <c r="KAF69" s="8"/>
      <c r="KAG69" s="8"/>
      <c r="KAH69" s="8"/>
      <c r="KAI69" s="8"/>
      <c r="KAJ69" s="8"/>
      <c r="KAK69" s="8"/>
      <c r="KAL69" s="8"/>
      <c r="KAM69" s="8"/>
      <c r="KAN69" s="8"/>
      <c r="KAO69" s="8"/>
      <c r="KAP69" s="8"/>
      <c r="KAQ69" s="8"/>
      <c r="KAR69" s="8"/>
      <c r="KAS69" s="8"/>
      <c r="KAT69" s="8"/>
      <c r="KAU69" s="8"/>
      <c r="KAV69" s="8"/>
      <c r="KAW69" s="8"/>
      <c r="KAX69" s="8"/>
      <c r="KAY69" s="8"/>
      <c r="KAZ69" s="8"/>
      <c r="KBA69" s="8"/>
      <c r="KBB69" s="8"/>
      <c r="KBC69" s="8"/>
      <c r="KBD69" s="8"/>
      <c r="KBE69" s="8"/>
      <c r="KBF69" s="8"/>
      <c r="KBG69" s="8"/>
      <c r="KBH69" s="8"/>
      <c r="KBI69" s="8"/>
      <c r="KBJ69" s="8"/>
      <c r="KBK69" s="8"/>
      <c r="KBL69" s="8"/>
      <c r="KBM69" s="8"/>
      <c r="KBN69" s="8"/>
      <c r="KBO69" s="8"/>
      <c r="KBP69" s="8"/>
      <c r="KBQ69" s="8"/>
      <c r="KBR69" s="8"/>
      <c r="KBS69" s="8"/>
      <c r="KBT69" s="8"/>
      <c r="KBU69" s="8"/>
      <c r="KBV69" s="8"/>
      <c r="KBW69" s="8"/>
      <c r="KBX69" s="8"/>
      <c r="KBY69" s="8"/>
      <c r="KBZ69" s="8"/>
      <c r="KCA69" s="8"/>
      <c r="KCB69" s="8"/>
      <c r="KCC69" s="8"/>
      <c r="KCD69" s="8"/>
      <c r="KCE69" s="8"/>
      <c r="KCF69" s="8"/>
      <c r="KCG69" s="8"/>
      <c r="KCH69" s="8"/>
      <c r="KCI69" s="8"/>
      <c r="KCJ69" s="8"/>
      <c r="KCK69" s="8"/>
      <c r="KCL69" s="8"/>
      <c r="KCM69" s="8"/>
      <c r="KCN69" s="8"/>
      <c r="KCO69" s="8"/>
      <c r="KCP69" s="8"/>
      <c r="KCQ69" s="8"/>
      <c r="KCR69" s="8"/>
      <c r="KCS69" s="8"/>
      <c r="KCT69" s="8"/>
      <c r="KCU69" s="8"/>
      <c r="KCV69" s="8"/>
      <c r="KCW69" s="8"/>
      <c r="KCX69" s="8"/>
      <c r="KCY69" s="8"/>
      <c r="KCZ69" s="8"/>
      <c r="KDA69" s="8"/>
      <c r="KDB69" s="8"/>
      <c r="KDC69" s="8"/>
      <c r="KDD69" s="8"/>
      <c r="KDE69" s="8"/>
      <c r="KDF69" s="8"/>
      <c r="KDG69" s="8"/>
      <c r="KDH69" s="8"/>
      <c r="KDI69" s="8"/>
      <c r="KDJ69" s="8"/>
      <c r="KDK69" s="8"/>
      <c r="KDL69" s="8"/>
      <c r="KDM69" s="8"/>
      <c r="KDN69" s="8"/>
      <c r="KDO69" s="8"/>
      <c r="KDP69" s="8"/>
      <c r="KDQ69" s="8"/>
      <c r="KDR69" s="8"/>
      <c r="KDS69" s="8"/>
      <c r="KDT69" s="8"/>
      <c r="KDU69" s="8"/>
      <c r="KDV69" s="8"/>
      <c r="KDW69" s="8"/>
      <c r="KDX69" s="8"/>
      <c r="KDY69" s="8"/>
      <c r="KDZ69" s="8"/>
      <c r="KEA69" s="8"/>
      <c r="KEB69" s="8"/>
      <c r="KEC69" s="8"/>
      <c r="KED69" s="8"/>
      <c r="KEE69" s="8"/>
      <c r="KEF69" s="8"/>
      <c r="KEG69" s="8"/>
      <c r="KEH69" s="8"/>
      <c r="KEI69" s="8"/>
      <c r="KEJ69" s="8"/>
      <c r="KEK69" s="8"/>
      <c r="KEL69" s="8"/>
      <c r="KEM69" s="8"/>
      <c r="KEN69" s="8"/>
      <c r="KEO69" s="8"/>
      <c r="KEP69" s="8"/>
      <c r="KEQ69" s="8"/>
      <c r="KER69" s="8"/>
      <c r="KES69" s="8"/>
      <c r="KET69" s="8"/>
      <c r="KEU69" s="8"/>
      <c r="KEV69" s="8"/>
      <c r="KEW69" s="8"/>
      <c r="KEX69" s="8"/>
      <c r="KEY69" s="8"/>
      <c r="KEZ69" s="8"/>
      <c r="KFA69" s="8"/>
      <c r="KFB69" s="8"/>
      <c r="KFC69" s="8"/>
      <c r="KFD69" s="8"/>
      <c r="KFE69" s="8"/>
      <c r="KFF69" s="8"/>
      <c r="KFG69" s="8"/>
      <c r="KFH69" s="8"/>
      <c r="KFI69" s="8"/>
      <c r="KFJ69" s="8"/>
      <c r="KFK69" s="8"/>
      <c r="KFL69" s="8"/>
      <c r="KFM69" s="8"/>
      <c r="KFN69" s="8"/>
      <c r="KFO69" s="8"/>
      <c r="KFP69" s="8"/>
      <c r="KFQ69" s="8"/>
      <c r="KFR69" s="8"/>
      <c r="KFS69" s="8"/>
      <c r="KFT69" s="8"/>
      <c r="KFU69" s="8"/>
      <c r="KFV69" s="8"/>
      <c r="KFW69" s="8"/>
      <c r="KFX69" s="8"/>
      <c r="KFY69" s="8"/>
      <c r="KFZ69" s="8"/>
      <c r="KGA69" s="8"/>
      <c r="KGB69" s="8"/>
      <c r="KGC69" s="8"/>
      <c r="KGD69" s="8"/>
      <c r="KGE69" s="8"/>
      <c r="KGF69" s="8"/>
      <c r="KGG69" s="8"/>
      <c r="KGH69" s="8"/>
      <c r="KGI69" s="8"/>
      <c r="KGJ69" s="8"/>
      <c r="KGK69" s="8"/>
      <c r="KGL69" s="8"/>
      <c r="KGM69" s="8"/>
      <c r="KGN69" s="8"/>
      <c r="KGO69" s="8"/>
      <c r="KGP69" s="8"/>
      <c r="KGQ69" s="8"/>
      <c r="KGR69" s="8"/>
      <c r="KGS69" s="8"/>
      <c r="KGT69" s="8"/>
      <c r="KGU69" s="8"/>
      <c r="KGV69" s="8"/>
      <c r="KGW69" s="8"/>
      <c r="KGX69" s="8"/>
      <c r="KGY69" s="8"/>
      <c r="KGZ69" s="8"/>
      <c r="KHA69" s="8"/>
      <c r="KHB69" s="8"/>
      <c r="KHC69" s="8"/>
      <c r="KHD69" s="8"/>
      <c r="KHE69" s="8"/>
      <c r="KHF69" s="8"/>
      <c r="KHG69" s="8"/>
      <c r="KHH69" s="8"/>
      <c r="KHI69" s="8"/>
      <c r="KHJ69" s="8"/>
      <c r="KHK69" s="8"/>
      <c r="KHL69" s="8"/>
      <c r="KHM69" s="8"/>
      <c r="KHN69" s="8"/>
      <c r="KHO69" s="8"/>
      <c r="KHP69" s="8"/>
      <c r="KHQ69" s="8"/>
      <c r="KHR69" s="8"/>
      <c r="KHS69" s="8"/>
      <c r="KHT69" s="8"/>
      <c r="KHU69" s="8"/>
      <c r="KHV69" s="8"/>
      <c r="KHW69" s="8"/>
      <c r="KHX69" s="8"/>
      <c r="KHY69" s="8"/>
      <c r="KHZ69" s="8"/>
      <c r="KIA69" s="8"/>
      <c r="KIB69" s="8"/>
      <c r="KIC69" s="8"/>
      <c r="KID69" s="8"/>
      <c r="KIE69" s="8"/>
      <c r="KIF69" s="8"/>
      <c r="KIG69" s="8"/>
      <c r="KIH69" s="8"/>
      <c r="KII69" s="8"/>
      <c r="KIJ69" s="8"/>
      <c r="KIK69" s="8"/>
      <c r="KIL69" s="8"/>
      <c r="KIM69" s="8"/>
      <c r="KIN69" s="8"/>
      <c r="KIO69" s="8"/>
      <c r="KIP69" s="8"/>
      <c r="KIQ69" s="8"/>
      <c r="KIR69" s="8"/>
      <c r="KIS69" s="8"/>
      <c r="KIT69" s="8"/>
      <c r="KIU69" s="8"/>
      <c r="KIV69" s="8"/>
      <c r="KIW69" s="8"/>
      <c r="KIX69" s="8"/>
      <c r="KIY69" s="8"/>
      <c r="KIZ69" s="8"/>
      <c r="KJA69" s="8"/>
      <c r="KJB69" s="8"/>
      <c r="KJC69" s="8"/>
      <c r="KJD69" s="8"/>
      <c r="KJE69" s="8"/>
      <c r="KJF69" s="8"/>
      <c r="KJG69" s="8"/>
      <c r="KJH69" s="8"/>
      <c r="KJI69" s="8"/>
      <c r="KJJ69" s="8"/>
      <c r="KJK69" s="8"/>
      <c r="KJL69" s="8"/>
      <c r="KJM69" s="8"/>
      <c r="KJN69" s="8"/>
      <c r="KJO69" s="8"/>
      <c r="KJP69" s="8"/>
      <c r="KJQ69" s="8"/>
      <c r="KJR69" s="8"/>
      <c r="KJS69" s="8"/>
      <c r="KJT69" s="8"/>
      <c r="KJU69" s="8"/>
      <c r="KJV69" s="8"/>
      <c r="KJW69" s="8"/>
      <c r="KJX69" s="8"/>
      <c r="KJY69" s="8"/>
      <c r="KJZ69" s="8"/>
      <c r="KKA69" s="8"/>
      <c r="KKB69" s="8"/>
      <c r="KKC69" s="8"/>
      <c r="KKD69" s="8"/>
      <c r="KKE69" s="8"/>
      <c r="KKF69" s="8"/>
      <c r="KKG69" s="8"/>
      <c r="KKH69" s="8"/>
      <c r="KKI69" s="8"/>
      <c r="KKJ69" s="8"/>
      <c r="KKK69" s="8"/>
      <c r="KKL69" s="8"/>
      <c r="KKM69" s="8"/>
      <c r="KKN69" s="8"/>
      <c r="KKO69" s="8"/>
      <c r="KKP69" s="8"/>
      <c r="KKQ69" s="8"/>
      <c r="KKR69" s="8"/>
      <c r="KKS69" s="8"/>
      <c r="KKT69" s="8"/>
      <c r="KKU69" s="8"/>
      <c r="KKV69" s="8"/>
      <c r="KKW69" s="8"/>
      <c r="KKX69" s="8"/>
      <c r="KKY69" s="8"/>
      <c r="KKZ69" s="8"/>
      <c r="KLA69" s="8"/>
      <c r="KLB69" s="8"/>
      <c r="KLC69" s="8"/>
      <c r="KLD69" s="8"/>
      <c r="KLE69" s="8"/>
      <c r="KLF69" s="8"/>
      <c r="KLG69" s="8"/>
      <c r="KLH69" s="8"/>
      <c r="KLI69" s="8"/>
      <c r="KLJ69" s="8"/>
      <c r="KLK69" s="8"/>
      <c r="KLL69" s="8"/>
      <c r="KLM69" s="8"/>
      <c r="KLN69" s="8"/>
      <c r="KLO69" s="8"/>
      <c r="KLP69" s="8"/>
      <c r="KLQ69" s="8"/>
      <c r="KLR69" s="8"/>
      <c r="KLS69" s="8"/>
      <c r="KLT69" s="8"/>
      <c r="KLU69" s="8"/>
      <c r="KLV69" s="8"/>
      <c r="KLW69" s="8"/>
      <c r="KLX69" s="8"/>
      <c r="KLY69" s="8"/>
      <c r="KLZ69" s="8"/>
      <c r="KMA69" s="8"/>
      <c r="KMB69" s="8"/>
      <c r="KMC69" s="8"/>
      <c r="KMD69" s="8"/>
      <c r="KME69" s="8"/>
      <c r="KMF69" s="8"/>
      <c r="KMG69" s="8"/>
      <c r="KMH69" s="8"/>
      <c r="KMI69" s="8"/>
      <c r="KMJ69" s="8"/>
      <c r="KMK69" s="8"/>
      <c r="KML69" s="8"/>
      <c r="KMM69" s="8"/>
      <c r="KMN69" s="8"/>
      <c r="KMO69" s="8"/>
      <c r="KMP69" s="8"/>
      <c r="KMQ69" s="8"/>
      <c r="KMR69" s="8"/>
      <c r="KMS69" s="8"/>
      <c r="KMT69" s="8"/>
      <c r="KMU69" s="8"/>
      <c r="KMV69" s="8"/>
      <c r="KMW69" s="8"/>
      <c r="KMX69" s="8"/>
      <c r="KMY69" s="8"/>
      <c r="KMZ69" s="8"/>
      <c r="KNA69" s="8"/>
      <c r="KNB69" s="8"/>
      <c r="KNC69" s="8"/>
      <c r="KND69" s="8"/>
      <c r="KNE69" s="8"/>
      <c r="KNF69" s="8"/>
      <c r="KNG69" s="8"/>
      <c r="KNH69" s="8"/>
      <c r="KNI69" s="8"/>
      <c r="KNJ69" s="8"/>
      <c r="KNK69" s="8"/>
      <c r="KNL69" s="8"/>
      <c r="KNM69" s="8"/>
      <c r="KNN69" s="8"/>
      <c r="KNO69" s="8"/>
      <c r="KNP69" s="8"/>
      <c r="KNQ69" s="8"/>
      <c r="KNR69" s="8"/>
      <c r="KNS69" s="8"/>
      <c r="KNT69" s="8"/>
      <c r="KNU69" s="8"/>
      <c r="KNV69" s="8"/>
      <c r="KNW69" s="8"/>
      <c r="KNX69" s="8"/>
      <c r="KNY69" s="8"/>
      <c r="KNZ69" s="8"/>
      <c r="KOA69" s="8"/>
      <c r="KOB69" s="8"/>
      <c r="KOC69" s="8"/>
      <c r="KOD69" s="8"/>
      <c r="KOE69" s="8"/>
      <c r="KOF69" s="8"/>
      <c r="KOG69" s="8"/>
      <c r="KOH69" s="8"/>
      <c r="KOI69" s="8"/>
      <c r="KOJ69" s="8"/>
      <c r="KOK69" s="8"/>
      <c r="KOL69" s="8"/>
      <c r="KOM69" s="8"/>
      <c r="KON69" s="8"/>
      <c r="KOO69" s="8"/>
      <c r="KOP69" s="8"/>
      <c r="KOQ69" s="8"/>
      <c r="KOR69" s="8"/>
      <c r="KOS69" s="8"/>
      <c r="KOT69" s="8"/>
      <c r="KOU69" s="8"/>
      <c r="KOV69" s="8"/>
      <c r="KOW69" s="8"/>
      <c r="KOX69" s="8"/>
      <c r="KOY69" s="8"/>
      <c r="KOZ69" s="8"/>
      <c r="KPA69" s="8"/>
      <c r="KPB69" s="8"/>
      <c r="KPC69" s="8"/>
      <c r="KPD69" s="8"/>
      <c r="KPE69" s="8"/>
      <c r="KPF69" s="8"/>
      <c r="KPG69" s="8"/>
      <c r="KPH69" s="8"/>
      <c r="KPI69" s="8"/>
      <c r="KPJ69" s="8"/>
      <c r="KPK69" s="8"/>
      <c r="KPL69" s="8"/>
      <c r="KPM69" s="8"/>
      <c r="KPN69" s="8"/>
      <c r="KPO69" s="8"/>
      <c r="KPP69" s="8"/>
      <c r="KPQ69" s="8"/>
      <c r="KPR69" s="8"/>
      <c r="KPS69" s="8"/>
      <c r="KPT69" s="8"/>
      <c r="KPU69" s="8"/>
      <c r="KPV69" s="8"/>
      <c r="KPW69" s="8"/>
      <c r="KPX69" s="8"/>
      <c r="KPY69" s="8"/>
      <c r="KPZ69" s="8"/>
      <c r="KQA69" s="8"/>
      <c r="KQB69" s="8"/>
      <c r="KQC69" s="8"/>
      <c r="KQD69" s="8"/>
      <c r="KQE69" s="8"/>
      <c r="KQF69" s="8"/>
      <c r="KQG69" s="8"/>
      <c r="KQH69" s="8"/>
      <c r="KQI69" s="8"/>
      <c r="KQJ69" s="8"/>
      <c r="KQK69" s="8"/>
      <c r="KQL69" s="8"/>
      <c r="KQM69" s="8"/>
      <c r="KQN69" s="8"/>
      <c r="KQO69" s="8"/>
      <c r="KQP69" s="8"/>
      <c r="KQQ69" s="8"/>
      <c r="KQR69" s="8"/>
      <c r="KQS69" s="8"/>
      <c r="KQT69" s="8"/>
      <c r="KQU69" s="8"/>
      <c r="KQV69" s="8"/>
      <c r="KQW69" s="8"/>
      <c r="KQX69" s="8"/>
      <c r="KQY69" s="8"/>
      <c r="KQZ69" s="8"/>
      <c r="KRA69" s="8"/>
      <c r="KRB69" s="8"/>
      <c r="KRC69" s="8"/>
      <c r="KRD69" s="8"/>
      <c r="KRE69" s="8"/>
      <c r="KRF69" s="8"/>
      <c r="KRG69" s="8"/>
      <c r="KRH69" s="8"/>
      <c r="KRI69" s="8"/>
      <c r="KRJ69" s="8"/>
      <c r="KRK69" s="8"/>
      <c r="KRL69" s="8"/>
      <c r="KRM69" s="8"/>
      <c r="KRN69" s="8"/>
      <c r="KRO69" s="8"/>
      <c r="KRP69" s="8"/>
      <c r="KRQ69" s="8"/>
      <c r="KRR69" s="8"/>
      <c r="KRS69" s="8"/>
      <c r="KRT69" s="8"/>
      <c r="KRU69" s="8"/>
      <c r="KRV69" s="8"/>
      <c r="KRW69" s="8"/>
      <c r="KRX69" s="8"/>
      <c r="KRY69" s="8"/>
      <c r="KRZ69" s="8"/>
      <c r="KSA69" s="8"/>
      <c r="KSB69" s="8"/>
      <c r="KSC69" s="8"/>
      <c r="KSD69" s="8"/>
      <c r="KSE69" s="8"/>
      <c r="KSF69" s="8"/>
      <c r="KSG69" s="8"/>
      <c r="KSH69" s="8"/>
      <c r="KSI69" s="8"/>
      <c r="KSJ69" s="8"/>
      <c r="KSK69" s="8"/>
      <c r="KSL69" s="8"/>
      <c r="KSM69" s="8"/>
      <c r="KSN69" s="8"/>
      <c r="KSO69" s="8"/>
      <c r="KSP69" s="8"/>
      <c r="KSQ69" s="8"/>
      <c r="KSR69" s="8"/>
      <c r="KSS69" s="8"/>
      <c r="KST69" s="8"/>
      <c r="KSU69" s="8"/>
      <c r="KSV69" s="8"/>
      <c r="KSW69" s="8"/>
      <c r="KSX69" s="8"/>
      <c r="KSY69" s="8"/>
      <c r="KSZ69" s="8"/>
      <c r="KTA69" s="8"/>
      <c r="KTB69" s="8"/>
      <c r="KTC69" s="8"/>
      <c r="KTD69" s="8"/>
      <c r="KTE69" s="8"/>
      <c r="KTF69" s="8"/>
      <c r="KTG69" s="8"/>
      <c r="KTH69" s="8"/>
      <c r="KTI69" s="8"/>
      <c r="KTJ69" s="8"/>
      <c r="KTK69" s="8"/>
      <c r="KTL69" s="8"/>
      <c r="KTM69" s="8"/>
      <c r="KTN69" s="8"/>
      <c r="KTO69" s="8"/>
      <c r="KTP69" s="8"/>
      <c r="KTQ69" s="8"/>
      <c r="KTR69" s="8"/>
      <c r="KTS69" s="8"/>
      <c r="KTT69" s="8"/>
      <c r="KTU69" s="8"/>
      <c r="KTV69" s="8"/>
      <c r="KTW69" s="8"/>
      <c r="KTX69" s="8"/>
      <c r="KTY69" s="8"/>
      <c r="KTZ69" s="8"/>
      <c r="KUA69" s="8"/>
      <c r="KUB69" s="8"/>
      <c r="KUC69" s="8"/>
      <c r="KUD69" s="8"/>
      <c r="KUE69" s="8"/>
      <c r="KUF69" s="8"/>
      <c r="KUG69" s="8"/>
      <c r="KUH69" s="8"/>
      <c r="KUI69" s="8"/>
      <c r="KUJ69" s="8"/>
      <c r="KUK69" s="8"/>
      <c r="KUL69" s="8"/>
      <c r="KUM69" s="8"/>
      <c r="KUN69" s="8"/>
      <c r="KUO69" s="8"/>
      <c r="KUP69" s="8"/>
      <c r="KUQ69" s="8"/>
      <c r="KUR69" s="8"/>
      <c r="KUS69" s="8"/>
      <c r="KUT69" s="8"/>
      <c r="KUU69" s="8"/>
      <c r="KUV69" s="8"/>
      <c r="KUW69" s="8"/>
      <c r="KUX69" s="8"/>
      <c r="KUY69" s="8"/>
      <c r="KUZ69" s="8"/>
      <c r="KVA69" s="8"/>
      <c r="KVB69" s="8"/>
      <c r="KVC69" s="8"/>
      <c r="KVD69" s="8"/>
      <c r="KVE69" s="8"/>
      <c r="KVF69" s="8"/>
      <c r="KVG69" s="8"/>
      <c r="KVH69" s="8"/>
      <c r="KVI69" s="8"/>
      <c r="KVJ69" s="8"/>
      <c r="KVK69" s="8"/>
      <c r="KVL69" s="8"/>
      <c r="KVM69" s="8"/>
      <c r="KVN69" s="8"/>
      <c r="KVO69" s="8"/>
      <c r="KVP69" s="8"/>
      <c r="KVQ69" s="8"/>
      <c r="KVR69" s="8"/>
      <c r="KVS69" s="8"/>
      <c r="KVT69" s="8"/>
      <c r="KVU69" s="8"/>
      <c r="KVV69" s="8"/>
      <c r="KVW69" s="8"/>
      <c r="KVX69" s="8"/>
      <c r="KVY69" s="8"/>
      <c r="KVZ69" s="8"/>
      <c r="KWA69" s="8"/>
      <c r="KWB69" s="8"/>
      <c r="KWC69" s="8"/>
      <c r="KWD69" s="8"/>
      <c r="KWE69" s="8"/>
      <c r="KWF69" s="8"/>
      <c r="KWG69" s="8"/>
      <c r="KWH69" s="8"/>
      <c r="KWI69" s="8"/>
      <c r="KWJ69" s="8"/>
      <c r="KWK69" s="8"/>
      <c r="KWL69" s="8"/>
      <c r="KWM69" s="8"/>
      <c r="KWN69" s="8"/>
      <c r="KWO69" s="8"/>
      <c r="KWP69" s="8"/>
      <c r="KWQ69" s="8"/>
      <c r="KWR69" s="8"/>
      <c r="KWS69" s="8"/>
      <c r="KWT69" s="8"/>
      <c r="KWU69" s="8"/>
      <c r="KWV69" s="8"/>
      <c r="KWW69" s="8"/>
      <c r="KWX69" s="8"/>
      <c r="KWY69" s="8"/>
      <c r="KWZ69" s="8"/>
      <c r="KXA69" s="8"/>
      <c r="KXB69" s="8"/>
      <c r="KXC69" s="8"/>
      <c r="KXD69" s="8"/>
      <c r="KXE69" s="8"/>
      <c r="KXF69" s="8"/>
      <c r="KXG69" s="8"/>
      <c r="KXH69" s="8"/>
      <c r="KXI69" s="8"/>
      <c r="KXJ69" s="8"/>
      <c r="KXK69" s="8"/>
      <c r="KXL69" s="8"/>
      <c r="KXM69" s="8"/>
      <c r="KXN69" s="8"/>
      <c r="KXO69" s="8"/>
      <c r="KXP69" s="8"/>
      <c r="KXQ69" s="8"/>
      <c r="KXR69" s="8"/>
      <c r="KXS69" s="8"/>
      <c r="KXT69" s="8"/>
      <c r="KXU69" s="8"/>
      <c r="KXV69" s="8"/>
      <c r="KXW69" s="8"/>
      <c r="KXX69" s="8"/>
      <c r="KXY69" s="8"/>
      <c r="KXZ69" s="8"/>
      <c r="KYA69" s="8"/>
      <c r="KYB69" s="8"/>
      <c r="KYC69" s="8"/>
      <c r="KYD69" s="8"/>
      <c r="KYE69" s="8"/>
      <c r="KYF69" s="8"/>
      <c r="KYG69" s="8"/>
      <c r="KYH69" s="8"/>
      <c r="KYI69" s="8"/>
      <c r="KYJ69" s="8"/>
      <c r="KYK69" s="8"/>
      <c r="KYL69" s="8"/>
      <c r="KYM69" s="8"/>
      <c r="KYN69" s="8"/>
      <c r="KYO69" s="8"/>
      <c r="KYP69" s="8"/>
      <c r="KYQ69" s="8"/>
      <c r="KYR69" s="8"/>
      <c r="KYS69" s="8"/>
      <c r="KYT69" s="8"/>
      <c r="KYU69" s="8"/>
      <c r="KYV69" s="8"/>
      <c r="KYW69" s="8"/>
      <c r="KYX69" s="8"/>
      <c r="KYY69" s="8"/>
      <c r="KYZ69" s="8"/>
      <c r="KZA69" s="8"/>
      <c r="KZB69" s="8"/>
      <c r="KZC69" s="8"/>
      <c r="KZD69" s="8"/>
      <c r="KZE69" s="8"/>
      <c r="KZF69" s="8"/>
      <c r="KZG69" s="8"/>
      <c r="KZH69" s="8"/>
      <c r="KZI69" s="8"/>
      <c r="KZJ69" s="8"/>
      <c r="KZK69" s="8"/>
      <c r="KZL69" s="8"/>
      <c r="KZM69" s="8"/>
      <c r="KZN69" s="8"/>
      <c r="KZO69" s="8"/>
      <c r="KZP69" s="8"/>
      <c r="KZQ69" s="8"/>
      <c r="KZR69" s="8"/>
      <c r="KZS69" s="8"/>
      <c r="KZT69" s="8"/>
      <c r="KZU69" s="8"/>
      <c r="KZV69" s="8"/>
      <c r="KZW69" s="8"/>
      <c r="KZX69" s="8"/>
      <c r="KZY69" s="8"/>
      <c r="KZZ69" s="8"/>
      <c r="LAA69" s="8"/>
      <c r="LAB69" s="8"/>
      <c r="LAC69" s="8"/>
      <c r="LAD69" s="8"/>
      <c r="LAE69" s="8"/>
      <c r="LAF69" s="8"/>
      <c r="LAG69" s="8"/>
      <c r="LAH69" s="8"/>
      <c r="LAI69" s="8"/>
      <c r="LAJ69" s="8"/>
      <c r="LAK69" s="8"/>
      <c r="LAL69" s="8"/>
      <c r="LAM69" s="8"/>
      <c r="LAN69" s="8"/>
      <c r="LAO69" s="8"/>
      <c r="LAP69" s="8"/>
      <c r="LAQ69" s="8"/>
      <c r="LAR69" s="8"/>
      <c r="LAS69" s="8"/>
      <c r="LAT69" s="8"/>
      <c r="LAU69" s="8"/>
      <c r="LAV69" s="8"/>
      <c r="LAW69" s="8"/>
      <c r="LAX69" s="8"/>
      <c r="LAY69" s="8"/>
      <c r="LAZ69" s="8"/>
      <c r="LBA69" s="8"/>
      <c r="LBB69" s="8"/>
      <c r="LBC69" s="8"/>
      <c r="LBD69" s="8"/>
      <c r="LBE69" s="8"/>
      <c r="LBF69" s="8"/>
      <c r="LBG69" s="8"/>
      <c r="LBH69" s="8"/>
      <c r="LBI69" s="8"/>
      <c r="LBJ69" s="8"/>
      <c r="LBK69" s="8"/>
      <c r="LBL69" s="8"/>
      <c r="LBM69" s="8"/>
      <c r="LBN69" s="8"/>
      <c r="LBO69" s="8"/>
      <c r="LBP69" s="8"/>
      <c r="LBQ69" s="8"/>
      <c r="LBR69" s="8"/>
      <c r="LBS69" s="8"/>
      <c r="LBT69" s="8"/>
      <c r="LBU69" s="8"/>
      <c r="LBV69" s="8"/>
      <c r="LBW69" s="8"/>
      <c r="LBX69" s="8"/>
      <c r="LBY69" s="8"/>
      <c r="LBZ69" s="8"/>
      <c r="LCA69" s="8"/>
      <c r="LCB69" s="8"/>
      <c r="LCC69" s="8"/>
      <c r="LCD69" s="8"/>
      <c r="LCE69" s="8"/>
      <c r="LCF69" s="8"/>
      <c r="LCG69" s="8"/>
      <c r="LCH69" s="8"/>
      <c r="LCI69" s="8"/>
      <c r="LCJ69" s="8"/>
      <c r="LCK69" s="8"/>
      <c r="LCL69" s="8"/>
      <c r="LCM69" s="8"/>
      <c r="LCN69" s="8"/>
      <c r="LCO69" s="8"/>
      <c r="LCP69" s="8"/>
      <c r="LCQ69" s="8"/>
      <c r="LCR69" s="8"/>
      <c r="LCS69" s="8"/>
      <c r="LCT69" s="8"/>
      <c r="LCU69" s="8"/>
      <c r="LCV69" s="8"/>
      <c r="LCW69" s="8"/>
      <c r="LCX69" s="8"/>
      <c r="LCY69" s="8"/>
      <c r="LCZ69" s="8"/>
      <c r="LDA69" s="8"/>
      <c r="LDB69" s="8"/>
      <c r="LDC69" s="8"/>
      <c r="LDD69" s="8"/>
      <c r="LDE69" s="8"/>
      <c r="LDF69" s="8"/>
      <c r="LDG69" s="8"/>
      <c r="LDH69" s="8"/>
      <c r="LDI69" s="8"/>
      <c r="LDJ69" s="8"/>
      <c r="LDK69" s="8"/>
      <c r="LDL69" s="8"/>
      <c r="LDM69" s="8"/>
      <c r="LDN69" s="8"/>
      <c r="LDO69" s="8"/>
      <c r="LDP69" s="8"/>
      <c r="LDQ69" s="8"/>
      <c r="LDR69" s="8"/>
      <c r="LDS69" s="8"/>
      <c r="LDT69" s="8"/>
      <c r="LDU69" s="8"/>
      <c r="LDV69" s="8"/>
      <c r="LDW69" s="8"/>
      <c r="LDX69" s="8"/>
      <c r="LDY69" s="8"/>
      <c r="LDZ69" s="8"/>
      <c r="LEA69" s="8"/>
      <c r="LEB69" s="8"/>
      <c r="LEC69" s="8"/>
      <c r="LED69" s="8"/>
      <c r="LEE69" s="8"/>
      <c r="LEF69" s="8"/>
      <c r="LEG69" s="8"/>
      <c r="LEH69" s="8"/>
      <c r="LEI69" s="8"/>
      <c r="LEJ69" s="8"/>
      <c r="LEK69" s="8"/>
      <c r="LEL69" s="8"/>
      <c r="LEM69" s="8"/>
      <c r="LEN69" s="8"/>
      <c r="LEO69" s="8"/>
      <c r="LEP69" s="8"/>
      <c r="LEQ69" s="8"/>
      <c r="LER69" s="8"/>
      <c r="LES69" s="8"/>
      <c r="LET69" s="8"/>
      <c r="LEU69" s="8"/>
      <c r="LEV69" s="8"/>
      <c r="LEW69" s="8"/>
      <c r="LEX69" s="8"/>
      <c r="LEY69" s="8"/>
      <c r="LEZ69" s="8"/>
      <c r="LFA69" s="8"/>
      <c r="LFB69" s="8"/>
      <c r="LFC69" s="8"/>
      <c r="LFD69" s="8"/>
      <c r="LFE69" s="8"/>
      <c r="LFF69" s="8"/>
      <c r="LFG69" s="8"/>
      <c r="LFH69" s="8"/>
      <c r="LFI69" s="8"/>
      <c r="LFJ69" s="8"/>
      <c r="LFK69" s="8"/>
      <c r="LFL69" s="8"/>
      <c r="LFM69" s="8"/>
      <c r="LFN69" s="8"/>
      <c r="LFO69" s="8"/>
      <c r="LFP69" s="8"/>
      <c r="LFQ69" s="8"/>
      <c r="LFR69" s="8"/>
      <c r="LFS69" s="8"/>
      <c r="LFT69" s="8"/>
      <c r="LFU69" s="8"/>
      <c r="LFV69" s="8"/>
      <c r="LFW69" s="8"/>
      <c r="LFX69" s="8"/>
      <c r="LFY69" s="8"/>
      <c r="LFZ69" s="8"/>
      <c r="LGA69" s="8"/>
      <c r="LGB69" s="8"/>
      <c r="LGC69" s="8"/>
      <c r="LGD69" s="8"/>
      <c r="LGE69" s="8"/>
      <c r="LGF69" s="8"/>
      <c r="LGG69" s="8"/>
      <c r="LGH69" s="8"/>
      <c r="LGI69" s="8"/>
      <c r="LGJ69" s="8"/>
      <c r="LGK69" s="8"/>
      <c r="LGL69" s="8"/>
      <c r="LGM69" s="8"/>
      <c r="LGN69" s="8"/>
      <c r="LGO69" s="8"/>
      <c r="LGP69" s="8"/>
      <c r="LGQ69" s="8"/>
      <c r="LGR69" s="8"/>
      <c r="LGS69" s="8"/>
      <c r="LGT69" s="8"/>
      <c r="LGU69" s="8"/>
      <c r="LGV69" s="8"/>
      <c r="LGW69" s="8"/>
      <c r="LGX69" s="8"/>
      <c r="LGY69" s="8"/>
      <c r="LGZ69" s="8"/>
      <c r="LHA69" s="8"/>
      <c r="LHB69" s="8"/>
      <c r="LHC69" s="8"/>
      <c r="LHD69" s="8"/>
      <c r="LHE69" s="8"/>
      <c r="LHF69" s="8"/>
      <c r="LHG69" s="8"/>
      <c r="LHH69" s="8"/>
      <c r="LHI69" s="8"/>
      <c r="LHJ69" s="8"/>
      <c r="LHK69" s="8"/>
      <c r="LHL69" s="8"/>
      <c r="LHM69" s="8"/>
      <c r="LHN69" s="8"/>
      <c r="LHO69" s="8"/>
      <c r="LHP69" s="8"/>
      <c r="LHQ69" s="8"/>
      <c r="LHR69" s="8"/>
      <c r="LHS69" s="8"/>
      <c r="LHT69" s="8"/>
      <c r="LHU69" s="8"/>
      <c r="LHV69" s="8"/>
      <c r="LHW69" s="8"/>
      <c r="LHX69" s="8"/>
      <c r="LHY69" s="8"/>
      <c r="LHZ69" s="8"/>
      <c r="LIA69" s="8"/>
      <c r="LIB69" s="8"/>
      <c r="LIC69" s="8"/>
      <c r="LID69" s="8"/>
      <c r="LIE69" s="8"/>
      <c r="LIF69" s="8"/>
      <c r="LIG69" s="8"/>
      <c r="LIH69" s="8"/>
      <c r="LII69" s="8"/>
      <c r="LIJ69" s="8"/>
      <c r="LIK69" s="8"/>
      <c r="LIL69" s="8"/>
      <c r="LIM69" s="8"/>
      <c r="LIN69" s="8"/>
      <c r="LIO69" s="8"/>
      <c r="LIP69" s="8"/>
      <c r="LIQ69" s="8"/>
      <c r="LIR69" s="8"/>
      <c r="LIS69" s="8"/>
      <c r="LIT69" s="8"/>
      <c r="LIU69" s="8"/>
      <c r="LIV69" s="8"/>
      <c r="LIW69" s="8"/>
      <c r="LIX69" s="8"/>
      <c r="LIY69" s="8"/>
      <c r="LIZ69" s="8"/>
      <c r="LJA69" s="8"/>
      <c r="LJB69" s="8"/>
      <c r="LJC69" s="8"/>
      <c r="LJD69" s="8"/>
      <c r="LJE69" s="8"/>
      <c r="LJF69" s="8"/>
      <c r="LJG69" s="8"/>
      <c r="LJH69" s="8"/>
      <c r="LJI69" s="8"/>
      <c r="LJJ69" s="8"/>
      <c r="LJK69" s="8"/>
      <c r="LJL69" s="8"/>
      <c r="LJM69" s="8"/>
      <c r="LJN69" s="8"/>
      <c r="LJO69" s="8"/>
      <c r="LJP69" s="8"/>
      <c r="LJQ69" s="8"/>
      <c r="LJR69" s="8"/>
      <c r="LJS69" s="8"/>
      <c r="LJT69" s="8"/>
      <c r="LJU69" s="8"/>
      <c r="LJV69" s="8"/>
      <c r="LJW69" s="8"/>
      <c r="LJX69" s="8"/>
      <c r="LJY69" s="8"/>
      <c r="LJZ69" s="8"/>
      <c r="LKA69" s="8"/>
      <c r="LKB69" s="8"/>
      <c r="LKC69" s="8"/>
      <c r="LKD69" s="8"/>
      <c r="LKE69" s="8"/>
      <c r="LKF69" s="8"/>
      <c r="LKG69" s="8"/>
      <c r="LKH69" s="8"/>
      <c r="LKI69" s="8"/>
      <c r="LKJ69" s="8"/>
      <c r="LKK69" s="8"/>
      <c r="LKL69" s="8"/>
      <c r="LKM69" s="8"/>
      <c r="LKN69" s="8"/>
      <c r="LKO69" s="8"/>
      <c r="LKP69" s="8"/>
      <c r="LKQ69" s="8"/>
      <c r="LKR69" s="8"/>
      <c r="LKS69" s="8"/>
      <c r="LKT69" s="8"/>
      <c r="LKU69" s="8"/>
      <c r="LKV69" s="8"/>
      <c r="LKW69" s="8"/>
      <c r="LKX69" s="8"/>
      <c r="LKY69" s="8"/>
      <c r="LKZ69" s="8"/>
      <c r="LLA69" s="8"/>
      <c r="LLB69" s="8"/>
      <c r="LLC69" s="8"/>
      <c r="LLD69" s="8"/>
      <c r="LLE69" s="8"/>
      <c r="LLF69" s="8"/>
      <c r="LLG69" s="8"/>
      <c r="LLH69" s="8"/>
      <c r="LLI69" s="8"/>
      <c r="LLJ69" s="8"/>
      <c r="LLK69" s="8"/>
      <c r="LLL69" s="8"/>
      <c r="LLM69" s="8"/>
      <c r="LLN69" s="8"/>
      <c r="LLO69" s="8"/>
      <c r="LLP69" s="8"/>
      <c r="LLQ69" s="8"/>
      <c r="LLR69" s="8"/>
      <c r="LLS69" s="8"/>
      <c r="LLT69" s="8"/>
      <c r="LLU69" s="8"/>
      <c r="LLV69" s="8"/>
      <c r="LLW69" s="8"/>
      <c r="LLX69" s="8"/>
      <c r="LLY69" s="8"/>
      <c r="LLZ69" s="8"/>
      <c r="LMA69" s="8"/>
      <c r="LMB69" s="8"/>
      <c r="LMC69" s="8"/>
      <c r="LMD69" s="8"/>
      <c r="LME69" s="8"/>
      <c r="LMF69" s="8"/>
      <c r="LMG69" s="8"/>
      <c r="LMH69" s="8"/>
      <c r="LMI69" s="8"/>
      <c r="LMJ69" s="8"/>
      <c r="LMK69" s="8"/>
      <c r="LML69" s="8"/>
      <c r="LMM69" s="8"/>
      <c r="LMN69" s="8"/>
      <c r="LMO69" s="8"/>
      <c r="LMP69" s="8"/>
      <c r="LMQ69" s="8"/>
      <c r="LMR69" s="8"/>
      <c r="LMS69" s="8"/>
      <c r="LMT69" s="8"/>
      <c r="LMU69" s="8"/>
      <c r="LMV69" s="8"/>
      <c r="LMW69" s="8"/>
      <c r="LMX69" s="8"/>
      <c r="LMY69" s="8"/>
      <c r="LMZ69" s="8"/>
      <c r="LNA69" s="8"/>
      <c r="LNB69" s="8"/>
      <c r="LNC69" s="8"/>
      <c r="LND69" s="8"/>
      <c r="LNE69" s="8"/>
      <c r="LNF69" s="8"/>
      <c r="LNG69" s="8"/>
      <c r="LNH69" s="8"/>
      <c r="LNI69" s="8"/>
      <c r="LNJ69" s="8"/>
      <c r="LNK69" s="8"/>
      <c r="LNL69" s="8"/>
      <c r="LNM69" s="8"/>
      <c r="LNN69" s="8"/>
      <c r="LNO69" s="8"/>
      <c r="LNP69" s="8"/>
      <c r="LNQ69" s="8"/>
      <c r="LNR69" s="8"/>
      <c r="LNS69" s="8"/>
      <c r="LNT69" s="8"/>
      <c r="LNU69" s="8"/>
      <c r="LNV69" s="8"/>
      <c r="LNW69" s="8"/>
      <c r="LNX69" s="8"/>
      <c r="LNY69" s="8"/>
      <c r="LNZ69" s="8"/>
      <c r="LOA69" s="8"/>
      <c r="LOB69" s="8"/>
      <c r="LOC69" s="8"/>
      <c r="LOD69" s="8"/>
      <c r="LOE69" s="8"/>
      <c r="LOF69" s="8"/>
      <c r="LOG69" s="8"/>
      <c r="LOH69" s="8"/>
      <c r="LOI69" s="8"/>
      <c r="LOJ69" s="8"/>
      <c r="LOK69" s="8"/>
      <c r="LOL69" s="8"/>
      <c r="LOM69" s="8"/>
      <c r="LON69" s="8"/>
      <c r="LOO69" s="8"/>
      <c r="LOP69" s="8"/>
      <c r="LOQ69" s="8"/>
      <c r="LOR69" s="8"/>
      <c r="LOS69" s="8"/>
      <c r="LOT69" s="8"/>
      <c r="LOU69" s="8"/>
      <c r="LOV69" s="8"/>
      <c r="LOW69" s="8"/>
      <c r="LOX69" s="8"/>
      <c r="LOY69" s="8"/>
      <c r="LOZ69" s="8"/>
      <c r="LPA69" s="8"/>
      <c r="LPB69" s="8"/>
      <c r="LPC69" s="8"/>
      <c r="LPD69" s="8"/>
      <c r="LPE69" s="8"/>
      <c r="LPF69" s="8"/>
      <c r="LPG69" s="8"/>
      <c r="LPH69" s="8"/>
      <c r="LPI69" s="8"/>
      <c r="LPJ69" s="8"/>
      <c r="LPK69" s="8"/>
      <c r="LPL69" s="8"/>
      <c r="LPM69" s="8"/>
      <c r="LPN69" s="8"/>
      <c r="LPO69" s="8"/>
      <c r="LPP69" s="8"/>
      <c r="LPQ69" s="8"/>
      <c r="LPR69" s="8"/>
      <c r="LPS69" s="8"/>
      <c r="LPT69" s="8"/>
      <c r="LPU69" s="8"/>
      <c r="LPV69" s="8"/>
      <c r="LPW69" s="8"/>
      <c r="LPX69" s="8"/>
      <c r="LPY69" s="8"/>
      <c r="LPZ69" s="8"/>
      <c r="LQA69" s="8"/>
      <c r="LQB69" s="8"/>
      <c r="LQC69" s="8"/>
      <c r="LQD69" s="8"/>
      <c r="LQE69" s="8"/>
      <c r="LQF69" s="8"/>
      <c r="LQG69" s="8"/>
      <c r="LQH69" s="8"/>
      <c r="LQI69" s="8"/>
      <c r="LQJ69" s="8"/>
      <c r="LQK69" s="8"/>
      <c r="LQL69" s="8"/>
      <c r="LQM69" s="8"/>
      <c r="LQN69" s="8"/>
      <c r="LQO69" s="8"/>
      <c r="LQP69" s="8"/>
      <c r="LQQ69" s="8"/>
      <c r="LQR69" s="8"/>
      <c r="LQS69" s="8"/>
      <c r="LQT69" s="8"/>
      <c r="LQU69" s="8"/>
      <c r="LQV69" s="8"/>
      <c r="LQW69" s="8"/>
      <c r="LQX69" s="8"/>
      <c r="LQY69" s="8"/>
      <c r="LQZ69" s="8"/>
      <c r="LRA69" s="8"/>
      <c r="LRB69" s="8"/>
      <c r="LRC69" s="8"/>
      <c r="LRD69" s="8"/>
      <c r="LRE69" s="8"/>
      <c r="LRF69" s="8"/>
      <c r="LRG69" s="8"/>
      <c r="LRH69" s="8"/>
      <c r="LRI69" s="8"/>
      <c r="LRJ69" s="8"/>
      <c r="LRK69" s="8"/>
      <c r="LRL69" s="8"/>
      <c r="LRM69" s="8"/>
      <c r="LRN69" s="8"/>
      <c r="LRO69" s="8"/>
      <c r="LRP69" s="8"/>
      <c r="LRQ69" s="8"/>
      <c r="LRR69" s="8"/>
      <c r="LRS69" s="8"/>
      <c r="LRT69" s="8"/>
      <c r="LRU69" s="8"/>
      <c r="LRV69" s="8"/>
      <c r="LRW69" s="8"/>
      <c r="LRX69" s="8"/>
      <c r="LRY69" s="8"/>
      <c r="LRZ69" s="8"/>
      <c r="LSA69" s="8"/>
      <c r="LSB69" s="8"/>
      <c r="LSC69" s="8"/>
      <c r="LSD69" s="8"/>
      <c r="LSE69" s="8"/>
      <c r="LSF69" s="8"/>
      <c r="LSG69" s="8"/>
      <c r="LSH69" s="8"/>
      <c r="LSI69" s="8"/>
      <c r="LSJ69" s="8"/>
      <c r="LSK69" s="8"/>
      <c r="LSL69" s="8"/>
      <c r="LSM69" s="8"/>
      <c r="LSN69" s="8"/>
      <c r="LSO69" s="8"/>
      <c r="LSP69" s="8"/>
      <c r="LSQ69" s="8"/>
      <c r="LSR69" s="8"/>
      <c r="LSS69" s="8"/>
      <c r="LST69" s="8"/>
      <c r="LSU69" s="8"/>
      <c r="LSV69" s="8"/>
      <c r="LSW69" s="8"/>
      <c r="LSX69" s="8"/>
      <c r="LSY69" s="8"/>
      <c r="LSZ69" s="8"/>
      <c r="LTA69" s="8"/>
      <c r="LTB69" s="8"/>
      <c r="LTC69" s="8"/>
      <c r="LTD69" s="8"/>
      <c r="LTE69" s="8"/>
      <c r="LTF69" s="8"/>
      <c r="LTG69" s="8"/>
      <c r="LTH69" s="8"/>
      <c r="LTI69" s="8"/>
      <c r="LTJ69" s="8"/>
      <c r="LTK69" s="8"/>
      <c r="LTL69" s="8"/>
      <c r="LTM69" s="8"/>
      <c r="LTN69" s="8"/>
      <c r="LTO69" s="8"/>
      <c r="LTP69" s="8"/>
      <c r="LTQ69" s="8"/>
      <c r="LTR69" s="8"/>
      <c r="LTS69" s="8"/>
      <c r="LTT69" s="8"/>
      <c r="LTU69" s="8"/>
      <c r="LTV69" s="8"/>
      <c r="LTW69" s="8"/>
      <c r="LTX69" s="8"/>
      <c r="LTY69" s="8"/>
      <c r="LTZ69" s="8"/>
      <c r="LUA69" s="8"/>
      <c r="LUB69" s="8"/>
      <c r="LUC69" s="8"/>
      <c r="LUD69" s="8"/>
      <c r="LUE69" s="8"/>
      <c r="LUF69" s="8"/>
      <c r="LUG69" s="8"/>
      <c r="LUH69" s="8"/>
      <c r="LUI69" s="8"/>
      <c r="LUJ69" s="8"/>
      <c r="LUK69" s="8"/>
      <c r="LUL69" s="8"/>
      <c r="LUM69" s="8"/>
      <c r="LUN69" s="8"/>
      <c r="LUO69" s="8"/>
      <c r="LUP69" s="8"/>
      <c r="LUQ69" s="8"/>
      <c r="LUR69" s="8"/>
      <c r="LUS69" s="8"/>
      <c r="LUT69" s="8"/>
      <c r="LUU69" s="8"/>
      <c r="LUV69" s="8"/>
      <c r="LUW69" s="8"/>
      <c r="LUX69" s="8"/>
      <c r="LUY69" s="8"/>
      <c r="LUZ69" s="8"/>
      <c r="LVA69" s="8"/>
      <c r="LVB69" s="8"/>
      <c r="LVC69" s="8"/>
      <c r="LVD69" s="8"/>
      <c r="LVE69" s="8"/>
      <c r="LVF69" s="8"/>
      <c r="LVG69" s="8"/>
      <c r="LVH69" s="8"/>
      <c r="LVI69" s="8"/>
      <c r="LVJ69" s="8"/>
      <c r="LVK69" s="8"/>
      <c r="LVL69" s="8"/>
      <c r="LVM69" s="8"/>
      <c r="LVN69" s="8"/>
      <c r="LVO69" s="8"/>
      <c r="LVP69" s="8"/>
      <c r="LVQ69" s="8"/>
      <c r="LVR69" s="8"/>
      <c r="LVS69" s="8"/>
      <c r="LVT69" s="8"/>
      <c r="LVU69" s="8"/>
      <c r="LVV69" s="8"/>
      <c r="LVW69" s="8"/>
      <c r="LVX69" s="8"/>
      <c r="LVY69" s="8"/>
      <c r="LVZ69" s="8"/>
      <c r="LWA69" s="8"/>
      <c r="LWB69" s="8"/>
      <c r="LWC69" s="8"/>
      <c r="LWD69" s="8"/>
      <c r="LWE69" s="8"/>
      <c r="LWF69" s="8"/>
      <c r="LWG69" s="8"/>
      <c r="LWH69" s="8"/>
      <c r="LWI69" s="8"/>
      <c r="LWJ69" s="8"/>
      <c r="LWK69" s="8"/>
      <c r="LWL69" s="8"/>
      <c r="LWM69" s="8"/>
      <c r="LWN69" s="8"/>
      <c r="LWO69" s="8"/>
      <c r="LWP69" s="8"/>
      <c r="LWQ69" s="8"/>
      <c r="LWR69" s="8"/>
      <c r="LWS69" s="8"/>
      <c r="LWT69" s="8"/>
      <c r="LWU69" s="8"/>
      <c r="LWV69" s="8"/>
      <c r="LWW69" s="8"/>
      <c r="LWX69" s="8"/>
      <c r="LWY69" s="8"/>
      <c r="LWZ69" s="8"/>
      <c r="LXA69" s="8"/>
      <c r="LXB69" s="8"/>
      <c r="LXC69" s="8"/>
      <c r="LXD69" s="8"/>
      <c r="LXE69" s="8"/>
      <c r="LXF69" s="8"/>
      <c r="LXG69" s="8"/>
      <c r="LXH69" s="8"/>
      <c r="LXI69" s="8"/>
      <c r="LXJ69" s="8"/>
      <c r="LXK69" s="8"/>
      <c r="LXL69" s="8"/>
      <c r="LXM69" s="8"/>
      <c r="LXN69" s="8"/>
      <c r="LXO69" s="8"/>
      <c r="LXP69" s="8"/>
      <c r="LXQ69" s="8"/>
      <c r="LXR69" s="8"/>
      <c r="LXS69" s="8"/>
      <c r="LXT69" s="8"/>
      <c r="LXU69" s="8"/>
      <c r="LXV69" s="8"/>
      <c r="LXW69" s="8"/>
      <c r="LXX69" s="8"/>
      <c r="LXY69" s="8"/>
      <c r="LXZ69" s="8"/>
      <c r="LYA69" s="8"/>
      <c r="LYB69" s="8"/>
      <c r="LYC69" s="8"/>
      <c r="LYD69" s="8"/>
      <c r="LYE69" s="8"/>
      <c r="LYF69" s="8"/>
      <c r="LYG69" s="8"/>
      <c r="LYH69" s="8"/>
      <c r="LYI69" s="8"/>
      <c r="LYJ69" s="8"/>
      <c r="LYK69" s="8"/>
      <c r="LYL69" s="8"/>
      <c r="LYM69" s="8"/>
      <c r="LYN69" s="8"/>
      <c r="LYO69" s="8"/>
      <c r="LYP69" s="8"/>
      <c r="LYQ69" s="8"/>
      <c r="LYR69" s="8"/>
      <c r="LYS69" s="8"/>
      <c r="LYT69" s="8"/>
      <c r="LYU69" s="8"/>
      <c r="LYV69" s="8"/>
      <c r="LYW69" s="8"/>
      <c r="LYX69" s="8"/>
      <c r="LYY69" s="8"/>
      <c r="LYZ69" s="8"/>
      <c r="LZA69" s="8"/>
      <c r="LZB69" s="8"/>
      <c r="LZC69" s="8"/>
      <c r="LZD69" s="8"/>
      <c r="LZE69" s="8"/>
      <c r="LZF69" s="8"/>
      <c r="LZG69" s="8"/>
      <c r="LZH69" s="8"/>
      <c r="LZI69" s="8"/>
      <c r="LZJ69" s="8"/>
      <c r="LZK69" s="8"/>
      <c r="LZL69" s="8"/>
      <c r="LZM69" s="8"/>
      <c r="LZN69" s="8"/>
      <c r="LZO69" s="8"/>
      <c r="LZP69" s="8"/>
      <c r="LZQ69" s="8"/>
      <c r="LZR69" s="8"/>
      <c r="LZS69" s="8"/>
      <c r="LZT69" s="8"/>
      <c r="LZU69" s="8"/>
      <c r="LZV69" s="8"/>
      <c r="LZW69" s="8"/>
      <c r="LZX69" s="8"/>
      <c r="LZY69" s="8"/>
      <c r="LZZ69" s="8"/>
      <c r="MAA69" s="8"/>
      <c r="MAB69" s="8"/>
      <c r="MAC69" s="8"/>
      <c r="MAD69" s="8"/>
      <c r="MAE69" s="8"/>
      <c r="MAF69" s="8"/>
      <c r="MAG69" s="8"/>
      <c r="MAH69" s="8"/>
      <c r="MAI69" s="8"/>
      <c r="MAJ69" s="8"/>
      <c r="MAK69" s="8"/>
      <c r="MAL69" s="8"/>
      <c r="MAM69" s="8"/>
      <c r="MAN69" s="8"/>
      <c r="MAO69" s="8"/>
      <c r="MAP69" s="8"/>
      <c r="MAQ69" s="8"/>
      <c r="MAR69" s="8"/>
      <c r="MAS69" s="8"/>
      <c r="MAT69" s="8"/>
      <c r="MAU69" s="8"/>
      <c r="MAV69" s="8"/>
      <c r="MAW69" s="8"/>
      <c r="MAX69" s="8"/>
      <c r="MAY69" s="8"/>
      <c r="MAZ69" s="8"/>
      <c r="MBA69" s="8"/>
      <c r="MBB69" s="8"/>
      <c r="MBC69" s="8"/>
      <c r="MBD69" s="8"/>
      <c r="MBE69" s="8"/>
      <c r="MBF69" s="8"/>
      <c r="MBG69" s="8"/>
      <c r="MBH69" s="8"/>
      <c r="MBI69" s="8"/>
      <c r="MBJ69" s="8"/>
      <c r="MBK69" s="8"/>
      <c r="MBL69" s="8"/>
      <c r="MBM69" s="8"/>
      <c r="MBN69" s="8"/>
      <c r="MBO69" s="8"/>
      <c r="MBP69" s="8"/>
      <c r="MBQ69" s="8"/>
      <c r="MBR69" s="8"/>
      <c r="MBS69" s="8"/>
      <c r="MBT69" s="8"/>
      <c r="MBU69" s="8"/>
      <c r="MBV69" s="8"/>
      <c r="MBW69" s="8"/>
      <c r="MBX69" s="8"/>
      <c r="MBY69" s="8"/>
      <c r="MBZ69" s="8"/>
      <c r="MCA69" s="8"/>
      <c r="MCB69" s="8"/>
      <c r="MCC69" s="8"/>
      <c r="MCD69" s="8"/>
      <c r="MCE69" s="8"/>
      <c r="MCF69" s="8"/>
      <c r="MCG69" s="8"/>
      <c r="MCH69" s="8"/>
      <c r="MCI69" s="8"/>
      <c r="MCJ69" s="8"/>
      <c r="MCK69" s="8"/>
      <c r="MCL69" s="8"/>
      <c r="MCM69" s="8"/>
      <c r="MCN69" s="8"/>
      <c r="MCO69" s="8"/>
      <c r="MCP69" s="8"/>
      <c r="MCQ69" s="8"/>
      <c r="MCR69" s="8"/>
      <c r="MCS69" s="8"/>
      <c r="MCT69" s="8"/>
      <c r="MCU69" s="8"/>
      <c r="MCV69" s="8"/>
      <c r="MCW69" s="8"/>
      <c r="MCX69" s="8"/>
      <c r="MCY69" s="8"/>
      <c r="MCZ69" s="8"/>
      <c r="MDA69" s="8"/>
      <c r="MDB69" s="8"/>
      <c r="MDC69" s="8"/>
      <c r="MDD69" s="8"/>
      <c r="MDE69" s="8"/>
      <c r="MDF69" s="8"/>
      <c r="MDG69" s="8"/>
      <c r="MDH69" s="8"/>
      <c r="MDI69" s="8"/>
      <c r="MDJ69" s="8"/>
      <c r="MDK69" s="8"/>
      <c r="MDL69" s="8"/>
      <c r="MDM69" s="8"/>
      <c r="MDN69" s="8"/>
      <c r="MDO69" s="8"/>
      <c r="MDP69" s="8"/>
      <c r="MDQ69" s="8"/>
      <c r="MDR69" s="8"/>
      <c r="MDS69" s="8"/>
      <c r="MDT69" s="8"/>
      <c r="MDU69" s="8"/>
      <c r="MDV69" s="8"/>
      <c r="MDW69" s="8"/>
      <c r="MDX69" s="8"/>
      <c r="MDY69" s="8"/>
      <c r="MDZ69" s="8"/>
      <c r="MEA69" s="8"/>
      <c r="MEB69" s="8"/>
      <c r="MEC69" s="8"/>
      <c r="MED69" s="8"/>
      <c r="MEE69" s="8"/>
      <c r="MEF69" s="8"/>
      <c r="MEG69" s="8"/>
      <c r="MEH69" s="8"/>
      <c r="MEI69" s="8"/>
      <c r="MEJ69" s="8"/>
      <c r="MEK69" s="8"/>
      <c r="MEL69" s="8"/>
      <c r="MEM69" s="8"/>
      <c r="MEN69" s="8"/>
      <c r="MEO69" s="8"/>
      <c r="MEP69" s="8"/>
      <c r="MEQ69" s="8"/>
      <c r="MER69" s="8"/>
      <c r="MES69" s="8"/>
      <c r="MET69" s="8"/>
      <c r="MEU69" s="8"/>
      <c r="MEV69" s="8"/>
      <c r="MEW69" s="8"/>
      <c r="MEX69" s="8"/>
      <c r="MEY69" s="8"/>
      <c r="MEZ69" s="8"/>
      <c r="MFA69" s="8"/>
      <c r="MFB69" s="8"/>
      <c r="MFC69" s="8"/>
      <c r="MFD69" s="8"/>
      <c r="MFE69" s="8"/>
      <c r="MFF69" s="8"/>
      <c r="MFG69" s="8"/>
      <c r="MFH69" s="8"/>
      <c r="MFI69" s="8"/>
      <c r="MFJ69" s="8"/>
      <c r="MFK69" s="8"/>
      <c r="MFL69" s="8"/>
      <c r="MFM69" s="8"/>
      <c r="MFN69" s="8"/>
      <c r="MFO69" s="8"/>
      <c r="MFP69" s="8"/>
      <c r="MFQ69" s="8"/>
      <c r="MFR69" s="8"/>
      <c r="MFS69" s="8"/>
      <c r="MFT69" s="8"/>
      <c r="MFU69" s="8"/>
      <c r="MFV69" s="8"/>
      <c r="MFW69" s="8"/>
      <c r="MFX69" s="8"/>
      <c r="MFY69" s="8"/>
      <c r="MFZ69" s="8"/>
      <c r="MGA69" s="8"/>
      <c r="MGB69" s="8"/>
      <c r="MGC69" s="8"/>
      <c r="MGD69" s="8"/>
      <c r="MGE69" s="8"/>
      <c r="MGF69" s="8"/>
      <c r="MGG69" s="8"/>
      <c r="MGH69" s="8"/>
      <c r="MGI69" s="8"/>
      <c r="MGJ69" s="8"/>
      <c r="MGK69" s="8"/>
      <c r="MGL69" s="8"/>
      <c r="MGM69" s="8"/>
      <c r="MGN69" s="8"/>
      <c r="MGO69" s="8"/>
      <c r="MGP69" s="8"/>
      <c r="MGQ69" s="8"/>
      <c r="MGR69" s="8"/>
      <c r="MGS69" s="8"/>
      <c r="MGT69" s="8"/>
      <c r="MGU69" s="8"/>
      <c r="MGV69" s="8"/>
      <c r="MGW69" s="8"/>
      <c r="MGX69" s="8"/>
      <c r="MGY69" s="8"/>
      <c r="MGZ69" s="8"/>
      <c r="MHA69" s="8"/>
      <c r="MHB69" s="8"/>
      <c r="MHC69" s="8"/>
      <c r="MHD69" s="8"/>
      <c r="MHE69" s="8"/>
      <c r="MHF69" s="8"/>
      <c r="MHG69" s="8"/>
      <c r="MHH69" s="8"/>
      <c r="MHI69" s="8"/>
      <c r="MHJ69" s="8"/>
      <c r="MHK69" s="8"/>
      <c r="MHL69" s="8"/>
      <c r="MHM69" s="8"/>
      <c r="MHN69" s="8"/>
      <c r="MHO69" s="8"/>
      <c r="MHP69" s="8"/>
      <c r="MHQ69" s="8"/>
      <c r="MHR69" s="8"/>
      <c r="MHS69" s="8"/>
      <c r="MHT69" s="8"/>
      <c r="MHU69" s="8"/>
      <c r="MHV69" s="8"/>
      <c r="MHW69" s="8"/>
      <c r="MHX69" s="8"/>
      <c r="MHY69" s="8"/>
      <c r="MHZ69" s="8"/>
      <c r="MIA69" s="8"/>
      <c r="MIB69" s="8"/>
      <c r="MIC69" s="8"/>
      <c r="MID69" s="8"/>
      <c r="MIE69" s="8"/>
      <c r="MIF69" s="8"/>
      <c r="MIG69" s="8"/>
      <c r="MIH69" s="8"/>
      <c r="MII69" s="8"/>
      <c r="MIJ69" s="8"/>
      <c r="MIK69" s="8"/>
      <c r="MIL69" s="8"/>
      <c r="MIM69" s="8"/>
      <c r="MIN69" s="8"/>
      <c r="MIO69" s="8"/>
      <c r="MIP69" s="8"/>
      <c r="MIQ69" s="8"/>
      <c r="MIR69" s="8"/>
      <c r="MIS69" s="8"/>
      <c r="MIT69" s="8"/>
      <c r="MIU69" s="8"/>
      <c r="MIV69" s="8"/>
      <c r="MIW69" s="8"/>
      <c r="MIX69" s="8"/>
      <c r="MIY69" s="8"/>
      <c r="MIZ69" s="8"/>
      <c r="MJA69" s="8"/>
      <c r="MJB69" s="8"/>
      <c r="MJC69" s="8"/>
      <c r="MJD69" s="8"/>
      <c r="MJE69" s="8"/>
      <c r="MJF69" s="8"/>
      <c r="MJG69" s="8"/>
      <c r="MJH69" s="8"/>
      <c r="MJI69" s="8"/>
      <c r="MJJ69" s="8"/>
      <c r="MJK69" s="8"/>
      <c r="MJL69" s="8"/>
      <c r="MJM69" s="8"/>
      <c r="MJN69" s="8"/>
      <c r="MJO69" s="8"/>
      <c r="MJP69" s="8"/>
      <c r="MJQ69" s="8"/>
      <c r="MJR69" s="8"/>
      <c r="MJS69" s="8"/>
      <c r="MJT69" s="8"/>
      <c r="MJU69" s="8"/>
      <c r="MJV69" s="8"/>
      <c r="MJW69" s="8"/>
      <c r="MJX69" s="8"/>
      <c r="MJY69" s="8"/>
      <c r="MJZ69" s="8"/>
      <c r="MKA69" s="8"/>
      <c r="MKB69" s="8"/>
      <c r="MKC69" s="8"/>
      <c r="MKD69" s="8"/>
      <c r="MKE69" s="8"/>
      <c r="MKF69" s="8"/>
      <c r="MKG69" s="8"/>
      <c r="MKH69" s="8"/>
      <c r="MKI69" s="8"/>
      <c r="MKJ69" s="8"/>
      <c r="MKK69" s="8"/>
      <c r="MKL69" s="8"/>
      <c r="MKM69" s="8"/>
      <c r="MKN69" s="8"/>
      <c r="MKO69" s="8"/>
      <c r="MKP69" s="8"/>
      <c r="MKQ69" s="8"/>
      <c r="MKR69" s="8"/>
      <c r="MKS69" s="8"/>
      <c r="MKT69" s="8"/>
      <c r="MKU69" s="8"/>
      <c r="MKV69" s="8"/>
      <c r="MKW69" s="8"/>
      <c r="MKX69" s="8"/>
      <c r="MKY69" s="8"/>
      <c r="MKZ69" s="8"/>
      <c r="MLA69" s="8"/>
      <c r="MLB69" s="8"/>
      <c r="MLC69" s="8"/>
      <c r="MLD69" s="8"/>
      <c r="MLE69" s="8"/>
      <c r="MLF69" s="8"/>
      <c r="MLG69" s="8"/>
      <c r="MLH69" s="8"/>
      <c r="MLI69" s="8"/>
      <c r="MLJ69" s="8"/>
      <c r="MLK69" s="8"/>
      <c r="MLL69" s="8"/>
      <c r="MLM69" s="8"/>
      <c r="MLN69" s="8"/>
      <c r="MLO69" s="8"/>
      <c r="MLP69" s="8"/>
      <c r="MLQ69" s="8"/>
      <c r="MLR69" s="8"/>
      <c r="MLS69" s="8"/>
      <c r="MLT69" s="8"/>
      <c r="MLU69" s="8"/>
      <c r="MLV69" s="8"/>
      <c r="MLW69" s="8"/>
      <c r="MLX69" s="8"/>
      <c r="MLY69" s="8"/>
      <c r="MLZ69" s="8"/>
      <c r="MMA69" s="8"/>
      <c r="MMB69" s="8"/>
      <c r="MMC69" s="8"/>
      <c r="MMD69" s="8"/>
      <c r="MME69" s="8"/>
      <c r="MMF69" s="8"/>
      <c r="MMG69" s="8"/>
      <c r="MMH69" s="8"/>
      <c r="MMI69" s="8"/>
      <c r="MMJ69" s="8"/>
      <c r="MMK69" s="8"/>
      <c r="MML69" s="8"/>
      <c r="MMM69" s="8"/>
      <c r="MMN69" s="8"/>
      <c r="MMO69" s="8"/>
      <c r="MMP69" s="8"/>
      <c r="MMQ69" s="8"/>
      <c r="MMR69" s="8"/>
      <c r="MMS69" s="8"/>
      <c r="MMT69" s="8"/>
      <c r="MMU69" s="8"/>
      <c r="MMV69" s="8"/>
      <c r="MMW69" s="8"/>
      <c r="MMX69" s="8"/>
      <c r="MMY69" s="8"/>
      <c r="MMZ69" s="8"/>
      <c r="MNA69" s="8"/>
      <c r="MNB69" s="8"/>
      <c r="MNC69" s="8"/>
      <c r="MND69" s="8"/>
      <c r="MNE69" s="8"/>
      <c r="MNF69" s="8"/>
      <c r="MNG69" s="8"/>
      <c r="MNH69" s="8"/>
      <c r="MNI69" s="8"/>
      <c r="MNJ69" s="8"/>
      <c r="MNK69" s="8"/>
      <c r="MNL69" s="8"/>
      <c r="MNM69" s="8"/>
      <c r="MNN69" s="8"/>
      <c r="MNO69" s="8"/>
      <c r="MNP69" s="8"/>
      <c r="MNQ69" s="8"/>
      <c r="MNR69" s="8"/>
      <c r="MNS69" s="8"/>
      <c r="MNT69" s="8"/>
      <c r="MNU69" s="8"/>
      <c r="MNV69" s="8"/>
      <c r="MNW69" s="8"/>
      <c r="MNX69" s="8"/>
      <c r="MNY69" s="8"/>
      <c r="MNZ69" s="8"/>
      <c r="MOA69" s="8"/>
      <c r="MOB69" s="8"/>
      <c r="MOC69" s="8"/>
      <c r="MOD69" s="8"/>
      <c r="MOE69" s="8"/>
      <c r="MOF69" s="8"/>
      <c r="MOG69" s="8"/>
      <c r="MOH69" s="8"/>
      <c r="MOI69" s="8"/>
      <c r="MOJ69" s="8"/>
      <c r="MOK69" s="8"/>
      <c r="MOL69" s="8"/>
      <c r="MOM69" s="8"/>
      <c r="MON69" s="8"/>
      <c r="MOO69" s="8"/>
      <c r="MOP69" s="8"/>
      <c r="MOQ69" s="8"/>
      <c r="MOR69" s="8"/>
      <c r="MOS69" s="8"/>
      <c r="MOT69" s="8"/>
      <c r="MOU69" s="8"/>
      <c r="MOV69" s="8"/>
      <c r="MOW69" s="8"/>
      <c r="MOX69" s="8"/>
      <c r="MOY69" s="8"/>
      <c r="MOZ69" s="8"/>
      <c r="MPA69" s="8"/>
      <c r="MPB69" s="8"/>
      <c r="MPC69" s="8"/>
      <c r="MPD69" s="8"/>
      <c r="MPE69" s="8"/>
      <c r="MPF69" s="8"/>
      <c r="MPG69" s="8"/>
      <c r="MPH69" s="8"/>
      <c r="MPI69" s="8"/>
      <c r="MPJ69" s="8"/>
      <c r="MPK69" s="8"/>
      <c r="MPL69" s="8"/>
      <c r="MPM69" s="8"/>
      <c r="MPN69" s="8"/>
      <c r="MPO69" s="8"/>
      <c r="MPP69" s="8"/>
      <c r="MPQ69" s="8"/>
      <c r="MPR69" s="8"/>
      <c r="MPS69" s="8"/>
      <c r="MPT69" s="8"/>
      <c r="MPU69" s="8"/>
      <c r="MPV69" s="8"/>
      <c r="MPW69" s="8"/>
      <c r="MPX69" s="8"/>
      <c r="MPY69" s="8"/>
      <c r="MPZ69" s="8"/>
      <c r="MQA69" s="8"/>
      <c r="MQB69" s="8"/>
      <c r="MQC69" s="8"/>
      <c r="MQD69" s="8"/>
      <c r="MQE69" s="8"/>
      <c r="MQF69" s="8"/>
      <c r="MQG69" s="8"/>
      <c r="MQH69" s="8"/>
      <c r="MQI69" s="8"/>
      <c r="MQJ69" s="8"/>
      <c r="MQK69" s="8"/>
      <c r="MQL69" s="8"/>
      <c r="MQM69" s="8"/>
      <c r="MQN69" s="8"/>
      <c r="MQO69" s="8"/>
      <c r="MQP69" s="8"/>
      <c r="MQQ69" s="8"/>
      <c r="MQR69" s="8"/>
      <c r="MQS69" s="8"/>
      <c r="MQT69" s="8"/>
      <c r="MQU69" s="8"/>
      <c r="MQV69" s="8"/>
      <c r="MQW69" s="8"/>
      <c r="MQX69" s="8"/>
      <c r="MQY69" s="8"/>
      <c r="MQZ69" s="8"/>
      <c r="MRA69" s="8"/>
      <c r="MRB69" s="8"/>
      <c r="MRC69" s="8"/>
      <c r="MRD69" s="8"/>
      <c r="MRE69" s="8"/>
      <c r="MRF69" s="8"/>
      <c r="MRG69" s="8"/>
      <c r="MRH69" s="8"/>
      <c r="MRI69" s="8"/>
      <c r="MRJ69" s="8"/>
      <c r="MRK69" s="8"/>
      <c r="MRL69" s="8"/>
      <c r="MRM69" s="8"/>
      <c r="MRN69" s="8"/>
      <c r="MRO69" s="8"/>
      <c r="MRP69" s="8"/>
      <c r="MRQ69" s="8"/>
      <c r="MRR69" s="8"/>
      <c r="MRS69" s="8"/>
      <c r="MRT69" s="8"/>
      <c r="MRU69" s="8"/>
      <c r="MRV69" s="8"/>
      <c r="MRW69" s="8"/>
      <c r="MRX69" s="8"/>
      <c r="MRY69" s="8"/>
      <c r="MRZ69" s="8"/>
      <c r="MSA69" s="8"/>
      <c r="MSB69" s="8"/>
      <c r="MSC69" s="8"/>
      <c r="MSD69" s="8"/>
      <c r="MSE69" s="8"/>
      <c r="MSF69" s="8"/>
      <c r="MSG69" s="8"/>
      <c r="MSH69" s="8"/>
      <c r="MSI69" s="8"/>
      <c r="MSJ69" s="8"/>
      <c r="MSK69" s="8"/>
      <c r="MSL69" s="8"/>
      <c r="MSM69" s="8"/>
      <c r="MSN69" s="8"/>
      <c r="MSO69" s="8"/>
      <c r="MSP69" s="8"/>
      <c r="MSQ69" s="8"/>
      <c r="MSR69" s="8"/>
      <c r="MSS69" s="8"/>
      <c r="MST69" s="8"/>
      <c r="MSU69" s="8"/>
      <c r="MSV69" s="8"/>
      <c r="MSW69" s="8"/>
      <c r="MSX69" s="8"/>
      <c r="MSY69" s="8"/>
      <c r="MSZ69" s="8"/>
      <c r="MTA69" s="8"/>
      <c r="MTB69" s="8"/>
      <c r="MTC69" s="8"/>
      <c r="MTD69" s="8"/>
      <c r="MTE69" s="8"/>
      <c r="MTF69" s="8"/>
      <c r="MTG69" s="8"/>
      <c r="MTH69" s="8"/>
      <c r="MTI69" s="8"/>
      <c r="MTJ69" s="8"/>
      <c r="MTK69" s="8"/>
      <c r="MTL69" s="8"/>
      <c r="MTM69" s="8"/>
      <c r="MTN69" s="8"/>
      <c r="MTO69" s="8"/>
      <c r="MTP69" s="8"/>
      <c r="MTQ69" s="8"/>
      <c r="MTR69" s="8"/>
      <c r="MTS69" s="8"/>
      <c r="MTT69" s="8"/>
      <c r="MTU69" s="8"/>
      <c r="MTV69" s="8"/>
      <c r="MTW69" s="8"/>
      <c r="MTX69" s="8"/>
      <c r="MTY69" s="8"/>
      <c r="MTZ69" s="8"/>
      <c r="MUA69" s="8"/>
      <c r="MUB69" s="8"/>
      <c r="MUC69" s="8"/>
      <c r="MUD69" s="8"/>
      <c r="MUE69" s="8"/>
      <c r="MUF69" s="8"/>
      <c r="MUG69" s="8"/>
      <c r="MUH69" s="8"/>
      <c r="MUI69" s="8"/>
      <c r="MUJ69" s="8"/>
      <c r="MUK69" s="8"/>
      <c r="MUL69" s="8"/>
      <c r="MUM69" s="8"/>
      <c r="MUN69" s="8"/>
      <c r="MUO69" s="8"/>
      <c r="MUP69" s="8"/>
      <c r="MUQ69" s="8"/>
      <c r="MUR69" s="8"/>
      <c r="MUS69" s="8"/>
      <c r="MUT69" s="8"/>
      <c r="MUU69" s="8"/>
      <c r="MUV69" s="8"/>
      <c r="MUW69" s="8"/>
      <c r="MUX69" s="8"/>
      <c r="MUY69" s="8"/>
      <c r="MUZ69" s="8"/>
      <c r="MVA69" s="8"/>
      <c r="MVB69" s="8"/>
      <c r="MVC69" s="8"/>
      <c r="MVD69" s="8"/>
      <c r="MVE69" s="8"/>
      <c r="MVF69" s="8"/>
      <c r="MVG69" s="8"/>
      <c r="MVH69" s="8"/>
      <c r="MVI69" s="8"/>
      <c r="MVJ69" s="8"/>
      <c r="MVK69" s="8"/>
      <c r="MVL69" s="8"/>
      <c r="MVM69" s="8"/>
      <c r="MVN69" s="8"/>
      <c r="MVO69" s="8"/>
      <c r="MVP69" s="8"/>
      <c r="MVQ69" s="8"/>
      <c r="MVR69" s="8"/>
      <c r="MVS69" s="8"/>
      <c r="MVT69" s="8"/>
      <c r="MVU69" s="8"/>
      <c r="MVV69" s="8"/>
      <c r="MVW69" s="8"/>
      <c r="MVX69" s="8"/>
      <c r="MVY69" s="8"/>
      <c r="MVZ69" s="8"/>
      <c r="MWA69" s="8"/>
      <c r="MWB69" s="8"/>
      <c r="MWC69" s="8"/>
      <c r="MWD69" s="8"/>
      <c r="MWE69" s="8"/>
      <c r="MWF69" s="8"/>
      <c r="MWG69" s="8"/>
      <c r="MWH69" s="8"/>
      <c r="MWI69" s="8"/>
      <c r="MWJ69" s="8"/>
      <c r="MWK69" s="8"/>
      <c r="MWL69" s="8"/>
      <c r="MWM69" s="8"/>
      <c r="MWN69" s="8"/>
      <c r="MWO69" s="8"/>
      <c r="MWP69" s="8"/>
      <c r="MWQ69" s="8"/>
      <c r="MWR69" s="8"/>
      <c r="MWS69" s="8"/>
      <c r="MWT69" s="8"/>
      <c r="MWU69" s="8"/>
      <c r="MWV69" s="8"/>
      <c r="MWW69" s="8"/>
      <c r="MWX69" s="8"/>
      <c r="MWY69" s="8"/>
      <c r="MWZ69" s="8"/>
      <c r="MXA69" s="8"/>
      <c r="MXB69" s="8"/>
      <c r="MXC69" s="8"/>
      <c r="MXD69" s="8"/>
      <c r="MXE69" s="8"/>
      <c r="MXF69" s="8"/>
      <c r="MXG69" s="8"/>
      <c r="MXH69" s="8"/>
      <c r="MXI69" s="8"/>
      <c r="MXJ69" s="8"/>
      <c r="MXK69" s="8"/>
      <c r="MXL69" s="8"/>
      <c r="MXM69" s="8"/>
      <c r="MXN69" s="8"/>
      <c r="MXO69" s="8"/>
      <c r="MXP69" s="8"/>
      <c r="MXQ69" s="8"/>
      <c r="MXR69" s="8"/>
      <c r="MXS69" s="8"/>
      <c r="MXT69" s="8"/>
      <c r="MXU69" s="8"/>
      <c r="MXV69" s="8"/>
      <c r="MXW69" s="8"/>
      <c r="MXX69" s="8"/>
      <c r="MXY69" s="8"/>
      <c r="MXZ69" s="8"/>
      <c r="MYA69" s="8"/>
      <c r="MYB69" s="8"/>
      <c r="MYC69" s="8"/>
      <c r="MYD69" s="8"/>
      <c r="MYE69" s="8"/>
      <c r="MYF69" s="8"/>
      <c r="MYG69" s="8"/>
      <c r="MYH69" s="8"/>
      <c r="MYI69" s="8"/>
      <c r="MYJ69" s="8"/>
      <c r="MYK69" s="8"/>
      <c r="MYL69" s="8"/>
      <c r="MYM69" s="8"/>
      <c r="MYN69" s="8"/>
      <c r="MYO69" s="8"/>
      <c r="MYP69" s="8"/>
      <c r="MYQ69" s="8"/>
      <c r="MYR69" s="8"/>
      <c r="MYS69" s="8"/>
      <c r="MYT69" s="8"/>
      <c r="MYU69" s="8"/>
      <c r="MYV69" s="8"/>
      <c r="MYW69" s="8"/>
      <c r="MYX69" s="8"/>
      <c r="MYY69" s="8"/>
      <c r="MYZ69" s="8"/>
      <c r="MZA69" s="8"/>
      <c r="MZB69" s="8"/>
      <c r="MZC69" s="8"/>
      <c r="MZD69" s="8"/>
      <c r="MZE69" s="8"/>
      <c r="MZF69" s="8"/>
      <c r="MZG69" s="8"/>
      <c r="MZH69" s="8"/>
      <c r="MZI69" s="8"/>
      <c r="MZJ69" s="8"/>
      <c r="MZK69" s="8"/>
      <c r="MZL69" s="8"/>
      <c r="MZM69" s="8"/>
      <c r="MZN69" s="8"/>
      <c r="MZO69" s="8"/>
      <c r="MZP69" s="8"/>
      <c r="MZQ69" s="8"/>
      <c r="MZR69" s="8"/>
      <c r="MZS69" s="8"/>
      <c r="MZT69" s="8"/>
      <c r="MZU69" s="8"/>
      <c r="MZV69" s="8"/>
      <c r="MZW69" s="8"/>
      <c r="MZX69" s="8"/>
      <c r="MZY69" s="8"/>
      <c r="MZZ69" s="8"/>
      <c r="NAA69" s="8"/>
      <c r="NAB69" s="8"/>
      <c r="NAC69" s="8"/>
      <c r="NAD69" s="8"/>
      <c r="NAE69" s="8"/>
      <c r="NAF69" s="8"/>
      <c r="NAG69" s="8"/>
      <c r="NAH69" s="8"/>
      <c r="NAI69" s="8"/>
      <c r="NAJ69" s="8"/>
      <c r="NAK69" s="8"/>
      <c r="NAL69" s="8"/>
      <c r="NAM69" s="8"/>
      <c r="NAN69" s="8"/>
      <c r="NAO69" s="8"/>
      <c r="NAP69" s="8"/>
      <c r="NAQ69" s="8"/>
      <c r="NAR69" s="8"/>
      <c r="NAS69" s="8"/>
      <c r="NAT69" s="8"/>
      <c r="NAU69" s="8"/>
      <c r="NAV69" s="8"/>
      <c r="NAW69" s="8"/>
      <c r="NAX69" s="8"/>
      <c r="NAY69" s="8"/>
      <c r="NAZ69" s="8"/>
      <c r="NBA69" s="8"/>
      <c r="NBB69" s="8"/>
      <c r="NBC69" s="8"/>
      <c r="NBD69" s="8"/>
      <c r="NBE69" s="8"/>
      <c r="NBF69" s="8"/>
      <c r="NBG69" s="8"/>
      <c r="NBH69" s="8"/>
      <c r="NBI69" s="8"/>
      <c r="NBJ69" s="8"/>
      <c r="NBK69" s="8"/>
      <c r="NBL69" s="8"/>
      <c r="NBM69" s="8"/>
      <c r="NBN69" s="8"/>
      <c r="NBO69" s="8"/>
      <c r="NBP69" s="8"/>
      <c r="NBQ69" s="8"/>
      <c r="NBR69" s="8"/>
      <c r="NBS69" s="8"/>
      <c r="NBT69" s="8"/>
      <c r="NBU69" s="8"/>
      <c r="NBV69" s="8"/>
      <c r="NBW69" s="8"/>
      <c r="NBX69" s="8"/>
      <c r="NBY69" s="8"/>
      <c r="NBZ69" s="8"/>
      <c r="NCA69" s="8"/>
      <c r="NCB69" s="8"/>
      <c r="NCC69" s="8"/>
      <c r="NCD69" s="8"/>
      <c r="NCE69" s="8"/>
      <c r="NCF69" s="8"/>
      <c r="NCG69" s="8"/>
      <c r="NCH69" s="8"/>
      <c r="NCI69" s="8"/>
      <c r="NCJ69" s="8"/>
      <c r="NCK69" s="8"/>
      <c r="NCL69" s="8"/>
      <c r="NCM69" s="8"/>
      <c r="NCN69" s="8"/>
      <c r="NCO69" s="8"/>
      <c r="NCP69" s="8"/>
      <c r="NCQ69" s="8"/>
      <c r="NCR69" s="8"/>
      <c r="NCS69" s="8"/>
      <c r="NCT69" s="8"/>
      <c r="NCU69" s="8"/>
      <c r="NCV69" s="8"/>
      <c r="NCW69" s="8"/>
      <c r="NCX69" s="8"/>
      <c r="NCY69" s="8"/>
      <c r="NCZ69" s="8"/>
      <c r="NDA69" s="8"/>
      <c r="NDB69" s="8"/>
      <c r="NDC69" s="8"/>
      <c r="NDD69" s="8"/>
      <c r="NDE69" s="8"/>
      <c r="NDF69" s="8"/>
      <c r="NDG69" s="8"/>
      <c r="NDH69" s="8"/>
      <c r="NDI69" s="8"/>
      <c r="NDJ69" s="8"/>
      <c r="NDK69" s="8"/>
      <c r="NDL69" s="8"/>
      <c r="NDM69" s="8"/>
      <c r="NDN69" s="8"/>
      <c r="NDO69" s="8"/>
      <c r="NDP69" s="8"/>
      <c r="NDQ69" s="8"/>
      <c r="NDR69" s="8"/>
      <c r="NDS69" s="8"/>
      <c r="NDT69" s="8"/>
      <c r="NDU69" s="8"/>
      <c r="NDV69" s="8"/>
      <c r="NDW69" s="8"/>
      <c r="NDX69" s="8"/>
      <c r="NDY69" s="8"/>
      <c r="NDZ69" s="8"/>
      <c r="NEA69" s="8"/>
      <c r="NEB69" s="8"/>
      <c r="NEC69" s="8"/>
      <c r="NED69" s="8"/>
      <c r="NEE69" s="8"/>
      <c r="NEF69" s="8"/>
      <c r="NEG69" s="8"/>
      <c r="NEH69" s="8"/>
      <c r="NEI69" s="8"/>
      <c r="NEJ69" s="8"/>
      <c r="NEK69" s="8"/>
      <c r="NEL69" s="8"/>
      <c r="NEM69" s="8"/>
      <c r="NEN69" s="8"/>
      <c r="NEO69" s="8"/>
      <c r="NEP69" s="8"/>
      <c r="NEQ69" s="8"/>
      <c r="NER69" s="8"/>
      <c r="NES69" s="8"/>
      <c r="NET69" s="8"/>
      <c r="NEU69" s="8"/>
      <c r="NEV69" s="8"/>
      <c r="NEW69" s="8"/>
      <c r="NEX69" s="8"/>
      <c r="NEY69" s="8"/>
      <c r="NEZ69" s="8"/>
      <c r="NFA69" s="8"/>
      <c r="NFB69" s="8"/>
      <c r="NFC69" s="8"/>
      <c r="NFD69" s="8"/>
      <c r="NFE69" s="8"/>
      <c r="NFF69" s="8"/>
      <c r="NFG69" s="8"/>
      <c r="NFH69" s="8"/>
      <c r="NFI69" s="8"/>
      <c r="NFJ69" s="8"/>
      <c r="NFK69" s="8"/>
      <c r="NFL69" s="8"/>
      <c r="NFM69" s="8"/>
      <c r="NFN69" s="8"/>
      <c r="NFO69" s="8"/>
      <c r="NFP69" s="8"/>
      <c r="NFQ69" s="8"/>
      <c r="NFR69" s="8"/>
      <c r="NFS69" s="8"/>
      <c r="NFT69" s="8"/>
      <c r="NFU69" s="8"/>
      <c r="NFV69" s="8"/>
      <c r="NFW69" s="8"/>
      <c r="NFX69" s="8"/>
      <c r="NFY69" s="8"/>
      <c r="NFZ69" s="8"/>
      <c r="NGA69" s="8"/>
      <c r="NGB69" s="8"/>
      <c r="NGC69" s="8"/>
      <c r="NGD69" s="8"/>
      <c r="NGE69" s="8"/>
      <c r="NGF69" s="8"/>
      <c r="NGG69" s="8"/>
      <c r="NGH69" s="8"/>
      <c r="NGI69" s="8"/>
      <c r="NGJ69" s="8"/>
      <c r="NGK69" s="8"/>
      <c r="NGL69" s="8"/>
      <c r="NGM69" s="8"/>
      <c r="NGN69" s="8"/>
      <c r="NGO69" s="8"/>
      <c r="NGP69" s="8"/>
      <c r="NGQ69" s="8"/>
      <c r="NGR69" s="8"/>
      <c r="NGS69" s="8"/>
      <c r="NGT69" s="8"/>
      <c r="NGU69" s="8"/>
      <c r="NGV69" s="8"/>
      <c r="NGW69" s="8"/>
      <c r="NGX69" s="8"/>
      <c r="NGY69" s="8"/>
      <c r="NGZ69" s="8"/>
      <c r="NHA69" s="8"/>
      <c r="NHB69" s="8"/>
      <c r="NHC69" s="8"/>
      <c r="NHD69" s="8"/>
      <c r="NHE69" s="8"/>
      <c r="NHF69" s="8"/>
      <c r="NHG69" s="8"/>
      <c r="NHH69" s="8"/>
      <c r="NHI69" s="8"/>
      <c r="NHJ69" s="8"/>
      <c r="NHK69" s="8"/>
      <c r="NHL69" s="8"/>
      <c r="NHM69" s="8"/>
      <c r="NHN69" s="8"/>
      <c r="NHO69" s="8"/>
      <c r="NHP69" s="8"/>
      <c r="NHQ69" s="8"/>
      <c r="NHR69" s="8"/>
      <c r="NHS69" s="8"/>
      <c r="NHT69" s="8"/>
      <c r="NHU69" s="8"/>
      <c r="NHV69" s="8"/>
      <c r="NHW69" s="8"/>
      <c r="NHX69" s="8"/>
      <c r="NHY69" s="8"/>
      <c r="NHZ69" s="8"/>
      <c r="NIA69" s="8"/>
      <c r="NIB69" s="8"/>
      <c r="NIC69" s="8"/>
      <c r="NID69" s="8"/>
      <c r="NIE69" s="8"/>
      <c r="NIF69" s="8"/>
      <c r="NIG69" s="8"/>
      <c r="NIH69" s="8"/>
      <c r="NII69" s="8"/>
      <c r="NIJ69" s="8"/>
      <c r="NIK69" s="8"/>
      <c r="NIL69" s="8"/>
      <c r="NIM69" s="8"/>
      <c r="NIN69" s="8"/>
      <c r="NIO69" s="8"/>
      <c r="NIP69" s="8"/>
      <c r="NIQ69" s="8"/>
      <c r="NIR69" s="8"/>
      <c r="NIS69" s="8"/>
      <c r="NIT69" s="8"/>
      <c r="NIU69" s="8"/>
      <c r="NIV69" s="8"/>
      <c r="NIW69" s="8"/>
      <c r="NIX69" s="8"/>
      <c r="NIY69" s="8"/>
      <c r="NIZ69" s="8"/>
      <c r="NJA69" s="8"/>
      <c r="NJB69" s="8"/>
      <c r="NJC69" s="8"/>
      <c r="NJD69" s="8"/>
      <c r="NJE69" s="8"/>
      <c r="NJF69" s="8"/>
      <c r="NJG69" s="8"/>
      <c r="NJH69" s="8"/>
      <c r="NJI69" s="8"/>
      <c r="NJJ69" s="8"/>
      <c r="NJK69" s="8"/>
      <c r="NJL69" s="8"/>
      <c r="NJM69" s="8"/>
      <c r="NJN69" s="8"/>
      <c r="NJO69" s="8"/>
      <c r="NJP69" s="8"/>
      <c r="NJQ69" s="8"/>
      <c r="NJR69" s="8"/>
      <c r="NJS69" s="8"/>
      <c r="NJT69" s="8"/>
      <c r="NJU69" s="8"/>
      <c r="NJV69" s="8"/>
      <c r="NJW69" s="8"/>
      <c r="NJX69" s="8"/>
      <c r="NJY69" s="8"/>
      <c r="NJZ69" s="8"/>
      <c r="NKA69" s="8"/>
      <c r="NKB69" s="8"/>
      <c r="NKC69" s="8"/>
      <c r="NKD69" s="8"/>
      <c r="NKE69" s="8"/>
      <c r="NKF69" s="8"/>
      <c r="NKG69" s="8"/>
      <c r="NKH69" s="8"/>
      <c r="NKI69" s="8"/>
      <c r="NKJ69" s="8"/>
      <c r="NKK69" s="8"/>
      <c r="NKL69" s="8"/>
      <c r="NKM69" s="8"/>
      <c r="NKN69" s="8"/>
      <c r="NKO69" s="8"/>
      <c r="NKP69" s="8"/>
      <c r="NKQ69" s="8"/>
      <c r="NKR69" s="8"/>
      <c r="NKS69" s="8"/>
      <c r="NKT69" s="8"/>
      <c r="NKU69" s="8"/>
      <c r="NKV69" s="8"/>
      <c r="NKW69" s="8"/>
      <c r="NKX69" s="8"/>
      <c r="NKY69" s="8"/>
      <c r="NKZ69" s="8"/>
      <c r="NLA69" s="8"/>
      <c r="NLB69" s="8"/>
      <c r="NLC69" s="8"/>
      <c r="NLD69" s="8"/>
      <c r="NLE69" s="8"/>
      <c r="NLF69" s="8"/>
      <c r="NLG69" s="8"/>
      <c r="NLH69" s="8"/>
      <c r="NLI69" s="8"/>
      <c r="NLJ69" s="8"/>
      <c r="NLK69" s="8"/>
      <c r="NLL69" s="8"/>
      <c r="NLM69" s="8"/>
      <c r="NLN69" s="8"/>
      <c r="NLO69" s="8"/>
      <c r="NLP69" s="8"/>
      <c r="NLQ69" s="8"/>
      <c r="NLR69" s="8"/>
      <c r="NLS69" s="8"/>
      <c r="NLT69" s="8"/>
      <c r="NLU69" s="8"/>
      <c r="NLV69" s="8"/>
      <c r="NLW69" s="8"/>
      <c r="NLX69" s="8"/>
      <c r="NLY69" s="8"/>
      <c r="NLZ69" s="8"/>
      <c r="NMA69" s="8"/>
      <c r="NMB69" s="8"/>
      <c r="NMC69" s="8"/>
      <c r="NMD69" s="8"/>
      <c r="NME69" s="8"/>
      <c r="NMF69" s="8"/>
      <c r="NMG69" s="8"/>
      <c r="NMH69" s="8"/>
      <c r="NMI69" s="8"/>
      <c r="NMJ69" s="8"/>
      <c r="NMK69" s="8"/>
      <c r="NML69" s="8"/>
      <c r="NMM69" s="8"/>
      <c r="NMN69" s="8"/>
      <c r="NMO69" s="8"/>
      <c r="NMP69" s="8"/>
      <c r="NMQ69" s="8"/>
      <c r="NMR69" s="8"/>
      <c r="NMS69" s="8"/>
      <c r="NMT69" s="8"/>
      <c r="NMU69" s="8"/>
      <c r="NMV69" s="8"/>
      <c r="NMW69" s="8"/>
      <c r="NMX69" s="8"/>
      <c r="NMY69" s="8"/>
      <c r="NMZ69" s="8"/>
      <c r="NNA69" s="8"/>
      <c r="NNB69" s="8"/>
      <c r="NNC69" s="8"/>
      <c r="NND69" s="8"/>
      <c r="NNE69" s="8"/>
      <c r="NNF69" s="8"/>
      <c r="NNG69" s="8"/>
      <c r="NNH69" s="8"/>
      <c r="NNI69" s="8"/>
      <c r="NNJ69" s="8"/>
      <c r="NNK69" s="8"/>
      <c r="NNL69" s="8"/>
      <c r="NNM69" s="8"/>
      <c r="NNN69" s="8"/>
      <c r="NNO69" s="8"/>
      <c r="NNP69" s="8"/>
      <c r="NNQ69" s="8"/>
      <c r="NNR69" s="8"/>
      <c r="NNS69" s="8"/>
      <c r="NNT69" s="8"/>
      <c r="NNU69" s="8"/>
      <c r="NNV69" s="8"/>
      <c r="NNW69" s="8"/>
      <c r="NNX69" s="8"/>
      <c r="NNY69" s="8"/>
      <c r="NNZ69" s="8"/>
      <c r="NOA69" s="8"/>
      <c r="NOB69" s="8"/>
      <c r="NOC69" s="8"/>
      <c r="NOD69" s="8"/>
      <c r="NOE69" s="8"/>
      <c r="NOF69" s="8"/>
      <c r="NOG69" s="8"/>
      <c r="NOH69" s="8"/>
      <c r="NOI69" s="8"/>
      <c r="NOJ69" s="8"/>
      <c r="NOK69" s="8"/>
      <c r="NOL69" s="8"/>
      <c r="NOM69" s="8"/>
      <c r="NON69" s="8"/>
      <c r="NOO69" s="8"/>
      <c r="NOP69" s="8"/>
      <c r="NOQ69" s="8"/>
      <c r="NOR69" s="8"/>
      <c r="NOS69" s="8"/>
      <c r="NOT69" s="8"/>
      <c r="NOU69" s="8"/>
      <c r="NOV69" s="8"/>
      <c r="NOW69" s="8"/>
      <c r="NOX69" s="8"/>
      <c r="NOY69" s="8"/>
      <c r="NOZ69" s="8"/>
      <c r="NPA69" s="8"/>
      <c r="NPB69" s="8"/>
      <c r="NPC69" s="8"/>
      <c r="NPD69" s="8"/>
      <c r="NPE69" s="8"/>
      <c r="NPF69" s="8"/>
      <c r="NPG69" s="8"/>
      <c r="NPH69" s="8"/>
      <c r="NPI69" s="8"/>
      <c r="NPJ69" s="8"/>
      <c r="NPK69" s="8"/>
      <c r="NPL69" s="8"/>
      <c r="NPM69" s="8"/>
      <c r="NPN69" s="8"/>
      <c r="NPO69" s="8"/>
      <c r="NPP69" s="8"/>
      <c r="NPQ69" s="8"/>
      <c r="NPR69" s="8"/>
      <c r="NPS69" s="8"/>
      <c r="NPT69" s="8"/>
      <c r="NPU69" s="8"/>
      <c r="NPV69" s="8"/>
      <c r="NPW69" s="8"/>
      <c r="NPX69" s="8"/>
      <c r="NPY69" s="8"/>
      <c r="NPZ69" s="8"/>
      <c r="NQA69" s="8"/>
      <c r="NQB69" s="8"/>
      <c r="NQC69" s="8"/>
      <c r="NQD69" s="8"/>
      <c r="NQE69" s="8"/>
      <c r="NQF69" s="8"/>
      <c r="NQG69" s="8"/>
      <c r="NQH69" s="8"/>
      <c r="NQI69" s="8"/>
      <c r="NQJ69" s="8"/>
      <c r="NQK69" s="8"/>
      <c r="NQL69" s="8"/>
      <c r="NQM69" s="8"/>
      <c r="NQN69" s="8"/>
      <c r="NQO69" s="8"/>
      <c r="NQP69" s="8"/>
      <c r="NQQ69" s="8"/>
      <c r="NQR69" s="8"/>
      <c r="NQS69" s="8"/>
      <c r="NQT69" s="8"/>
      <c r="NQU69" s="8"/>
      <c r="NQV69" s="8"/>
      <c r="NQW69" s="8"/>
      <c r="NQX69" s="8"/>
      <c r="NQY69" s="8"/>
      <c r="NQZ69" s="8"/>
      <c r="NRA69" s="8"/>
      <c r="NRB69" s="8"/>
      <c r="NRC69" s="8"/>
      <c r="NRD69" s="8"/>
      <c r="NRE69" s="8"/>
      <c r="NRF69" s="8"/>
      <c r="NRG69" s="8"/>
      <c r="NRH69" s="8"/>
      <c r="NRI69" s="8"/>
      <c r="NRJ69" s="8"/>
      <c r="NRK69" s="8"/>
      <c r="NRL69" s="8"/>
      <c r="NRM69" s="8"/>
      <c r="NRN69" s="8"/>
      <c r="NRO69" s="8"/>
      <c r="NRP69" s="8"/>
      <c r="NRQ69" s="8"/>
      <c r="NRR69" s="8"/>
      <c r="NRS69" s="8"/>
      <c r="NRT69" s="8"/>
      <c r="NRU69" s="8"/>
      <c r="NRV69" s="8"/>
      <c r="NRW69" s="8"/>
      <c r="NRX69" s="8"/>
      <c r="NRY69" s="8"/>
      <c r="NRZ69" s="8"/>
      <c r="NSA69" s="8"/>
      <c r="NSB69" s="8"/>
      <c r="NSC69" s="8"/>
      <c r="NSD69" s="8"/>
      <c r="NSE69" s="8"/>
      <c r="NSF69" s="8"/>
      <c r="NSG69" s="8"/>
      <c r="NSH69" s="8"/>
      <c r="NSI69" s="8"/>
      <c r="NSJ69" s="8"/>
      <c r="NSK69" s="8"/>
      <c r="NSL69" s="8"/>
      <c r="NSM69" s="8"/>
      <c r="NSN69" s="8"/>
      <c r="NSO69" s="8"/>
      <c r="NSP69" s="8"/>
      <c r="NSQ69" s="8"/>
      <c r="NSR69" s="8"/>
      <c r="NSS69" s="8"/>
      <c r="NST69" s="8"/>
      <c r="NSU69" s="8"/>
      <c r="NSV69" s="8"/>
      <c r="NSW69" s="8"/>
      <c r="NSX69" s="8"/>
      <c r="NSY69" s="8"/>
      <c r="NSZ69" s="8"/>
      <c r="NTA69" s="8"/>
      <c r="NTB69" s="8"/>
      <c r="NTC69" s="8"/>
      <c r="NTD69" s="8"/>
      <c r="NTE69" s="8"/>
      <c r="NTF69" s="8"/>
      <c r="NTG69" s="8"/>
      <c r="NTH69" s="8"/>
      <c r="NTI69" s="8"/>
      <c r="NTJ69" s="8"/>
      <c r="NTK69" s="8"/>
      <c r="NTL69" s="8"/>
      <c r="NTM69" s="8"/>
      <c r="NTN69" s="8"/>
      <c r="NTO69" s="8"/>
      <c r="NTP69" s="8"/>
      <c r="NTQ69" s="8"/>
      <c r="NTR69" s="8"/>
      <c r="NTS69" s="8"/>
      <c r="NTT69" s="8"/>
      <c r="NTU69" s="8"/>
      <c r="NTV69" s="8"/>
      <c r="NTW69" s="8"/>
      <c r="NTX69" s="8"/>
      <c r="NTY69" s="8"/>
      <c r="NTZ69" s="8"/>
      <c r="NUA69" s="8"/>
      <c r="NUB69" s="8"/>
      <c r="NUC69" s="8"/>
      <c r="NUD69" s="8"/>
      <c r="NUE69" s="8"/>
      <c r="NUF69" s="8"/>
      <c r="NUG69" s="8"/>
      <c r="NUH69" s="8"/>
      <c r="NUI69" s="8"/>
      <c r="NUJ69" s="8"/>
      <c r="NUK69" s="8"/>
      <c r="NUL69" s="8"/>
      <c r="NUM69" s="8"/>
      <c r="NUN69" s="8"/>
      <c r="NUO69" s="8"/>
      <c r="NUP69" s="8"/>
      <c r="NUQ69" s="8"/>
      <c r="NUR69" s="8"/>
      <c r="NUS69" s="8"/>
      <c r="NUT69" s="8"/>
      <c r="NUU69" s="8"/>
      <c r="NUV69" s="8"/>
      <c r="NUW69" s="8"/>
      <c r="NUX69" s="8"/>
      <c r="NUY69" s="8"/>
      <c r="NUZ69" s="8"/>
      <c r="NVA69" s="8"/>
      <c r="NVB69" s="8"/>
      <c r="NVC69" s="8"/>
      <c r="NVD69" s="8"/>
      <c r="NVE69" s="8"/>
      <c r="NVF69" s="8"/>
      <c r="NVG69" s="8"/>
      <c r="NVH69" s="8"/>
      <c r="NVI69" s="8"/>
      <c r="NVJ69" s="8"/>
      <c r="NVK69" s="8"/>
      <c r="NVL69" s="8"/>
      <c r="NVM69" s="8"/>
      <c r="NVN69" s="8"/>
      <c r="NVO69" s="8"/>
      <c r="NVP69" s="8"/>
      <c r="NVQ69" s="8"/>
      <c r="NVR69" s="8"/>
      <c r="NVS69" s="8"/>
      <c r="NVT69" s="8"/>
      <c r="NVU69" s="8"/>
      <c r="NVV69" s="8"/>
      <c r="NVW69" s="8"/>
      <c r="NVX69" s="8"/>
      <c r="NVY69" s="8"/>
      <c r="NVZ69" s="8"/>
      <c r="NWA69" s="8"/>
      <c r="NWB69" s="8"/>
      <c r="NWC69" s="8"/>
      <c r="NWD69" s="8"/>
      <c r="NWE69" s="8"/>
      <c r="NWF69" s="8"/>
      <c r="NWG69" s="8"/>
      <c r="NWH69" s="8"/>
      <c r="NWI69" s="8"/>
      <c r="NWJ69" s="8"/>
      <c r="NWK69" s="8"/>
      <c r="NWL69" s="8"/>
      <c r="NWM69" s="8"/>
      <c r="NWN69" s="8"/>
      <c r="NWO69" s="8"/>
      <c r="NWP69" s="8"/>
      <c r="NWQ69" s="8"/>
      <c r="NWR69" s="8"/>
      <c r="NWS69" s="8"/>
      <c r="NWT69" s="8"/>
      <c r="NWU69" s="8"/>
      <c r="NWV69" s="8"/>
      <c r="NWW69" s="8"/>
      <c r="NWX69" s="8"/>
      <c r="NWY69" s="8"/>
      <c r="NWZ69" s="8"/>
      <c r="NXA69" s="8"/>
      <c r="NXB69" s="8"/>
      <c r="NXC69" s="8"/>
      <c r="NXD69" s="8"/>
      <c r="NXE69" s="8"/>
      <c r="NXF69" s="8"/>
      <c r="NXG69" s="8"/>
      <c r="NXH69" s="8"/>
      <c r="NXI69" s="8"/>
      <c r="NXJ69" s="8"/>
      <c r="NXK69" s="8"/>
      <c r="NXL69" s="8"/>
      <c r="NXM69" s="8"/>
      <c r="NXN69" s="8"/>
      <c r="NXO69" s="8"/>
      <c r="NXP69" s="8"/>
      <c r="NXQ69" s="8"/>
      <c r="NXR69" s="8"/>
      <c r="NXS69" s="8"/>
      <c r="NXT69" s="8"/>
      <c r="NXU69" s="8"/>
      <c r="NXV69" s="8"/>
      <c r="NXW69" s="8"/>
      <c r="NXX69" s="8"/>
      <c r="NXY69" s="8"/>
      <c r="NXZ69" s="8"/>
      <c r="NYA69" s="8"/>
      <c r="NYB69" s="8"/>
      <c r="NYC69" s="8"/>
      <c r="NYD69" s="8"/>
      <c r="NYE69" s="8"/>
      <c r="NYF69" s="8"/>
      <c r="NYG69" s="8"/>
      <c r="NYH69" s="8"/>
      <c r="NYI69" s="8"/>
      <c r="NYJ69" s="8"/>
      <c r="NYK69" s="8"/>
      <c r="NYL69" s="8"/>
      <c r="NYM69" s="8"/>
      <c r="NYN69" s="8"/>
      <c r="NYO69" s="8"/>
      <c r="NYP69" s="8"/>
      <c r="NYQ69" s="8"/>
      <c r="NYR69" s="8"/>
      <c r="NYS69" s="8"/>
      <c r="NYT69" s="8"/>
      <c r="NYU69" s="8"/>
      <c r="NYV69" s="8"/>
      <c r="NYW69" s="8"/>
      <c r="NYX69" s="8"/>
      <c r="NYY69" s="8"/>
      <c r="NYZ69" s="8"/>
      <c r="NZA69" s="8"/>
      <c r="NZB69" s="8"/>
      <c r="NZC69" s="8"/>
      <c r="NZD69" s="8"/>
      <c r="NZE69" s="8"/>
      <c r="NZF69" s="8"/>
      <c r="NZG69" s="8"/>
      <c r="NZH69" s="8"/>
      <c r="NZI69" s="8"/>
      <c r="NZJ69" s="8"/>
      <c r="NZK69" s="8"/>
      <c r="NZL69" s="8"/>
      <c r="NZM69" s="8"/>
      <c r="NZN69" s="8"/>
      <c r="NZO69" s="8"/>
      <c r="NZP69" s="8"/>
      <c r="NZQ69" s="8"/>
      <c r="NZR69" s="8"/>
      <c r="NZS69" s="8"/>
      <c r="NZT69" s="8"/>
      <c r="NZU69" s="8"/>
      <c r="NZV69" s="8"/>
      <c r="NZW69" s="8"/>
      <c r="NZX69" s="8"/>
      <c r="NZY69" s="8"/>
      <c r="NZZ69" s="8"/>
      <c r="OAA69" s="8"/>
      <c r="OAB69" s="8"/>
      <c r="OAC69" s="8"/>
      <c r="OAD69" s="8"/>
      <c r="OAE69" s="8"/>
      <c r="OAF69" s="8"/>
      <c r="OAG69" s="8"/>
      <c r="OAH69" s="8"/>
      <c r="OAI69" s="8"/>
      <c r="OAJ69" s="8"/>
      <c r="OAK69" s="8"/>
      <c r="OAL69" s="8"/>
      <c r="OAM69" s="8"/>
      <c r="OAN69" s="8"/>
      <c r="OAO69" s="8"/>
      <c r="OAP69" s="8"/>
      <c r="OAQ69" s="8"/>
      <c r="OAR69" s="8"/>
      <c r="OAS69" s="8"/>
      <c r="OAT69" s="8"/>
      <c r="OAU69" s="8"/>
      <c r="OAV69" s="8"/>
      <c r="OAW69" s="8"/>
      <c r="OAX69" s="8"/>
      <c r="OAY69" s="8"/>
      <c r="OAZ69" s="8"/>
      <c r="OBA69" s="8"/>
      <c r="OBB69" s="8"/>
      <c r="OBC69" s="8"/>
      <c r="OBD69" s="8"/>
      <c r="OBE69" s="8"/>
      <c r="OBF69" s="8"/>
      <c r="OBG69" s="8"/>
      <c r="OBH69" s="8"/>
      <c r="OBI69" s="8"/>
      <c r="OBJ69" s="8"/>
      <c r="OBK69" s="8"/>
      <c r="OBL69" s="8"/>
      <c r="OBM69" s="8"/>
      <c r="OBN69" s="8"/>
      <c r="OBO69" s="8"/>
      <c r="OBP69" s="8"/>
      <c r="OBQ69" s="8"/>
      <c r="OBR69" s="8"/>
      <c r="OBS69" s="8"/>
      <c r="OBT69" s="8"/>
      <c r="OBU69" s="8"/>
      <c r="OBV69" s="8"/>
      <c r="OBW69" s="8"/>
      <c r="OBX69" s="8"/>
      <c r="OBY69" s="8"/>
      <c r="OBZ69" s="8"/>
      <c r="OCA69" s="8"/>
      <c r="OCB69" s="8"/>
      <c r="OCC69" s="8"/>
      <c r="OCD69" s="8"/>
      <c r="OCE69" s="8"/>
      <c r="OCF69" s="8"/>
      <c r="OCG69" s="8"/>
      <c r="OCH69" s="8"/>
      <c r="OCI69" s="8"/>
      <c r="OCJ69" s="8"/>
      <c r="OCK69" s="8"/>
      <c r="OCL69" s="8"/>
      <c r="OCM69" s="8"/>
      <c r="OCN69" s="8"/>
      <c r="OCO69" s="8"/>
      <c r="OCP69" s="8"/>
      <c r="OCQ69" s="8"/>
      <c r="OCR69" s="8"/>
      <c r="OCS69" s="8"/>
      <c r="OCT69" s="8"/>
      <c r="OCU69" s="8"/>
      <c r="OCV69" s="8"/>
      <c r="OCW69" s="8"/>
      <c r="OCX69" s="8"/>
      <c r="OCY69" s="8"/>
      <c r="OCZ69" s="8"/>
      <c r="ODA69" s="8"/>
      <c r="ODB69" s="8"/>
      <c r="ODC69" s="8"/>
      <c r="ODD69" s="8"/>
      <c r="ODE69" s="8"/>
      <c r="ODF69" s="8"/>
      <c r="ODG69" s="8"/>
      <c r="ODH69" s="8"/>
      <c r="ODI69" s="8"/>
      <c r="ODJ69" s="8"/>
      <c r="ODK69" s="8"/>
      <c r="ODL69" s="8"/>
      <c r="ODM69" s="8"/>
      <c r="ODN69" s="8"/>
      <c r="ODO69" s="8"/>
      <c r="ODP69" s="8"/>
      <c r="ODQ69" s="8"/>
      <c r="ODR69" s="8"/>
      <c r="ODS69" s="8"/>
      <c r="ODT69" s="8"/>
      <c r="ODU69" s="8"/>
      <c r="ODV69" s="8"/>
      <c r="ODW69" s="8"/>
      <c r="ODX69" s="8"/>
      <c r="ODY69" s="8"/>
      <c r="ODZ69" s="8"/>
      <c r="OEA69" s="8"/>
      <c r="OEB69" s="8"/>
      <c r="OEC69" s="8"/>
      <c r="OED69" s="8"/>
      <c r="OEE69" s="8"/>
      <c r="OEF69" s="8"/>
      <c r="OEG69" s="8"/>
      <c r="OEH69" s="8"/>
      <c r="OEI69" s="8"/>
      <c r="OEJ69" s="8"/>
      <c r="OEK69" s="8"/>
      <c r="OEL69" s="8"/>
      <c r="OEM69" s="8"/>
      <c r="OEN69" s="8"/>
      <c r="OEO69" s="8"/>
      <c r="OEP69" s="8"/>
      <c r="OEQ69" s="8"/>
      <c r="OER69" s="8"/>
      <c r="OES69" s="8"/>
      <c r="OET69" s="8"/>
      <c r="OEU69" s="8"/>
      <c r="OEV69" s="8"/>
      <c r="OEW69" s="8"/>
      <c r="OEX69" s="8"/>
      <c r="OEY69" s="8"/>
      <c r="OEZ69" s="8"/>
      <c r="OFA69" s="8"/>
      <c r="OFB69" s="8"/>
      <c r="OFC69" s="8"/>
      <c r="OFD69" s="8"/>
      <c r="OFE69" s="8"/>
      <c r="OFF69" s="8"/>
      <c r="OFG69" s="8"/>
      <c r="OFH69" s="8"/>
      <c r="OFI69" s="8"/>
      <c r="OFJ69" s="8"/>
      <c r="OFK69" s="8"/>
      <c r="OFL69" s="8"/>
      <c r="OFM69" s="8"/>
      <c r="OFN69" s="8"/>
      <c r="OFO69" s="8"/>
      <c r="OFP69" s="8"/>
      <c r="OFQ69" s="8"/>
      <c r="OFR69" s="8"/>
      <c r="OFS69" s="8"/>
      <c r="OFT69" s="8"/>
      <c r="OFU69" s="8"/>
      <c r="OFV69" s="8"/>
      <c r="OFW69" s="8"/>
      <c r="OFX69" s="8"/>
      <c r="OFY69" s="8"/>
      <c r="OFZ69" s="8"/>
      <c r="OGA69" s="8"/>
      <c r="OGB69" s="8"/>
      <c r="OGC69" s="8"/>
      <c r="OGD69" s="8"/>
      <c r="OGE69" s="8"/>
      <c r="OGF69" s="8"/>
      <c r="OGG69" s="8"/>
      <c r="OGH69" s="8"/>
      <c r="OGI69" s="8"/>
      <c r="OGJ69" s="8"/>
      <c r="OGK69" s="8"/>
      <c r="OGL69" s="8"/>
      <c r="OGM69" s="8"/>
      <c r="OGN69" s="8"/>
      <c r="OGO69" s="8"/>
      <c r="OGP69" s="8"/>
      <c r="OGQ69" s="8"/>
      <c r="OGR69" s="8"/>
      <c r="OGS69" s="8"/>
      <c r="OGT69" s="8"/>
      <c r="OGU69" s="8"/>
      <c r="OGV69" s="8"/>
      <c r="OGW69" s="8"/>
      <c r="OGX69" s="8"/>
      <c r="OGY69" s="8"/>
      <c r="OGZ69" s="8"/>
      <c r="OHA69" s="8"/>
      <c r="OHB69" s="8"/>
      <c r="OHC69" s="8"/>
      <c r="OHD69" s="8"/>
      <c r="OHE69" s="8"/>
      <c r="OHF69" s="8"/>
      <c r="OHG69" s="8"/>
      <c r="OHH69" s="8"/>
      <c r="OHI69" s="8"/>
      <c r="OHJ69" s="8"/>
      <c r="OHK69" s="8"/>
      <c r="OHL69" s="8"/>
      <c r="OHM69" s="8"/>
      <c r="OHN69" s="8"/>
      <c r="OHO69" s="8"/>
      <c r="OHP69" s="8"/>
      <c r="OHQ69" s="8"/>
      <c r="OHR69" s="8"/>
      <c r="OHS69" s="8"/>
      <c r="OHT69" s="8"/>
      <c r="OHU69" s="8"/>
      <c r="OHV69" s="8"/>
      <c r="OHW69" s="8"/>
      <c r="OHX69" s="8"/>
      <c r="OHY69" s="8"/>
      <c r="OHZ69" s="8"/>
      <c r="OIA69" s="8"/>
      <c r="OIB69" s="8"/>
      <c r="OIC69" s="8"/>
      <c r="OID69" s="8"/>
      <c r="OIE69" s="8"/>
      <c r="OIF69" s="8"/>
      <c r="OIG69" s="8"/>
      <c r="OIH69" s="8"/>
      <c r="OII69" s="8"/>
      <c r="OIJ69" s="8"/>
      <c r="OIK69" s="8"/>
      <c r="OIL69" s="8"/>
      <c r="OIM69" s="8"/>
      <c r="OIN69" s="8"/>
      <c r="OIO69" s="8"/>
      <c r="OIP69" s="8"/>
      <c r="OIQ69" s="8"/>
      <c r="OIR69" s="8"/>
      <c r="OIS69" s="8"/>
      <c r="OIT69" s="8"/>
      <c r="OIU69" s="8"/>
      <c r="OIV69" s="8"/>
      <c r="OIW69" s="8"/>
      <c r="OIX69" s="8"/>
      <c r="OIY69" s="8"/>
      <c r="OIZ69" s="8"/>
      <c r="OJA69" s="8"/>
      <c r="OJB69" s="8"/>
      <c r="OJC69" s="8"/>
      <c r="OJD69" s="8"/>
      <c r="OJE69" s="8"/>
      <c r="OJF69" s="8"/>
      <c r="OJG69" s="8"/>
      <c r="OJH69" s="8"/>
      <c r="OJI69" s="8"/>
      <c r="OJJ69" s="8"/>
      <c r="OJK69" s="8"/>
      <c r="OJL69" s="8"/>
      <c r="OJM69" s="8"/>
      <c r="OJN69" s="8"/>
      <c r="OJO69" s="8"/>
      <c r="OJP69" s="8"/>
      <c r="OJQ69" s="8"/>
      <c r="OJR69" s="8"/>
      <c r="OJS69" s="8"/>
      <c r="OJT69" s="8"/>
      <c r="OJU69" s="8"/>
      <c r="OJV69" s="8"/>
      <c r="OJW69" s="8"/>
      <c r="OJX69" s="8"/>
      <c r="OJY69" s="8"/>
      <c r="OJZ69" s="8"/>
      <c r="OKA69" s="8"/>
      <c r="OKB69" s="8"/>
      <c r="OKC69" s="8"/>
      <c r="OKD69" s="8"/>
      <c r="OKE69" s="8"/>
      <c r="OKF69" s="8"/>
      <c r="OKG69" s="8"/>
      <c r="OKH69" s="8"/>
      <c r="OKI69" s="8"/>
      <c r="OKJ69" s="8"/>
      <c r="OKK69" s="8"/>
      <c r="OKL69" s="8"/>
      <c r="OKM69" s="8"/>
      <c r="OKN69" s="8"/>
      <c r="OKO69" s="8"/>
      <c r="OKP69" s="8"/>
      <c r="OKQ69" s="8"/>
      <c r="OKR69" s="8"/>
      <c r="OKS69" s="8"/>
      <c r="OKT69" s="8"/>
      <c r="OKU69" s="8"/>
      <c r="OKV69" s="8"/>
      <c r="OKW69" s="8"/>
      <c r="OKX69" s="8"/>
      <c r="OKY69" s="8"/>
      <c r="OKZ69" s="8"/>
      <c r="OLA69" s="8"/>
      <c r="OLB69" s="8"/>
      <c r="OLC69" s="8"/>
      <c r="OLD69" s="8"/>
      <c r="OLE69" s="8"/>
      <c r="OLF69" s="8"/>
      <c r="OLG69" s="8"/>
      <c r="OLH69" s="8"/>
      <c r="OLI69" s="8"/>
      <c r="OLJ69" s="8"/>
      <c r="OLK69" s="8"/>
      <c r="OLL69" s="8"/>
      <c r="OLM69" s="8"/>
      <c r="OLN69" s="8"/>
      <c r="OLO69" s="8"/>
      <c r="OLP69" s="8"/>
      <c r="OLQ69" s="8"/>
      <c r="OLR69" s="8"/>
      <c r="OLS69" s="8"/>
      <c r="OLT69" s="8"/>
      <c r="OLU69" s="8"/>
      <c r="OLV69" s="8"/>
      <c r="OLW69" s="8"/>
      <c r="OLX69" s="8"/>
      <c r="OLY69" s="8"/>
      <c r="OLZ69" s="8"/>
      <c r="OMA69" s="8"/>
      <c r="OMB69" s="8"/>
      <c r="OMC69" s="8"/>
      <c r="OMD69" s="8"/>
      <c r="OME69" s="8"/>
      <c r="OMF69" s="8"/>
      <c r="OMG69" s="8"/>
      <c r="OMH69" s="8"/>
      <c r="OMI69" s="8"/>
      <c r="OMJ69" s="8"/>
      <c r="OMK69" s="8"/>
      <c r="OML69" s="8"/>
      <c r="OMM69" s="8"/>
      <c r="OMN69" s="8"/>
      <c r="OMO69" s="8"/>
      <c r="OMP69" s="8"/>
      <c r="OMQ69" s="8"/>
      <c r="OMR69" s="8"/>
      <c r="OMS69" s="8"/>
      <c r="OMT69" s="8"/>
      <c r="OMU69" s="8"/>
      <c r="OMV69" s="8"/>
      <c r="OMW69" s="8"/>
      <c r="OMX69" s="8"/>
      <c r="OMY69" s="8"/>
      <c r="OMZ69" s="8"/>
      <c r="ONA69" s="8"/>
      <c r="ONB69" s="8"/>
      <c r="ONC69" s="8"/>
      <c r="OND69" s="8"/>
      <c r="ONE69" s="8"/>
      <c r="ONF69" s="8"/>
      <c r="ONG69" s="8"/>
      <c r="ONH69" s="8"/>
      <c r="ONI69" s="8"/>
      <c r="ONJ69" s="8"/>
      <c r="ONK69" s="8"/>
      <c r="ONL69" s="8"/>
      <c r="ONM69" s="8"/>
      <c r="ONN69" s="8"/>
      <c r="ONO69" s="8"/>
      <c r="ONP69" s="8"/>
      <c r="ONQ69" s="8"/>
      <c r="ONR69" s="8"/>
      <c r="ONS69" s="8"/>
      <c r="ONT69" s="8"/>
      <c r="ONU69" s="8"/>
      <c r="ONV69" s="8"/>
      <c r="ONW69" s="8"/>
      <c r="ONX69" s="8"/>
      <c r="ONY69" s="8"/>
      <c r="ONZ69" s="8"/>
      <c r="OOA69" s="8"/>
      <c r="OOB69" s="8"/>
      <c r="OOC69" s="8"/>
      <c r="OOD69" s="8"/>
      <c r="OOE69" s="8"/>
      <c r="OOF69" s="8"/>
      <c r="OOG69" s="8"/>
      <c r="OOH69" s="8"/>
      <c r="OOI69" s="8"/>
      <c r="OOJ69" s="8"/>
      <c r="OOK69" s="8"/>
      <c r="OOL69" s="8"/>
      <c r="OOM69" s="8"/>
      <c r="OON69" s="8"/>
      <c r="OOO69" s="8"/>
      <c r="OOP69" s="8"/>
      <c r="OOQ69" s="8"/>
      <c r="OOR69" s="8"/>
      <c r="OOS69" s="8"/>
      <c r="OOT69" s="8"/>
      <c r="OOU69" s="8"/>
      <c r="OOV69" s="8"/>
      <c r="OOW69" s="8"/>
      <c r="OOX69" s="8"/>
      <c r="OOY69" s="8"/>
      <c r="OOZ69" s="8"/>
      <c r="OPA69" s="8"/>
      <c r="OPB69" s="8"/>
      <c r="OPC69" s="8"/>
      <c r="OPD69" s="8"/>
      <c r="OPE69" s="8"/>
      <c r="OPF69" s="8"/>
      <c r="OPG69" s="8"/>
      <c r="OPH69" s="8"/>
      <c r="OPI69" s="8"/>
      <c r="OPJ69" s="8"/>
      <c r="OPK69" s="8"/>
      <c r="OPL69" s="8"/>
      <c r="OPM69" s="8"/>
      <c r="OPN69" s="8"/>
      <c r="OPO69" s="8"/>
      <c r="OPP69" s="8"/>
      <c r="OPQ69" s="8"/>
      <c r="OPR69" s="8"/>
      <c r="OPS69" s="8"/>
      <c r="OPT69" s="8"/>
      <c r="OPU69" s="8"/>
      <c r="OPV69" s="8"/>
      <c r="OPW69" s="8"/>
      <c r="OPX69" s="8"/>
      <c r="OPY69" s="8"/>
      <c r="OPZ69" s="8"/>
      <c r="OQA69" s="8"/>
      <c r="OQB69" s="8"/>
      <c r="OQC69" s="8"/>
      <c r="OQD69" s="8"/>
      <c r="OQE69" s="8"/>
      <c r="OQF69" s="8"/>
      <c r="OQG69" s="8"/>
      <c r="OQH69" s="8"/>
      <c r="OQI69" s="8"/>
      <c r="OQJ69" s="8"/>
      <c r="OQK69" s="8"/>
      <c r="OQL69" s="8"/>
      <c r="OQM69" s="8"/>
      <c r="OQN69" s="8"/>
      <c r="OQO69" s="8"/>
      <c r="OQP69" s="8"/>
      <c r="OQQ69" s="8"/>
      <c r="OQR69" s="8"/>
      <c r="OQS69" s="8"/>
      <c r="OQT69" s="8"/>
      <c r="OQU69" s="8"/>
      <c r="OQV69" s="8"/>
      <c r="OQW69" s="8"/>
      <c r="OQX69" s="8"/>
      <c r="OQY69" s="8"/>
      <c r="OQZ69" s="8"/>
      <c r="ORA69" s="8"/>
      <c r="ORB69" s="8"/>
      <c r="ORC69" s="8"/>
      <c r="ORD69" s="8"/>
      <c r="ORE69" s="8"/>
      <c r="ORF69" s="8"/>
      <c r="ORG69" s="8"/>
      <c r="ORH69" s="8"/>
      <c r="ORI69" s="8"/>
      <c r="ORJ69" s="8"/>
      <c r="ORK69" s="8"/>
      <c r="ORL69" s="8"/>
      <c r="ORM69" s="8"/>
      <c r="ORN69" s="8"/>
      <c r="ORO69" s="8"/>
      <c r="ORP69" s="8"/>
      <c r="ORQ69" s="8"/>
      <c r="ORR69" s="8"/>
      <c r="ORS69" s="8"/>
      <c r="ORT69" s="8"/>
      <c r="ORU69" s="8"/>
      <c r="ORV69" s="8"/>
      <c r="ORW69" s="8"/>
      <c r="ORX69" s="8"/>
      <c r="ORY69" s="8"/>
      <c r="ORZ69" s="8"/>
      <c r="OSA69" s="8"/>
      <c r="OSB69" s="8"/>
      <c r="OSC69" s="8"/>
      <c r="OSD69" s="8"/>
      <c r="OSE69" s="8"/>
      <c r="OSF69" s="8"/>
      <c r="OSG69" s="8"/>
      <c r="OSH69" s="8"/>
      <c r="OSI69" s="8"/>
      <c r="OSJ69" s="8"/>
      <c r="OSK69" s="8"/>
      <c r="OSL69" s="8"/>
      <c r="OSM69" s="8"/>
      <c r="OSN69" s="8"/>
      <c r="OSO69" s="8"/>
      <c r="OSP69" s="8"/>
      <c r="OSQ69" s="8"/>
      <c r="OSR69" s="8"/>
      <c r="OSS69" s="8"/>
      <c r="OST69" s="8"/>
      <c r="OSU69" s="8"/>
      <c r="OSV69" s="8"/>
      <c r="OSW69" s="8"/>
      <c r="OSX69" s="8"/>
      <c r="OSY69" s="8"/>
      <c r="OSZ69" s="8"/>
      <c r="OTA69" s="8"/>
      <c r="OTB69" s="8"/>
      <c r="OTC69" s="8"/>
      <c r="OTD69" s="8"/>
      <c r="OTE69" s="8"/>
      <c r="OTF69" s="8"/>
      <c r="OTG69" s="8"/>
      <c r="OTH69" s="8"/>
      <c r="OTI69" s="8"/>
      <c r="OTJ69" s="8"/>
      <c r="OTK69" s="8"/>
      <c r="OTL69" s="8"/>
      <c r="OTM69" s="8"/>
      <c r="OTN69" s="8"/>
      <c r="OTO69" s="8"/>
      <c r="OTP69" s="8"/>
      <c r="OTQ69" s="8"/>
      <c r="OTR69" s="8"/>
      <c r="OTS69" s="8"/>
      <c r="OTT69" s="8"/>
      <c r="OTU69" s="8"/>
      <c r="OTV69" s="8"/>
      <c r="OTW69" s="8"/>
      <c r="OTX69" s="8"/>
      <c r="OTY69" s="8"/>
      <c r="OTZ69" s="8"/>
      <c r="OUA69" s="8"/>
      <c r="OUB69" s="8"/>
      <c r="OUC69" s="8"/>
      <c r="OUD69" s="8"/>
      <c r="OUE69" s="8"/>
      <c r="OUF69" s="8"/>
      <c r="OUG69" s="8"/>
      <c r="OUH69" s="8"/>
      <c r="OUI69" s="8"/>
      <c r="OUJ69" s="8"/>
      <c r="OUK69" s="8"/>
      <c r="OUL69" s="8"/>
      <c r="OUM69" s="8"/>
      <c r="OUN69" s="8"/>
      <c r="OUO69" s="8"/>
      <c r="OUP69" s="8"/>
      <c r="OUQ69" s="8"/>
      <c r="OUR69" s="8"/>
      <c r="OUS69" s="8"/>
      <c r="OUT69" s="8"/>
      <c r="OUU69" s="8"/>
      <c r="OUV69" s="8"/>
      <c r="OUW69" s="8"/>
      <c r="OUX69" s="8"/>
      <c r="OUY69" s="8"/>
      <c r="OUZ69" s="8"/>
      <c r="OVA69" s="8"/>
      <c r="OVB69" s="8"/>
      <c r="OVC69" s="8"/>
      <c r="OVD69" s="8"/>
      <c r="OVE69" s="8"/>
      <c r="OVF69" s="8"/>
      <c r="OVG69" s="8"/>
      <c r="OVH69" s="8"/>
      <c r="OVI69" s="8"/>
      <c r="OVJ69" s="8"/>
      <c r="OVK69" s="8"/>
      <c r="OVL69" s="8"/>
      <c r="OVM69" s="8"/>
      <c r="OVN69" s="8"/>
      <c r="OVO69" s="8"/>
      <c r="OVP69" s="8"/>
      <c r="OVQ69" s="8"/>
      <c r="OVR69" s="8"/>
      <c r="OVS69" s="8"/>
      <c r="OVT69" s="8"/>
      <c r="OVU69" s="8"/>
      <c r="OVV69" s="8"/>
      <c r="OVW69" s="8"/>
      <c r="OVX69" s="8"/>
      <c r="OVY69" s="8"/>
      <c r="OVZ69" s="8"/>
      <c r="OWA69" s="8"/>
      <c r="OWB69" s="8"/>
      <c r="OWC69" s="8"/>
      <c r="OWD69" s="8"/>
      <c r="OWE69" s="8"/>
      <c r="OWF69" s="8"/>
      <c r="OWG69" s="8"/>
      <c r="OWH69" s="8"/>
      <c r="OWI69" s="8"/>
      <c r="OWJ69" s="8"/>
      <c r="OWK69" s="8"/>
      <c r="OWL69" s="8"/>
      <c r="OWM69" s="8"/>
      <c r="OWN69" s="8"/>
      <c r="OWO69" s="8"/>
      <c r="OWP69" s="8"/>
      <c r="OWQ69" s="8"/>
      <c r="OWR69" s="8"/>
      <c r="OWS69" s="8"/>
      <c r="OWT69" s="8"/>
      <c r="OWU69" s="8"/>
      <c r="OWV69" s="8"/>
      <c r="OWW69" s="8"/>
      <c r="OWX69" s="8"/>
      <c r="OWY69" s="8"/>
      <c r="OWZ69" s="8"/>
      <c r="OXA69" s="8"/>
      <c r="OXB69" s="8"/>
      <c r="OXC69" s="8"/>
      <c r="OXD69" s="8"/>
      <c r="OXE69" s="8"/>
      <c r="OXF69" s="8"/>
      <c r="OXG69" s="8"/>
      <c r="OXH69" s="8"/>
      <c r="OXI69" s="8"/>
      <c r="OXJ69" s="8"/>
      <c r="OXK69" s="8"/>
      <c r="OXL69" s="8"/>
      <c r="OXM69" s="8"/>
      <c r="OXN69" s="8"/>
      <c r="OXO69" s="8"/>
      <c r="OXP69" s="8"/>
      <c r="OXQ69" s="8"/>
      <c r="OXR69" s="8"/>
      <c r="OXS69" s="8"/>
      <c r="OXT69" s="8"/>
      <c r="OXU69" s="8"/>
      <c r="OXV69" s="8"/>
      <c r="OXW69" s="8"/>
      <c r="OXX69" s="8"/>
      <c r="OXY69" s="8"/>
      <c r="OXZ69" s="8"/>
      <c r="OYA69" s="8"/>
      <c r="OYB69" s="8"/>
      <c r="OYC69" s="8"/>
      <c r="OYD69" s="8"/>
      <c r="OYE69" s="8"/>
      <c r="OYF69" s="8"/>
      <c r="OYG69" s="8"/>
      <c r="OYH69" s="8"/>
      <c r="OYI69" s="8"/>
      <c r="OYJ69" s="8"/>
      <c r="OYK69" s="8"/>
      <c r="OYL69" s="8"/>
      <c r="OYM69" s="8"/>
      <c r="OYN69" s="8"/>
      <c r="OYO69" s="8"/>
      <c r="OYP69" s="8"/>
      <c r="OYQ69" s="8"/>
      <c r="OYR69" s="8"/>
      <c r="OYS69" s="8"/>
      <c r="OYT69" s="8"/>
      <c r="OYU69" s="8"/>
      <c r="OYV69" s="8"/>
      <c r="OYW69" s="8"/>
      <c r="OYX69" s="8"/>
      <c r="OYY69" s="8"/>
      <c r="OYZ69" s="8"/>
      <c r="OZA69" s="8"/>
      <c r="OZB69" s="8"/>
      <c r="OZC69" s="8"/>
      <c r="OZD69" s="8"/>
      <c r="OZE69" s="8"/>
      <c r="OZF69" s="8"/>
      <c r="OZG69" s="8"/>
      <c r="OZH69" s="8"/>
      <c r="OZI69" s="8"/>
      <c r="OZJ69" s="8"/>
      <c r="OZK69" s="8"/>
      <c r="OZL69" s="8"/>
      <c r="OZM69" s="8"/>
      <c r="OZN69" s="8"/>
      <c r="OZO69" s="8"/>
      <c r="OZP69" s="8"/>
      <c r="OZQ69" s="8"/>
      <c r="OZR69" s="8"/>
      <c r="OZS69" s="8"/>
      <c r="OZT69" s="8"/>
      <c r="OZU69" s="8"/>
      <c r="OZV69" s="8"/>
      <c r="OZW69" s="8"/>
      <c r="OZX69" s="8"/>
      <c r="OZY69" s="8"/>
      <c r="OZZ69" s="8"/>
      <c r="PAA69" s="8"/>
      <c r="PAB69" s="8"/>
      <c r="PAC69" s="8"/>
      <c r="PAD69" s="8"/>
      <c r="PAE69" s="8"/>
      <c r="PAF69" s="8"/>
      <c r="PAG69" s="8"/>
      <c r="PAH69" s="8"/>
      <c r="PAI69" s="8"/>
      <c r="PAJ69" s="8"/>
      <c r="PAK69" s="8"/>
      <c r="PAL69" s="8"/>
      <c r="PAM69" s="8"/>
      <c r="PAN69" s="8"/>
      <c r="PAO69" s="8"/>
      <c r="PAP69" s="8"/>
      <c r="PAQ69" s="8"/>
      <c r="PAR69" s="8"/>
      <c r="PAS69" s="8"/>
      <c r="PAT69" s="8"/>
      <c r="PAU69" s="8"/>
      <c r="PAV69" s="8"/>
      <c r="PAW69" s="8"/>
      <c r="PAX69" s="8"/>
      <c r="PAY69" s="8"/>
      <c r="PAZ69" s="8"/>
      <c r="PBA69" s="8"/>
      <c r="PBB69" s="8"/>
      <c r="PBC69" s="8"/>
      <c r="PBD69" s="8"/>
      <c r="PBE69" s="8"/>
      <c r="PBF69" s="8"/>
      <c r="PBG69" s="8"/>
      <c r="PBH69" s="8"/>
      <c r="PBI69" s="8"/>
      <c r="PBJ69" s="8"/>
      <c r="PBK69" s="8"/>
      <c r="PBL69" s="8"/>
      <c r="PBM69" s="8"/>
      <c r="PBN69" s="8"/>
      <c r="PBO69" s="8"/>
      <c r="PBP69" s="8"/>
      <c r="PBQ69" s="8"/>
      <c r="PBR69" s="8"/>
      <c r="PBS69" s="8"/>
      <c r="PBT69" s="8"/>
      <c r="PBU69" s="8"/>
      <c r="PBV69" s="8"/>
      <c r="PBW69" s="8"/>
      <c r="PBX69" s="8"/>
      <c r="PBY69" s="8"/>
      <c r="PBZ69" s="8"/>
      <c r="PCA69" s="8"/>
      <c r="PCB69" s="8"/>
      <c r="PCC69" s="8"/>
      <c r="PCD69" s="8"/>
      <c r="PCE69" s="8"/>
      <c r="PCF69" s="8"/>
      <c r="PCG69" s="8"/>
      <c r="PCH69" s="8"/>
      <c r="PCI69" s="8"/>
      <c r="PCJ69" s="8"/>
      <c r="PCK69" s="8"/>
      <c r="PCL69" s="8"/>
      <c r="PCM69" s="8"/>
      <c r="PCN69" s="8"/>
      <c r="PCO69" s="8"/>
      <c r="PCP69" s="8"/>
      <c r="PCQ69" s="8"/>
      <c r="PCR69" s="8"/>
      <c r="PCS69" s="8"/>
      <c r="PCT69" s="8"/>
      <c r="PCU69" s="8"/>
      <c r="PCV69" s="8"/>
      <c r="PCW69" s="8"/>
      <c r="PCX69" s="8"/>
      <c r="PCY69" s="8"/>
      <c r="PCZ69" s="8"/>
      <c r="PDA69" s="8"/>
      <c r="PDB69" s="8"/>
      <c r="PDC69" s="8"/>
      <c r="PDD69" s="8"/>
      <c r="PDE69" s="8"/>
      <c r="PDF69" s="8"/>
      <c r="PDG69" s="8"/>
      <c r="PDH69" s="8"/>
      <c r="PDI69" s="8"/>
      <c r="PDJ69" s="8"/>
      <c r="PDK69" s="8"/>
      <c r="PDL69" s="8"/>
      <c r="PDM69" s="8"/>
      <c r="PDN69" s="8"/>
      <c r="PDO69" s="8"/>
      <c r="PDP69" s="8"/>
      <c r="PDQ69" s="8"/>
      <c r="PDR69" s="8"/>
      <c r="PDS69" s="8"/>
      <c r="PDT69" s="8"/>
      <c r="PDU69" s="8"/>
      <c r="PDV69" s="8"/>
      <c r="PDW69" s="8"/>
      <c r="PDX69" s="8"/>
      <c r="PDY69" s="8"/>
      <c r="PDZ69" s="8"/>
      <c r="PEA69" s="8"/>
      <c r="PEB69" s="8"/>
      <c r="PEC69" s="8"/>
      <c r="PED69" s="8"/>
      <c r="PEE69" s="8"/>
      <c r="PEF69" s="8"/>
      <c r="PEG69" s="8"/>
      <c r="PEH69" s="8"/>
      <c r="PEI69" s="8"/>
      <c r="PEJ69" s="8"/>
      <c r="PEK69" s="8"/>
      <c r="PEL69" s="8"/>
      <c r="PEM69" s="8"/>
      <c r="PEN69" s="8"/>
      <c r="PEO69" s="8"/>
      <c r="PEP69" s="8"/>
      <c r="PEQ69" s="8"/>
      <c r="PER69" s="8"/>
      <c r="PES69" s="8"/>
      <c r="PET69" s="8"/>
      <c r="PEU69" s="8"/>
      <c r="PEV69" s="8"/>
      <c r="PEW69" s="8"/>
      <c r="PEX69" s="8"/>
      <c r="PEY69" s="8"/>
      <c r="PEZ69" s="8"/>
      <c r="PFA69" s="8"/>
      <c r="PFB69" s="8"/>
      <c r="PFC69" s="8"/>
      <c r="PFD69" s="8"/>
      <c r="PFE69" s="8"/>
      <c r="PFF69" s="8"/>
      <c r="PFG69" s="8"/>
      <c r="PFH69" s="8"/>
      <c r="PFI69" s="8"/>
      <c r="PFJ69" s="8"/>
      <c r="PFK69" s="8"/>
      <c r="PFL69" s="8"/>
      <c r="PFM69" s="8"/>
      <c r="PFN69" s="8"/>
      <c r="PFO69" s="8"/>
      <c r="PFP69" s="8"/>
      <c r="PFQ69" s="8"/>
      <c r="PFR69" s="8"/>
      <c r="PFS69" s="8"/>
      <c r="PFT69" s="8"/>
      <c r="PFU69" s="8"/>
      <c r="PFV69" s="8"/>
      <c r="PFW69" s="8"/>
      <c r="PFX69" s="8"/>
      <c r="PFY69" s="8"/>
      <c r="PFZ69" s="8"/>
      <c r="PGA69" s="8"/>
      <c r="PGB69" s="8"/>
      <c r="PGC69" s="8"/>
      <c r="PGD69" s="8"/>
      <c r="PGE69" s="8"/>
      <c r="PGF69" s="8"/>
      <c r="PGG69" s="8"/>
      <c r="PGH69" s="8"/>
      <c r="PGI69" s="8"/>
      <c r="PGJ69" s="8"/>
      <c r="PGK69" s="8"/>
      <c r="PGL69" s="8"/>
      <c r="PGM69" s="8"/>
      <c r="PGN69" s="8"/>
      <c r="PGO69" s="8"/>
      <c r="PGP69" s="8"/>
      <c r="PGQ69" s="8"/>
      <c r="PGR69" s="8"/>
      <c r="PGS69" s="8"/>
      <c r="PGT69" s="8"/>
      <c r="PGU69" s="8"/>
      <c r="PGV69" s="8"/>
      <c r="PGW69" s="8"/>
      <c r="PGX69" s="8"/>
      <c r="PGY69" s="8"/>
      <c r="PGZ69" s="8"/>
      <c r="PHA69" s="8"/>
      <c r="PHB69" s="8"/>
      <c r="PHC69" s="8"/>
      <c r="PHD69" s="8"/>
      <c r="PHE69" s="8"/>
      <c r="PHF69" s="8"/>
      <c r="PHG69" s="8"/>
      <c r="PHH69" s="8"/>
      <c r="PHI69" s="8"/>
      <c r="PHJ69" s="8"/>
      <c r="PHK69" s="8"/>
      <c r="PHL69" s="8"/>
      <c r="PHM69" s="8"/>
      <c r="PHN69" s="8"/>
      <c r="PHO69" s="8"/>
      <c r="PHP69" s="8"/>
      <c r="PHQ69" s="8"/>
      <c r="PHR69" s="8"/>
      <c r="PHS69" s="8"/>
      <c r="PHT69" s="8"/>
      <c r="PHU69" s="8"/>
      <c r="PHV69" s="8"/>
      <c r="PHW69" s="8"/>
      <c r="PHX69" s="8"/>
      <c r="PHY69" s="8"/>
      <c r="PHZ69" s="8"/>
      <c r="PIA69" s="8"/>
      <c r="PIB69" s="8"/>
      <c r="PIC69" s="8"/>
      <c r="PID69" s="8"/>
      <c r="PIE69" s="8"/>
      <c r="PIF69" s="8"/>
      <c r="PIG69" s="8"/>
      <c r="PIH69" s="8"/>
      <c r="PII69" s="8"/>
      <c r="PIJ69" s="8"/>
      <c r="PIK69" s="8"/>
      <c r="PIL69" s="8"/>
      <c r="PIM69" s="8"/>
      <c r="PIN69" s="8"/>
      <c r="PIO69" s="8"/>
      <c r="PIP69" s="8"/>
      <c r="PIQ69" s="8"/>
      <c r="PIR69" s="8"/>
      <c r="PIS69" s="8"/>
      <c r="PIT69" s="8"/>
      <c r="PIU69" s="8"/>
      <c r="PIV69" s="8"/>
      <c r="PIW69" s="8"/>
      <c r="PIX69" s="8"/>
      <c r="PIY69" s="8"/>
      <c r="PIZ69" s="8"/>
      <c r="PJA69" s="8"/>
      <c r="PJB69" s="8"/>
      <c r="PJC69" s="8"/>
      <c r="PJD69" s="8"/>
      <c r="PJE69" s="8"/>
      <c r="PJF69" s="8"/>
      <c r="PJG69" s="8"/>
      <c r="PJH69" s="8"/>
      <c r="PJI69" s="8"/>
      <c r="PJJ69" s="8"/>
      <c r="PJK69" s="8"/>
      <c r="PJL69" s="8"/>
      <c r="PJM69" s="8"/>
      <c r="PJN69" s="8"/>
      <c r="PJO69" s="8"/>
      <c r="PJP69" s="8"/>
      <c r="PJQ69" s="8"/>
      <c r="PJR69" s="8"/>
      <c r="PJS69" s="8"/>
      <c r="PJT69" s="8"/>
      <c r="PJU69" s="8"/>
      <c r="PJV69" s="8"/>
      <c r="PJW69" s="8"/>
      <c r="PJX69" s="8"/>
      <c r="PJY69" s="8"/>
      <c r="PJZ69" s="8"/>
      <c r="PKA69" s="8"/>
      <c r="PKB69" s="8"/>
      <c r="PKC69" s="8"/>
      <c r="PKD69" s="8"/>
      <c r="PKE69" s="8"/>
      <c r="PKF69" s="8"/>
      <c r="PKG69" s="8"/>
      <c r="PKH69" s="8"/>
      <c r="PKI69" s="8"/>
      <c r="PKJ69" s="8"/>
      <c r="PKK69" s="8"/>
      <c r="PKL69" s="8"/>
      <c r="PKM69" s="8"/>
      <c r="PKN69" s="8"/>
      <c r="PKO69" s="8"/>
      <c r="PKP69" s="8"/>
      <c r="PKQ69" s="8"/>
      <c r="PKR69" s="8"/>
      <c r="PKS69" s="8"/>
      <c r="PKT69" s="8"/>
      <c r="PKU69" s="8"/>
      <c r="PKV69" s="8"/>
      <c r="PKW69" s="8"/>
      <c r="PKX69" s="8"/>
      <c r="PKY69" s="8"/>
      <c r="PKZ69" s="8"/>
      <c r="PLA69" s="8"/>
      <c r="PLB69" s="8"/>
      <c r="PLC69" s="8"/>
      <c r="PLD69" s="8"/>
      <c r="PLE69" s="8"/>
      <c r="PLF69" s="8"/>
      <c r="PLG69" s="8"/>
      <c r="PLH69" s="8"/>
      <c r="PLI69" s="8"/>
      <c r="PLJ69" s="8"/>
      <c r="PLK69" s="8"/>
      <c r="PLL69" s="8"/>
      <c r="PLM69" s="8"/>
      <c r="PLN69" s="8"/>
      <c r="PLO69" s="8"/>
      <c r="PLP69" s="8"/>
      <c r="PLQ69" s="8"/>
      <c r="PLR69" s="8"/>
      <c r="PLS69" s="8"/>
      <c r="PLT69" s="8"/>
      <c r="PLU69" s="8"/>
      <c r="PLV69" s="8"/>
      <c r="PLW69" s="8"/>
      <c r="PLX69" s="8"/>
      <c r="PLY69" s="8"/>
      <c r="PLZ69" s="8"/>
      <c r="PMA69" s="8"/>
      <c r="PMB69" s="8"/>
      <c r="PMC69" s="8"/>
      <c r="PMD69" s="8"/>
      <c r="PME69" s="8"/>
      <c r="PMF69" s="8"/>
      <c r="PMG69" s="8"/>
      <c r="PMH69" s="8"/>
      <c r="PMI69" s="8"/>
      <c r="PMJ69" s="8"/>
      <c r="PMK69" s="8"/>
      <c r="PML69" s="8"/>
      <c r="PMM69" s="8"/>
      <c r="PMN69" s="8"/>
      <c r="PMO69" s="8"/>
      <c r="PMP69" s="8"/>
      <c r="PMQ69" s="8"/>
      <c r="PMR69" s="8"/>
      <c r="PMS69" s="8"/>
      <c r="PMT69" s="8"/>
      <c r="PMU69" s="8"/>
      <c r="PMV69" s="8"/>
      <c r="PMW69" s="8"/>
      <c r="PMX69" s="8"/>
      <c r="PMY69" s="8"/>
      <c r="PMZ69" s="8"/>
      <c r="PNA69" s="8"/>
      <c r="PNB69" s="8"/>
      <c r="PNC69" s="8"/>
      <c r="PND69" s="8"/>
      <c r="PNE69" s="8"/>
      <c r="PNF69" s="8"/>
      <c r="PNG69" s="8"/>
      <c r="PNH69" s="8"/>
      <c r="PNI69" s="8"/>
      <c r="PNJ69" s="8"/>
      <c r="PNK69" s="8"/>
      <c r="PNL69" s="8"/>
      <c r="PNM69" s="8"/>
      <c r="PNN69" s="8"/>
      <c r="PNO69" s="8"/>
      <c r="PNP69" s="8"/>
      <c r="PNQ69" s="8"/>
      <c r="PNR69" s="8"/>
      <c r="PNS69" s="8"/>
      <c r="PNT69" s="8"/>
      <c r="PNU69" s="8"/>
      <c r="PNV69" s="8"/>
      <c r="PNW69" s="8"/>
      <c r="PNX69" s="8"/>
      <c r="PNY69" s="8"/>
      <c r="PNZ69" s="8"/>
      <c r="POA69" s="8"/>
      <c r="POB69" s="8"/>
      <c r="POC69" s="8"/>
      <c r="POD69" s="8"/>
      <c r="POE69" s="8"/>
      <c r="POF69" s="8"/>
      <c r="POG69" s="8"/>
      <c r="POH69" s="8"/>
      <c r="POI69" s="8"/>
      <c r="POJ69" s="8"/>
      <c r="POK69" s="8"/>
      <c r="POL69" s="8"/>
      <c r="POM69" s="8"/>
      <c r="PON69" s="8"/>
      <c r="POO69" s="8"/>
      <c r="POP69" s="8"/>
      <c r="POQ69" s="8"/>
      <c r="POR69" s="8"/>
      <c r="POS69" s="8"/>
      <c r="POT69" s="8"/>
      <c r="POU69" s="8"/>
      <c r="POV69" s="8"/>
      <c r="POW69" s="8"/>
      <c r="POX69" s="8"/>
      <c r="POY69" s="8"/>
      <c r="POZ69" s="8"/>
      <c r="PPA69" s="8"/>
      <c r="PPB69" s="8"/>
      <c r="PPC69" s="8"/>
      <c r="PPD69" s="8"/>
      <c r="PPE69" s="8"/>
      <c r="PPF69" s="8"/>
      <c r="PPG69" s="8"/>
      <c r="PPH69" s="8"/>
      <c r="PPI69" s="8"/>
      <c r="PPJ69" s="8"/>
      <c r="PPK69" s="8"/>
      <c r="PPL69" s="8"/>
      <c r="PPM69" s="8"/>
      <c r="PPN69" s="8"/>
      <c r="PPO69" s="8"/>
      <c r="PPP69" s="8"/>
      <c r="PPQ69" s="8"/>
      <c r="PPR69" s="8"/>
      <c r="PPS69" s="8"/>
      <c r="PPT69" s="8"/>
      <c r="PPU69" s="8"/>
      <c r="PPV69" s="8"/>
      <c r="PPW69" s="8"/>
      <c r="PPX69" s="8"/>
      <c r="PPY69" s="8"/>
      <c r="PPZ69" s="8"/>
      <c r="PQA69" s="8"/>
      <c r="PQB69" s="8"/>
      <c r="PQC69" s="8"/>
      <c r="PQD69" s="8"/>
      <c r="PQE69" s="8"/>
      <c r="PQF69" s="8"/>
      <c r="PQG69" s="8"/>
      <c r="PQH69" s="8"/>
      <c r="PQI69" s="8"/>
      <c r="PQJ69" s="8"/>
      <c r="PQK69" s="8"/>
      <c r="PQL69" s="8"/>
      <c r="PQM69" s="8"/>
      <c r="PQN69" s="8"/>
      <c r="PQO69" s="8"/>
      <c r="PQP69" s="8"/>
      <c r="PQQ69" s="8"/>
      <c r="PQR69" s="8"/>
      <c r="PQS69" s="8"/>
      <c r="PQT69" s="8"/>
      <c r="PQU69" s="8"/>
      <c r="PQV69" s="8"/>
      <c r="PQW69" s="8"/>
      <c r="PQX69" s="8"/>
      <c r="PQY69" s="8"/>
      <c r="PQZ69" s="8"/>
      <c r="PRA69" s="8"/>
      <c r="PRB69" s="8"/>
      <c r="PRC69" s="8"/>
      <c r="PRD69" s="8"/>
      <c r="PRE69" s="8"/>
      <c r="PRF69" s="8"/>
      <c r="PRG69" s="8"/>
      <c r="PRH69" s="8"/>
      <c r="PRI69" s="8"/>
      <c r="PRJ69" s="8"/>
      <c r="PRK69" s="8"/>
      <c r="PRL69" s="8"/>
      <c r="PRM69" s="8"/>
      <c r="PRN69" s="8"/>
      <c r="PRO69" s="8"/>
      <c r="PRP69" s="8"/>
      <c r="PRQ69" s="8"/>
      <c r="PRR69" s="8"/>
      <c r="PRS69" s="8"/>
      <c r="PRT69" s="8"/>
      <c r="PRU69" s="8"/>
      <c r="PRV69" s="8"/>
      <c r="PRW69" s="8"/>
      <c r="PRX69" s="8"/>
      <c r="PRY69" s="8"/>
      <c r="PRZ69" s="8"/>
      <c r="PSA69" s="8"/>
      <c r="PSB69" s="8"/>
      <c r="PSC69" s="8"/>
      <c r="PSD69" s="8"/>
      <c r="PSE69" s="8"/>
      <c r="PSF69" s="8"/>
      <c r="PSG69" s="8"/>
      <c r="PSH69" s="8"/>
      <c r="PSI69" s="8"/>
      <c r="PSJ69" s="8"/>
      <c r="PSK69" s="8"/>
      <c r="PSL69" s="8"/>
      <c r="PSM69" s="8"/>
      <c r="PSN69" s="8"/>
      <c r="PSO69" s="8"/>
      <c r="PSP69" s="8"/>
      <c r="PSQ69" s="8"/>
      <c r="PSR69" s="8"/>
      <c r="PSS69" s="8"/>
      <c r="PST69" s="8"/>
      <c r="PSU69" s="8"/>
      <c r="PSV69" s="8"/>
      <c r="PSW69" s="8"/>
      <c r="PSX69" s="8"/>
      <c r="PSY69" s="8"/>
      <c r="PSZ69" s="8"/>
      <c r="PTA69" s="8"/>
      <c r="PTB69" s="8"/>
      <c r="PTC69" s="8"/>
      <c r="PTD69" s="8"/>
      <c r="PTE69" s="8"/>
      <c r="PTF69" s="8"/>
      <c r="PTG69" s="8"/>
      <c r="PTH69" s="8"/>
      <c r="PTI69" s="8"/>
      <c r="PTJ69" s="8"/>
      <c r="PTK69" s="8"/>
      <c r="PTL69" s="8"/>
      <c r="PTM69" s="8"/>
      <c r="PTN69" s="8"/>
      <c r="PTO69" s="8"/>
      <c r="PTP69" s="8"/>
      <c r="PTQ69" s="8"/>
      <c r="PTR69" s="8"/>
      <c r="PTS69" s="8"/>
      <c r="PTT69" s="8"/>
      <c r="PTU69" s="8"/>
      <c r="PTV69" s="8"/>
      <c r="PTW69" s="8"/>
      <c r="PTX69" s="8"/>
      <c r="PTY69" s="8"/>
      <c r="PTZ69" s="8"/>
      <c r="PUA69" s="8"/>
      <c r="PUB69" s="8"/>
      <c r="PUC69" s="8"/>
      <c r="PUD69" s="8"/>
      <c r="PUE69" s="8"/>
      <c r="PUF69" s="8"/>
      <c r="PUG69" s="8"/>
      <c r="PUH69" s="8"/>
      <c r="PUI69" s="8"/>
      <c r="PUJ69" s="8"/>
      <c r="PUK69" s="8"/>
      <c r="PUL69" s="8"/>
      <c r="PUM69" s="8"/>
      <c r="PUN69" s="8"/>
      <c r="PUO69" s="8"/>
      <c r="PUP69" s="8"/>
      <c r="PUQ69" s="8"/>
      <c r="PUR69" s="8"/>
      <c r="PUS69" s="8"/>
      <c r="PUT69" s="8"/>
      <c r="PUU69" s="8"/>
      <c r="PUV69" s="8"/>
      <c r="PUW69" s="8"/>
      <c r="PUX69" s="8"/>
      <c r="PUY69" s="8"/>
      <c r="PUZ69" s="8"/>
      <c r="PVA69" s="8"/>
      <c r="PVB69" s="8"/>
      <c r="PVC69" s="8"/>
      <c r="PVD69" s="8"/>
      <c r="PVE69" s="8"/>
      <c r="PVF69" s="8"/>
      <c r="PVG69" s="8"/>
      <c r="PVH69" s="8"/>
      <c r="PVI69" s="8"/>
      <c r="PVJ69" s="8"/>
      <c r="PVK69" s="8"/>
      <c r="PVL69" s="8"/>
      <c r="PVM69" s="8"/>
      <c r="PVN69" s="8"/>
      <c r="PVO69" s="8"/>
      <c r="PVP69" s="8"/>
      <c r="PVQ69" s="8"/>
      <c r="PVR69" s="8"/>
      <c r="PVS69" s="8"/>
      <c r="PVT69" s="8"/>
      <c r="PVU69" s="8"/>
      <c r="PVV69" s="8"/>
      <c r="PVW69" s="8"/>
      <c r="PVX69" s="8"/>
      <c r="PVY69" s="8"/>
      <c r="PVZ69" s="8"/>
      <c r="PWA69" s="8"/>
      <c r="PWB69" s="8"/>
      <c r="PWC69" s="8"/>
      <c r="PWD69" s="8"/>
      <c r="PWE69" s="8"/>
      <c r="PWF69" s="8"/>
      <c r="PWG69" s="8"/>
      <c r="PWH69" s="8"/>
      <c r="PWI69" s="8"/>
      <c r="PWJ69" s="8"/>
      <c r="PWK69" s="8"/>
      <c r="PWL69" s="8"/>
      <c r="PWM69" s="8"/>
      <c r="PWN69" s="8"/>
      <c r="PWO69" s="8"/>
      <c r="PWP69" s="8"/>
      <c r="PWQ69" s="8"/>
      <c r="PWR69" s="8"/>
      <c r="PWS69" s="8"/>
      <c r="PWT69" s="8"/>
      <c r="PWU69" s="8"/>
      <c r="PWV69" s="8"/>
      <c r="PWW69" s="8"/>
      <c r="PWX69" s="8"/>
      <c r="PWY69" s="8"/>
      <c r="PWZ69" s="8"/>
      <c r="PXA69" s="8"/>
      <c r="PXB69" s="8"/>
      <c r="PXC69" s="8"/>
      <c r="PXD69" s="8"/>
      <c r="PXE69" s="8"/>
      <c r="PXF69" s="8"/>
      <c r="PXG69" s="8"/>
      <c r="PXH69" s="8"/>
      <c r="PXI69" s="8"/>
      <c r="PXJ69" s="8"/>
      <c r="PXK69" s="8"/>
      <c r="PXL69" s="8"/>
      <c r="PXM69" s="8"/>
      <c r="PXN69" s="8"/>
      <c r="PXO69" s="8"/>
      <c r="PXP69" s="8"/>
      <c r="PXQ69" s="8"/>
      <c r="PXR69" s="8"/>
      <c r="PXS69" s="8"/>
      <c r="PXT69" s="8"/>
      <c r="PXU69" s="8"/>
      <c r="PXV69" s="8"/>
      <c r="PXW69" s="8"/>
      <c r="PXX69" s="8"/>
      <c r="PXY69" s="8"/>
      <c r="PXZ69" s="8"/>
      <c r="PYA69" s="8"/>
      <c r="PYB69" s="8"/>
      <c r="PYC69" s="8"/>
      <c r="PYD69" s="8"/>
      <c r="PYE69" s="8"/>
      <c r="PYF69" s="8"/>
      <c r="PYG69" s="8"/>
      <c r="PYH69" s="8"/>
      <c r="PYI69" s="8"/>
      <c r="PYJ69" s="8"/>
      <c r="PYK69" s="8"/>
      <c r="PYL69" s="8"/>
      <c r="PYM69" s="8"/>
      <c r="PYN69" s="8"/>
      <c r="PYO69" s="8"/>
      <c r="PYP69" s="8"/>
      <c r="PYQ69" s="8"/>
      <c r="PYR69" s="8"/>
      <c r="PYS69" s="8"/>
      <c r="PYT69" s="8"/>
      <c r="PYU69" s="8"/>
      <c r="PYV69" s="8"/>
      <c r="PYW69" s="8"/>
      <c r="PYX69" s="8"/>
      <c r="PYY69" s="8"/>
      <c r="PYZ69" s="8"/>
      <c r="PZA69" s="8"/>
      <c r="PZB69" s="8"/>
      <c r="PZC69" s="8"/>
      <c r="PZD69" s="8"/>
      <c r="PZE69" s="8"/>
      <c r="PZF69" s="8"/>
      <c r="PZG69" s="8"/>
      <c r="PZH69" s="8"/>
      <c r="PZI69" s="8"/>
      <c r="PZJ69" s="8"/>
      <c r="PZK69" s="8"/>
      <c r="PZL69" s="8"/>
      <c r="PZM69" s="8"/>
      <c r="PZN69" s="8"/>
      <c r="PZO69" s="8"/>
      <c r="PZP69" s="8"/>
      <c r="PZQ69" s="8"/>
      <c r="PZR69" s="8"/>
      <c r="PZS69" s="8"/>
      <c r="PZT69" s="8"/>
      <c r="PZU69" s="8"/>
      <c r="PZV69" s="8"/>
      <c r="PZW69" s="8"/>
      <c r="PZX69" s="8"/>
      <c r="PZY69" s="8"/>
      <c r="PZZ69" s="8"/>
      <c r="QAA69" s="8"/>
      <c r="QAB69" s="8"/>
      <c r="QAC69" s="8"/>
      <c r="QAD69" s="8"/>
      <c r="QAE69" s="8"/>
      <c r="QAF69" s="8"/>
      <c r="QAG69" s="8"/>
      <c r="QAH69" s="8"/>
      <c r="QAI69" s="8"/>
      <c r="QAJ69" s="8"/>
      <c r="QAK69" s="8"/>
      <c r="QAL69" s="8"/>
      <c r="QAM69" s="8"/>
      <c r="QAN69" s="8"/>
      <c r="QAO69" s="8"/>
      <c r="QAP69" s="8"/>
      <c r="QAQ69" s="8"/>
      <c r="QAR69" s="8"/>
      <c r="QAS69" s="8"/>
      <c r="QAT69" s="8"/>
      <c r="QAU69" s="8"/>
      <c r="QAV69" s="8"/>
      <c r="QAW69" s="8"/>
      <c r="QAX69" s="8"/>
      <c r="QAY69" s="8"/>
      <c r="QAZ69" s="8"/>
      <c r="QBA69" s="8"/>
      <c r="QBB69" s="8"/>
      <c r="QBC69" s="8"/>
      <c r="QBD69" s="8"/>
      <c r="QBE69" s="8"/>
      <c r="QBF69" s="8"/>
      <c r="QBG69" s="8"/>
      <c r="QBH69" s="8"/>
      <c r="QBI69" s="8"/>
      <c r="QBJ69" s="8"/>
      <c r="QBK69" s="8"/>
      <c r="QBL69" s="8"/>
      <c r="QBM69" s="8"/>
      <c r="QBN69" s="8"/>
      <c r="QBO69" s="8"/>
      <c r="QBP69" s="8"/>
      <c r="QBQ69" s="8"/>
      <c r="QBR69" s="8"/>
      <c r="QBS69" s="8"/>
      <c r="QBT69" s="8"/>
      <c r="QBU69" s="8"/>
      <c r="QBV69" s="8"/>
      <c r="QBW69" s="8"/>
      <c r="QBX69" s="8"/>
      <c r="QBY69" s="8"/>
      <c r="QBZ69" s="8"/>
      <c r="QCA69" s="8"/>
      <c r="QCB69" s="8"/>
      <c r="QCC69" s="8"/>
      <c r="QCD69" s="8"/>
      <c r="QCE69" s="8"/>
      <c r="QCF69" s="8"/>
      <c r="QCG69" s="8"/>
      <c r="QCH69" s="8"/>
      <c r="QCI69" s="8"/>
      <c r="QCJ69" s="8"/>
      <c r="QCK69" s="8"/>
      <c r="QCL69" s="8"/>
      <c r="QCM69" s="8"/>
      <c r="QCN69" s="8"/>
      <c r="QCO69" s="8"/>
      <c r="QCP69" s="8"/>
      <c r="QCQ69" s="8"/>
      <c r="QCR69" s="8"/>
      <c r="QCS69" s="8"/>
      <c r="QCT69" s="8"/>
      <c r="QCU69" s="8"/>
      <c r="QCV69" s="8"/>
      <c r="QCW69" s="8"/>
      <c r="QCX69" s="8"/>
      <c r="QCY69" s="8"/>
      <c r="QCZ69" s="8"/>
      <c r="QDA69" s="8"/>
      <c r="QDB69" s="8"/>
      <c r="QDC69" s="8"/>
      <c r="QDD69" s="8"/>
      <c r="QDE69" s="8"/>
      <c r="QDF69" s="8"/>
      <c r="QDG69" s="8"/>
      <c r="QDH69" s="8"/>
      <c r="QDI69" s="8"/>
      <c r="QDJ69" s="8"/>
      <c r="QDK69" s="8"/>
      <c r="QDL69" s="8"/>
      <c r="QDM69" s="8"/>
      <c r="QDN69" s="8"/>
      <c r="QDO69" s="8"/>
      <c r="QDP69" s="8"/>
      <c r="QDQ69" s="8"/>
      <c r="QDR69" s="8"/>
      <c r="QDS69" s="8"/>
      <c r="QDT69" s="8"/>
      <c r="QDU69" s="8"/>
      <c r="QDV69" s="8"/>
      <c r="QDW69" s="8"/>
      <c r="QDX69" s="8"/>
      <c r="QDY69" s="8"/>
      <c r="QDZ69" s="8"/>
      <c r="QEA69" s="8"/>
      <c r="QEB69" s="8"/>
      <c r="QEC69" s="8"/>
      <c r="QED69" s="8"/>
      <c r="QEE69" s="8"/>
      <c r="QEF69" s="8"/>
      <c r="QEG69" s="8"/>
      <c r="QEH69" s="8"/>
      <c r="QEI69" s="8"/>
      <c r="QEJ69" s="8"/>
      <c r="QEK69" s="8"/>
      <c r="QEL69" s="8"/>
      <c r="QEM69" s="8"/>
      <c r="QEN69" s="8"/>
      <c r="QEO69" s="8"/>
      <c r="QEP69" s="8"/>
      <c r="QEQ69" s="8"/>
      <c r="QER69" s="8"/>
      <c r="QES69" s="8"/>
      <c r="QET69" s="8"/>
      <c r="QEU69" s="8"/>
      <c r="QEV69" s="8"/>
      <c r="QEW69" s="8"/>
      <c r="QEX69" s="8"/>
      <c r="QEY69" s="8"/>
      <c r="QEZ69" s="8"/>
      <c r="QFA69" s="8"/>
      <c r="QFB69" s="8"/>
      <c r="QFC69" s="8"/>
      <c r="QFD69" s="8"/>
      <c r="QFE69" s="8"/>
      <c r="QFF69" s="8"/>
      <c r="QFG69" s="8"/>
      <c r="QFH69" s="8"/>
      <c r="QFI69" s="8"/>
      <c r="QFJ69" s="8"/>
      <c r="QFK69" s="8"/>
      <c r="QFL69" s="8"/>
      <c r="QFM69" s="8"/>
      <c r="QFN69" s="8"/>
      <c r="QFO69" s="8"/>
      <c r="QFP69" s="8"/>
      <c r="QFQ69" s="8"/>
      <c r="QFR69" s="8"/>
      <c r="QFS69" s="8"/>
      <c r="QFT69" s="8"/>
      <c r="QFU69" s="8"/>
      <c r="QFV69" s="8"/>
      <c r="QFW69" s="8"/>
      <c r="QFX69" s="8"/>
      <c r="QFY69" s="8"/>
      <c r="QFZ69" s="8"/>
      <c r="QGA69" s="8"/>
      <c r="QGB69" s="8"/>
      <c r="QGC69" s="8"/>
      <c r="QGD69" s="8"/>
      <c r="QGE69" s="8"/>
      <c r="QGF69" s="8"/>
      <c r="QGG69" s="8"/>
      <c r="QGH69" s="8"/>
      <c r="QGI69" s="8"/>
      <c r="QGJ69" s="8"/>
      <c r="QGK69" s="8"/>
      <c r="QGL69" s="8"/>
      <c r="QGM69" s="8"/>
      <c r="QGN69" s="8"/>
      <c r="QGO69" s="8"/>
      <c r="QGP69" s="8"/>
      <c r="QGQ69" s="8"/>
      <c r="QGR69" s="8"/>
      <c r="QGS69" s="8"/>
      <c r="QGT69" s="8"/>
      <c r="QGU69" s="8"/>
      <c r="QGV69" s="8"/>
      <c r="QGW69" s="8"/>
      <c r="QGX69" s="8"/>
      <c r="QGY69" s="8"/>
      <c r="QGZ69" s="8"/>
      <c r="QHA69" s="8"/>
      <c r="QHB69" s="8"/>
      <c r="QHC69" s="8"/>
      <c r="QHD69" s="8"/>
      <c r="QHE69" s="8"/>
      <c r="QHF69" s="8"/>
      <c r="QHG69" s="8"/>
      <c r="QHH69" s="8"/>
      <c r="QHI69" s="8"/>
      <c r="QHJ69" s="8"/>
      <c r="QHK69" s="8"/>
      <c r="QHL69" s="8"/>
      <c r="QHM69" s="8"/>
      <c r="QHN69" s="8"/>
      <c r="QHO69" s="8"/>
      <c r="QHP69" s="8"/>
      <c r="QHQ69" s="8"/>
      <c r="QHR69" s="8"/>
      <c r="QHS69" s="8"/>
      <c r="QHT69" s="8"/>
      <c r="QHU69" s="8"/>
      <c r="QHV69" s="8"/>
      <c r="QHW69" s="8"/>
      <c r="QHX69" s="8"/>
      <c r="QHY69" s="8"/>
      <c r="QHZ69" s="8"/>
      <c r="QIA69" s="8"/>
      <c r="QIB69" s="8"/>
      <c r="QIC69" s="8"/>
      <c r="QID69" s="8"/>
      <c r="QIE69" s="8"/>
      <c r="QIF69" s="8"/>
      <c r="QIG69" s="8"/>
      <c r="QIH69" s="8"/>
      <c r="QII69" s="8"/>
      <c r="QIJ69" s="8"/>
      <c r="QIK69" s="8"/>
      <c r="QIL69" s="8"/>
      <c r="QIM69" s="8"/>
      <c r="QIN69" s="8"/>
      <c r="QIO69" s="8"/>
      <c r="QIP69" s="8"/>
      <c r="QIQ69" s="8"/>
      <c r="QIR69" s="8"/>
      <c r="QIS69" s="8"/>
      <c r="QIT69" s="8"/>
      <c r="QIU69" s="8"/>
      <c r="QIV69" s="8"/>
      <c r="QIW69" s="8"/>
      <c r="QIX69" s="8"/>
      <c r="QIY69" s="8"/>
      <c r="QIZ69" s="8"/>
      <c r="QJA69" s="8"/>
      <c r="QJB69" s="8"/>
      <c r="QJC69" s="8"/>
      <c r="QJD69" s="8"/>
      <c r="QJE69" s="8"/>
      <c r="QJF69" s="8"/>
      <c r="QJG69" s="8"/>
      <c r="QJH69" s="8"/>
      <c r="QJI69" s="8"/>
      <c r="QJJ69" s="8"/>
      <c r="QJK69" s="8"/>
      <c r="QJL69" s="8"/>
      <c r="QJM69" s="8"/>
      <c r="QJN69" s="8"/>
      <c r="QJO69" s="8"/>
      <c r="QJP69" s="8"/>
      <c r="QJQ69" s="8"/>
      <c r="QJR69" s="8"/>
      <c r="QJS69" s="8"/>
      <c r="QJT69" s="8"/>
      <c r="QJU69" s="8"/>
      <c r="QJV69" s="8"/>
      <c r="QJW69" s="8"/>
      <c r="QJX69" s="8"/>
      <c r="QJY69" s="8"/>
      <c r="QJZ69" s="8"/>
      <c r="QKA69" s="8"/>
      <c r="QKB69" s="8"/>
      <c r="QKC69" s="8"/>
      <c r="QKD69" s="8"/>
      <c r="QKE69" s="8"/>
      <c r="QKF69" s="8"/>
      <c r="QKG69" s="8"/>
      <c r="QKH69" s="8"/>
      <c r="QKI69" s="8"/>
      <c r="QKJ69" s="8"/>
      <c r="QKK69" s="8"/>
      <c r="QKL69" s="8"/>
      <c r="QKM69" s="8"/>
      <c r="QKN69" s="8"/>
      <c r="QKO69" s="8"/>
      <c r="QKP69" s="8"/>
      <c r="QKQ69" s="8"/>
      <c r="QKR69" s="8"/>
      <c r="QKS69" s="8"/>
      <c r="QKT69" s="8"/>
      <c r="QKU69" s="8"/>
      <c r="QKV69" s="8"/>
      <c r="QKW69" s="8"/>
      <c r="QKX69" s="8"/>
      <c r="QKY69" s="8"/>
      <c r="QKZ69" s="8"/>
      <c r="QLA69" s="8"/>
      <c r="QLB69" s="8"/>
      <c r="QLC69" s="8"/>
      <c r="QLD69" s="8"/>
      <c r="QLE69" s="8"/>
      <c r="QLF69" s="8"/>
      <c r="QLG69" s="8"/>
      <c r="QLH69" s="8"/>
      <c r="QLI69" s="8"/>
      <c r="QLJ69" s="8"/>
      <c r="QLK69" s="8"/>
      <c r="QLL69" s="8"/>
      <c r="QLM69" s="8"/>
      <c r="QLN69" s="8"/>
      <c r="QLO69" s="8"/>
      <c r="QLP69" s="8"/>
      <c r="QLQ69" s="8"/>
      <c r="QLR69" s="8"/>
      <c r="QLS69" s="8"/>
      <c r="QLT69" s="8"/>
      <c r="QLU69" s="8"/>
      <c r="QLV69" s="8"/>
      <c r="QLW69" s="8"/>
      <c r="QLX69" s="8"/>
      <c r="QLY69" s="8"/>
      <c r="QLZ69" s="8"/>
      <c r="QMA69" s="8"/>
      <c r="QMB69" s="8"/>
      <c r="QMC69" s="8"/>
      <c r="QMD69" s="8"/>
      <c r="QME69" s="8"/>
      <c r="QMF69" s="8"/>
      <c r="QMG69" s="8"/>
      <c r="QMH69" s="8"/>
      <c r="QMI69" s="8"/>
      <c r="QMJ69" s="8"/>
      <c r="QMK69" s="8"/>
      <c r="QML69" s="8"/>
      <c r="QMM69" s="8"/>
      <c r="QMN69" s="8"/>
      <c r="QMO69" s="8"/>
      <c r="QMP69" s="8"/>
      <c r="QMQ69" s="8"/>
      <c r="QMR69" s="8"/>
      <c r="QMS69" s="8"/>
      <c r="QMT69" s="8"/>
      <c r="QMU69" s="8"/>
      <c r="QMV69" s="8"/>
      <c r="QMW69" s="8"/>
      <c r="QMX69" s="8"/>
      <c r="QMY69" s="8"/>
      <c r="QMZ69" s="8"/>
      <c r="QNA69" s="8"/>
      <c r="QNB69" s="8"/>
      <c r="QNC69" s="8"/>
      <c r="QND69" s="8"/>
      <c r="QNE69" s="8"/>
      <c r="QNF69" s="8"/>
      <c r="QNG69" s="8"/>
      <c r="QNH69" s="8"/>
      <c r="QNI69" s="8"/>
      <c r="QNJ69" s="8"/>
      <c r="QNK69" s="8"/>
      <c r="QNL69" s="8"/>
      <c r="QNM69" s="8"/>
      <c r="QNN69" s="8"/>
      <c r="QNO69" s="8"/>
      <c r="QNP69" s="8"/>
      <c r="QNQ69" s="8"/>
      <c r="QNR69" s="8"/>
      <c r="QNS69" s="8"/>
      <c r="QNT69" s="8"/>
      <c r="QNU69" s="8"/>
      <c r="QNV69" s="8"/>
      <c r="QNW69" s="8"/>
      <c r="QNX69" s="8"/>
      <c r="QNY69" s="8"/>
      <c r="QNZ69" s="8"/>
      <c r="QOA69" s="8"/>
      <c r="QOB69" s="8"/>
      <c r="QOC69" s="8"/>
      <c r="QOD69" s="8"/>
      <c r="QOE69" s="8"/>
      <c r="QOF69" s="8"/>
      <c r="QOG69" s="8"/>
      <c r="QOH69" s="8"/>
      <c r="QOI69" s="8"/>
      <c r="QOJ69" s="8"/>
      <c r="QOK69" s="8"/>
      <c r="QOL69" s="8"/>
      <c r="QOM69" s="8"/>
      <c r="QON69" s="8"/>
      <c r="QOO69" s="8"/>
      <c r="QOP69" s="8"/>
      <c r="QOQ69" s="8"/>
      <c r="QOR69" s="8"/>
      <c r="QOS69" s="8"/>
      <c r="QOT69" s="8"/>
      <c r="QOU69" s="8"/>
      <c r="QOV69" s="8"/>
      <c r="QOW69" s="8"/>
      <c r="QOX69" s="8"/>
      <c r="QOY69" s="8"/>
      <c r="QOZ69" s="8"/>
      <c r="QPA69" s="8"/>
      <c r="QPB69" s="8"/>
      <c r="QPC69" s="8"/>
      <c r="QPD69" s="8"/>
      <c r="QPE69" s="8"/>
      <c r="QPF69" s="8"/>
      <c r="QPG69" s="8"/>
      <c r="QPH69" s="8"/>
      <c r="QPI69" s="8"/>
      <c r="QPJ69" s="8"/>
      <c r="QPK69" s="8"/>
      <c r="QPL69" s="8"/>
      <c r="QPM69" s="8"/>
      <c r="QPN69" s="8"/>
      <c r="QPO69" s="8"/>
      <c r="QPP69" s="8"/>
      <c r="QPQ69" s="8"/>
      <c r="QPR69" s="8"/>
      <c r="QPS69" s="8"/>
      <c r="QPT69" s="8"/>
      <c r="QPU69" s="8"/>
      <c r="QPV69" s="8"/>
      <c r="QPW69" s="8"/>
      <c r="QPX69" s="8"/>
      <c r="QPY69" s="8"/>
      <c r="QPZ69" s="8"/>
      <c r="QQA69" s="8"/>
      <c r="QQB69" s="8"/>
      <c r="QQC69" s="8"/>
      <c r="QQD69" s="8"/>
      <c r="QQE69" s="8"/>
      <c r="QQF69" s="8"/>
      <c r="QQG69" s="8"/>
      <c r="QQH69" s="8"/>
      <c r="QQI69" s="8"/>
      <c r="QQJ69" s="8"/>
      <c r="QQK69" s="8"/>
      <c r="QQL69" s="8"/>
      <c r="QQM69" s="8"/>
      <c r="QQN69" s="8"/>
      <c r="QQO69" s="8"/>
      <c r="QQP69" s="8"/>
      <c r="QQQ69" s="8"/>
      <c r="QQR69" s="8"/>
      <c r="QQS69" s="8"/>
      <c r="QQT69" s="8"/>
      <c r="QQU69" s="8"/>
      <c r="QQV69" s="8"/>
      <c r="QQW69" s="8"/>
      <c r="QQX69" s="8"/>
      <c r="QQY69" s="8"/>
      <c r="QQZ69" s="8"/>
      <c r="QRA69" s="8"/>
      <c r="QRB69" s="8"/>
      <c r="QRC69" s="8"/>
      <c r="QRD69" s="8"/>
      <c r="QRE69" s="8"/>
      <c r="QRF69" s="8"/>
      <c r="QRG69" s="8"/>
      <c r="QRH69" s="8"/>
      <c r="QRI69" s="8"/>
      <c r="QRJ69" s="8"/>
      <c r="QRK69" s="8"/>
      <c r="QRL69" s="8"/>
      <c r="QRM69" s="8"/>
      <c r="QRN69" s="8"/>
      <c r="QRO69" s="8"/>
      <c r="QRP69" s="8"/>
      <c r="QRQ69" s="8"/>
      <c r="QRR69" s="8"/>
      <c r="QRS69" s="8"/>
      <c r="QRT69" s="8"/>
      <c r="QRU69" s="8"/>
      <c r="QRV69" s="8"/>
      <c r="QRW69" s="8"/>
      <c r="QRX69" s="8"/>
      <c r="QRY69" s="8"/>
      <c r="QRZ69" s="8"/>
      <c r="QSA69" s="8"/>
      <c r="QSB69" s="8"/>
      <c r="QSC69" s="8"/>
      <c r="QSD69" s="8"/>
      <c r="QSE69" s="8"/>
      <c r="QSF69" s="8"/>
      <c r="QSG69" s="8"/>
      <c r="QSH69" s="8"/>
      <c r="QSI69" s="8"/>
      <c r="QSJ69" s="8"/>
      <c r="QSK69" s="8"/>
      <c r="QSL69" s="8"/>
      <c r="QSM69" s="8"/>
      <c r="QSN69" s="8"/>
      <c r="QSO69" s="8"/>
      <c r="QSP69" s="8"/>
      <c r="QSQ69" s="8"/>
      <c r="QSR69" s="8"/>
      <c r="QSS69" s="8"/>
      <c r="QST69" s="8"/>
      <c r="QSU69" s="8"/>
      <c r="QSV69" s="8"/>
      <c r="QSW69" s="8"/>
      <c r="QSX69" s="8"/>
      <c r="QSY69" s="8"/>
      <c r="QSZ69" s="8"/>
      <c r="QTA69" s="8"/>
      <c r="QTB69" s="8"/>
      <c r="QTC69" s="8"/>
      <c r="QTD69" s="8"/>
      <c r="QTE69" s="8"/>
      <c r="QTF69" s="8"/>
      <c r="QTG69" s="8"/>
      <c r="QTH69" s="8"/>
      <c r="QTI69" s="8"/>
      <c r="QTJ69" s="8"/>
      <c r="QTK69" s="8"/>
      <c r="QTL69" s="8"/>
      <c r="QTM69" s="8"/>
      <c r="QTN69" s="8"/>
      <c r="QTO69" s="8"/>
      <c r="QTP69" s="8"/>
      <c r="QTQ69" s="8"/>
      <c r="QTR69" s="8"/>
      <c r="QTS69" s="8"/>
      <c r="QTT69" s="8"/>
      <c r="QTU69" s="8"/>
      <c r="QTV69" s="8"/>
      <c r="QTW69" s="8"/>
      <c r="QTX69" s="8"/>
      <c r="QTY69" s="8"/>
      <c r="QTZ69" s="8"/>
      <c r="QUA69" s="8"/>
      <c r="QUB69" s="8"/>
      <c r="QUC69" s="8"/>
      <c r="QUD69" s="8"/>
      <c r="QUE69" s="8"/>
      <c r="QUF69" s="8"/>
      <c r="QUG69" s="8"/>
      <c r="QUH69" s="8"/>
      <c r="QUI69" s="8"/>
      <c r="QUJ69" s="8"/>
      <c r="QUK69" s="8"/>
      <c r="QUL69" s="8"/>
      <c r="QUM69" s="8"/>
      <c r="QUN69" s="8"/>
      <c r="QUO69" s="8"/>
      <c r="QUP69" s="8"/>
      <c r="QUQ69" s="8"/>
      <c r="QUR69" s="8"/>
      <c r="QUS69" s="8"/>
      <c r="QUT69" s="8"/>
      <c r="QUU69" s="8"/>
      <c r="QUV69" s="8"/>
      <c r="QUW69" s="8"/>
      <c r="QUX69" s="8"/>
      <c r="QUY69" s="8"/>
      <c r="QUZ69" s="8"/>
      <c r="QVA69" s="8"/>
      <c r="QVB69" s="8"/>
      <c r="QVC69" s="8"/>
      <c r="QVD69" s="8"/>
      <c r="QVE69" s="8"/>
      <c r="QVF69" s="8"/>
      <c r="QVG69" s="8"/>
      <c r="QVH69" s="8"/>
      <c r="QVI69" s="8"/>
      <c r="QVJ69" s="8"/>
      <c r="QVK69" s="8"/>
      <c r="QVL69" s="8"/>
      <c r="QVM69" s="8"/>
      <c r="QVN69" s="8"/>
      <c r="QVO69" s="8"/>
      <c r="QVP69" s="8"/>
      <c r="QVQ69" s="8"/>
      <c r="QVR69" s="8"/>
      <c r="QVS69" s="8"/>
      <c r="QVT69" s="8"/>
      <c r="QVU69" s="8"/>
      <c r="QVV69" s="8"/>
      <c r="QVW69" s="8"/>
      <c r="QVX69" s="8"/>
      <c r="QVY69" s="8"/>
      <c r="QVZ69" s="8"/>
      <c r="QWA69" s="8"/>
      <c r="QWB69" s="8"/>
      <c r="QWC69" s="8"/>
      <c r="QWD69" s="8"/>
      <c r="QWE69" s="8"/>
      <c r="QWF69" s="8"/>
      <c r="QWG69" s="8"/>
      <c r="QWH69" s="8"/>
      <c r="QWI69" s="8"/>
      <c r="QWJ69" s="8"/>
      <c r="QWK69" s="8"/>
      <c r="QWL69" s="8"/>
      <c r="QWM69" s="8"/>
      <c r="QWN69" s="8"/>
      <c r="QWO69" s="8"/>
      <c r="QWP69" s="8"/>
      <c r="QWQ69" s="8"/>
      <c r="QWR69" s="8"/>
      <c r="QWS69" s="8"/>
      <c r="QWT69" s="8"/>
      <c r="QWU69" s="8"/>
      <c r="QWV69" s="8"/>
      <c r="QWW69" s="8"/>
      <c r="QWX69" s="8"/>
      <c r="QWY69" s="8"/>
      <c r="QWZ69" s="8"/>
      <c r="QXA69" s="8"/>
      <c r="QXB69" s="8"/>
      <c r="QXC69" s="8"/>
      <c r="QXD69" s="8"/>
      <c r="QXE69" s="8"/>
      <c r="QXF69" s="8"/>
      <c r="QXG69" s="8"/>
      <c r="QXH69" s="8"/>
      <c r="QXI69" s="8"/>
      <c r="QXJ69" s="8"/>
      <c r="QXK69" s="8"/>
      <c r="QXL69" s="8"/>
      <c r="QXM69" s="8"/>
      <c r="QXN69" s="8"/>
      <c r="QXO69" s="8"/>
      <c r="QXP69" s="8"/>
      <c r="QXQ69" s="8"/>
      <c r="QXR69" s="8"/>
      <c r="QXS69" s="8"/>
      <c r="QXT69" s="8"/>
      <c r="QXU69" s="8"/>
      <c r="QXV69" s="8"/>
      <c r="QXW69" s="8"/>
      <c r="QXX69" s="8"/>
      <c r="QXY69" s="8"/>
      <c r="QXZ69" s="8"/>
      <c r="QYA69" s="8"/>
      <c r="QYB69" s="8"/>
      <c r="QYC69" s="8"/>
      <c r="QYD69" s="8"/>
      <c r="QYE69" s="8"/>
      <c r="QYF69" s="8"/>
      <c r="QYG69" s="8"/>
      <c r="QYH69" s="8"/>
      <c r="QYI69" s="8"/>
      <c r="QYJ69" s="8"/>
      <c r="QYK69" s="8"/>
      <c r="QYL69" s="8"/>
      <c r="QYM69" s="8"/>
      <c r="QYN69" s="8"/>
      <c r="QYO69" s="8"/>
      <c r="QYP69" s="8"/>
      <c r="QYQ69" s="8"/>
      <c r="QYR69" s="8"/>
      <c r="QYS69" s="8"/>
      <c r="QYT69" s="8"/>
      <c r="QYU69" s="8"/>
      <c r="QYV69" s="8"/>
      <c r="QYW69" s="8"/>
      <c r="QYX69" s="8"/>
      <c r="QYY69" s="8"/>
      <c r="QYZ69" s="8"/>
      <c r="QZA69" s="8"/>
      <c r="QZB69" s="8"/>
      <c r="QZC69" s="8"/>
      <c r="QZD69" s="8"/>
      <c r="QZE69" s="8"/>
      <c r="QZF69" s="8"/>
      <c r="QZG69" s="8"/>
      <c r="QZH69" s="8"/>
      <c r="QZI69" s="8"/>
      <c r="QZJ69" s="8"/>
      <c r="QZK69" s="8"/>
      <c r="QZL69" s="8"/>
      <c r="QZM69" s="8"/>
      <c r="QZN69" s="8"/>
      <c r="QZO69" s="8"/>
      <c r="QZP69" s="8"/>
      <c r="QZQ69" s="8"/>
      <c r="QZR69" s="8"/>
      <c r="QZS69" s="8"/>
      <c r="QZT69" s="8"/>
      <c r="QZU69" s="8"/>
      <c r="QZV69" s="8"/>
      <c r="QZW69" s="8"/>
      <c r="QZX69" s="8"/>
      <c r="QZY69" s="8"/>
      <c r="QZZ69" s="8"/>
      <c r="RAA69" s="8"/>
      <c r="RAB69" s="8"/>
      <c r="RAC69" s="8"/>
      <c r="RAD69" s="8"/>
      <c r="RAE69" s="8"/>
      <c r="RAF69" s="8"/>
      <c r="RAG69" s="8"/>
      <c r="RAH69" s="8"/>
      <c r="RAI69" s="8"/>
      <c r="RAJ69" s="8"/>
      <c r="RAK69" s="8"/>
      <c r="RAL69" s="8"/>
      <c r="RAM69" s="8"/>
      <c r="RAN69" s="8"/>
      <c r="RAO69" s="8"/>
      <c r="RAP69" s="8"/>
      <c r="RAQ69" s="8"/>
      <c r="RAR69" s="8"/>
      <c r="RAS69" s="8"/>
      <c r="RAT69" s="8"/>
      <c r="RAU69" s="8"/>
      <c r="RAV69" s="8"/>
      <c r="RAW69" s="8"/>
      <c r="RAX69" s="8"/>
      <c r="RAY69" s="8"/>
      <c r="RAZ69" s="8"/>
      <c r="RBA69" s="8"/>
      <c r="RBB69" s="8"/>
      <c r="RBC69" s="8"/>
      <c r="RBD69" s="8"/>
      <c r="RBE69" s="8"/>
      <c r="RBF69" s="8"/>
      <c r="RBG69" s="8"/>
      <c r="RBH69" s="8"/>
      <c r="RBI69" s="8"/>
      <c r="RBJ69" s="8"/>
      <c r="RBK69" s="8"/>
      <c r="RBL69" s="8"/>
      <c r="RBM69" s="8"/>
      <c r="RBN69" s="8"/>
      <c r="RBO69" s="8"/>
      <c r="RBP69" s="8"/>
      <c r="RBQ69" s="8"/>
      <c r="RBR69" s="8"/>
      <c r="RBS69" s="8"/>
      <c r="RBT69" s="8"/>
      <c r="RBU69" s="8"/>
      <c r="RBV69" s="8"/>
      <c r="RBW69" s="8"/>
      <c r="RBX69" s="8"/>
      <c r="RBY69" s="8"/>
      <c r="RBZ69" s="8"/>
      <c r="RCA69" s="8"/>
      <c r="RCB69" s="8"/>
      <c r="RCC69" s="8"/>
      <c r="RCD69" s="8"/>
      <c r="RCE69" s="8"/>
      <c r="RCF69" s="8"/>
      <c r="RCG69" s="8"/>
      <c r="RCH69" s="8"/>
      <c r="RCI69" s="8"/>
      <c r="RCJ69" s="8"/>
      <c r="RCK69" s="8"/>
      <c r="RCL69" s="8"/>
      <c r="RCM69" s="8"/>
      <c r="RCN69" s="8"/>
      <c r="RCO69" s="8"/>
      <c r="RCP69" s="8"/>
      <c r="RCQ69" s="8"/>
      <c r="RCR69" s="8"/>
      <c r="RCS69" s="8"/>
      <c r="RCT69" s="8"/>
      <c r="RCU69" s="8"/>
      <c r="RCV69" s="8"/>
      <c r="RCW69" s="8"/>
      <c r="RCX69" s="8"/>
      <c r="RCY69" s="8"/>
      <c r="RCZ69" s="8"/>
      <c r="RDA69" s="8"/>
      <c r="RDB69" s="8"/>
      <c r="RDC69" s="8"/>
      <c r="RDD69" s="8"/>
      <c r="RDE69" s="8"/>
      <c r="RDF69" s="8"/>
      <c r="RDG69" s="8"/>
      <c r="RDH69" s="8"/>
      <c r="RDI69" s="8"/>
      <c r="RDJ69" s="8"/>
      <c r="RDK69" s="8"/>
      <c r="RDL69" s="8"/>
      <c r="RDM69" s="8"/>
      <c r="RDN69" s="8"/>
      <c r="RDO69" s="8"/>
      <c r="RDP69" s="8"/>
      <c r="RDQ69" s="8"/>
      <c r="RDR69" s="8"/>
      <c r="RDS69" s="8"/>
      <c r="RDT69" s="8"/>
      <c r="RDU69" s="8"/>
      <c r="RDV69" s="8"/>
      <c r="RDW69" s="8"/>
      <c r="RDX69" s="8"/>
      <c r="RDY69" s="8"/>
      <c r="RDZ69" s="8"/>
      <c r="REA69" s="8"/>
      <c r="REB69" s="8"/>
      <c r="REC69" s="8"/>
      <c r="RED69" s="8"/>
      <c r="REE69" s="8"/>
      <c r="REF69" s="8"/>
      <c r="REG69" s="8"/>
      <c r="REH69" s="8"/>
      <c r="REI69" s="8"/>
      <c r="REJ69" s="8"/>
      <c r="REK69" s="8"/>
      <c r="REL69" s="8"/>
      <c r="REM69" s="8"/>
      <c r="REN69" s="8"/>
      <c r="REO69" s="8"/>
      <c r="REP69" s="8"/>
      <c r="REQ69" s="8"/>
      <c r="RER69" s="8"/>
      <c r="RES69" s="8"/>
      <c r="RET69" s="8"/>
      <c r="REU69" s="8"/>
      <c r="REV69" s="8"/>
      <c r="REW69" s="8"/>
      <c r="REX69" s="8"/>
      <c r="REY69" s="8"/>
      <c r="REZ69" s="8"/>
      <c r="RFA69" s="8"/>
      <c r="RFB69" s="8"/>
      <c r="RFC69" s="8"/>
      <c r="RFD69" s="8"/>
      <c r="RFE69" s="8"/>
      <c r="RFF69" s="8"/>
      <c r="RFG69" s="8"/>
      <c r="RFH69" s="8"/>
      <c r="RFI69" s="8"/>
      <c r="RFJ69" s="8"/>
      <c r="RFK69" s="8"/>
      <c r="RFL69" s="8"/>
      <c r="RFM69" s="8"/>
      <c r="RFN69" s="8"/>
      <c r="RFO69" s="8"/>
      <c r="RFP69" s="8"/>
      <c r="RFQ69" s="8"/>
      <c r="RFR69" s="8"/>
      <c r="RFS69" s="8"/>
      <c r="RFT69" s="8"/>
      <c r="RFU69" s="8"/>
      <c r="RFV69" s="8"/>
      <c r="RFW69" s="8"/>
      <c r="RFX69" s="8"/>
      <c r="RFY69" s="8"/>
      <c r="RFZ69" s="8"/>
      <c r="RGA69" s="8"/>
      <c r="RGB69" s="8"/>
      <c r="RGC69" s="8"/>
      <c r="RGD69" s="8"/>
      <c r="RGE69" s="8"/>
      <c r="RGF69" s="8"/>
      <c r="RGG69" s="8"/>
      <c r="RGH69" s="8"/>
      <c r="RGI69" s="8"/>
      <c r="RGJ69" s="8"/>
      <c r="RGK69" s="8"/>
      <c r="RGL69" s="8"/>
      <c r="RGM69" s="8"/>
      <c r="RGN69" s="8"/>
      <c r="RGO69" s="8"/>
      <c r="RGP69" s="8"/>
      <c r="RGQ69" s="8"/>
      <c r="RGR69" s="8"/>
      <c r="RGS69" s="8"/>
      <c r="RGT69" s="8"/>
      <c r="RGU69" s="8"/>
      <c r="RGV69" s="8"/>
      <c r="RGW69" s="8"/>
      <c r="RGX69" s="8"/>
      <c r="RGY69" s="8"/>
      <c r="RGZ69" s="8"/>
      <c r="RHA69" s="8"/>
      <c r="RHB69" s="8"/>
      <c r="RHC69" s="8"/>
      <c r="RHD69" s="8"/>
      <c r="RHE69" s="8"/>
      <c r="RHF69" s="8"/>
      <c r="RHG69" s="8"/>
      <c r="RHH69" s="8"/>
      <c r="RHI69" s="8"/>
      <c r="RHJ69" s="8"/>
      <c r="RHK69" s="8"/>
      <c r="RHL69" s="8"/>
      <c r="RHM69" s="8"/>
      <c r="RHN69" s="8"/>
      <c r="RHO69" s="8"/>
      <c r="RHP69" s="8"/>
      <c r="RHQ69" s="8"/>
      <c r="RHR69" s="8"/>
      <c r="RHS69" s="8"/>
      <c r="RHT69" s="8"/>
      <c r="RHU69" s="8"/>
      <c r="RHV69" s="8"/>
      <c r="RHW69" s="8"/>
      <c r="RHX69" s="8"/>
      <c r="RHY69" s="8"/>
      <c r="RHZ69" s="8"/>
      <c r="RIA69" s="8"/>
      <c r="RIB69" s="8"/>
      <c r="RIC69" s="8"/>
      <c r="RID69" s="8"/>
      <c r="RIE69" s="8"/>
      <c r="RIF69" s="8"/>
      <c r="RIG69" s="8"/>
      <c r="RIH69" s="8"/>
      <c r="RII69" s="8"/>
      <c r="RIJ69" s="8"/>
      <c r="RIK69" s="8"/>
      <c r="RIL69" s="8"/>
      <c r="RIM69" s="8"/>
      <c r="RIN69" s="8"/>
      <c r="RIO69" s="8"/>
      <c r="RIP69" s="8"/>
      <c r="RIQ69" s="8"/>
      <c r="RIR69" s="8"/>
      <c r="RIS69" s="8"/>
      <c r="RIT69" s="8"/>
      <c r="RIU69" s="8"/>
      <c r="RIV69" s="8"/>
      <c r="RIW69" s="8"/>
      <c r="RIX69" s="8"/>
      <c r="RIY69" s="8"/>
      <c r="RIZ69" s="8"/>
      <c r="RJA69" s="8"/>
      <c r="RJB69" s="8"/>
      <c r="RJC69" s="8"/>
      <c r="RJD69" s="8"/>
      <c r="RJE69" s="8"/>
      <c r="RJF69" s="8"/>
      <c r="RJG69" s="8"/>
      <c r="RJH69" s="8"/>
      <c r="RJI69" s="8"/>
      <c r="RJJ69" s="8"/>
      <c r="RJK69" s="8"/>
      <c r="RJL69" s="8"/>
      <c r="RJM69" s="8"/>
      <c r="RJN69" s="8"/>
      <c r="RJO69" s="8"/>
      <c r="RJP69" s="8"/>
      <c r="RJQ69" s="8"/>
      <c r="RJR69" s="8"/>
      <c r="RJS69" s="8"/>
      <c r="RJT69" s="8"/>
      <c r="RJU69" s="8"/>
      <c r="RJV69" s="8"/>
      <c r="RJW69" s="8"/>
      <c r="RJX69" s="8"/>
      <c r="RJY69" s="8"/>
      <c r="RJZ69" s="8"/>
      <c r="RKA69" s="8"/>
      <c r="RKB69" s="8"/>
      <c r="RKC69" s="8"/>
      <c r="RKD69" s="8"/>
      <c r="RKE69" s="8"/>
      <c r="RKF69" s="8"/>
      <c r="RKG69" s="8"/>
      <c r="RKH69" s="8"/>
      <c r="RKI69" s="8"/>
      <c r="RKJ69" s="8"/>
      <c r="RKK69" s="8"/>
      <c r="RKL69" s="8"/>
      <c r="RKM69" s="8"/>
      <c r="RKN69" s="8"/>
      <c r="RKO69" s="8"/>
      <c r="RKP69" s="8"/>
      <c r="RKQ69" s="8"/>
      <c r="RKR69" s="8"/>
      <c r="RKS69" s="8"/>
      <c r="RKT69" s="8"/>
      <c r="RKU69" s="8"/>
      <c r="RKV69" s="8"/>
      <c r="RKW69" s="8"/>
      <c r="RKX69" s="8"/>
      <c r="RKY69" s="8"/>
      <c r="RKZ69" s="8"/>
      <c r="RLA69" s="8"/>
      <c r="RLB69" s="8"/>
      <c r="RLC69" s="8"/>
      <c r="RLD69" s="8"/>
      <c r="RLE69" s="8"/>
      <c r="RLF69" s="8"/>
      <c r="RLG69" s="8"/>
      <c r="RLH69" s="8"/>
      <c r="RLI69" s="8"/>
      <c r="RLJ69" s="8"/>
      <c r="RLK69" s="8"/>
      <c r="RLL69" s="8"/>
      <c r="RLM69" s="8"/>
      <c r="RLN69" s="8"/>
      <c r="RLO69" s="8"/>
      <c r="RLP69" s="8"/>
      <c r="RLQ69" s="8"/>
      <c r="RLR69" s="8"/>
      <c r="RLS69" s="8"/>
      <c r="RLT69" s="8"/>
      <c r="RLU69" s="8"/>
      <c r="RLV69" s="8"/>
      <c r="RLW69" s="8"/>
      <c r="RLX69" s="8"/>
      <c r="RLY69" s="8"/>
      <c r="RLZ69" s="8"/>
      <c r="RMA69" s="8"/>
      <c r="RMB69" s="8"/>
      <c r="RMC69" s="8"/>
      <c r="RMD69" s="8"/>
      <c r="RME69" s="8"/>
      <c r="RMF69" s="8"/>
      <c r="RMG69" s="8"/>
      <c r="RMH69" s="8"/>
      <c r="RMI69" s="8"/>
      <c r="RMJ69" s="8"/>
      <c r="RMK69" s="8"/>
      <c r="RML69" s="8"/>
      <c r="RMM69" s="8"/>
      <c r="RMN69" s="8"/>
      <c r="RMO69" s="8"/>
      <c r="RMP69" s="8"/>
      <c r="RMQ69" s="8"/>
      <c r="RMR69" s="8"/>
      <c r="RMS69" s="8"/>
      <c r="RMT69" s="8"/>
      <c r="RMU69" s="8"/>
      <c r="RMV69" s="8"/>
      <c r="RMW69" s="8"/>
      <c r="RMX69" s="8"/>
      <c r="RMY69" s="8"/>
      <c r="RMZ69" s="8"/>
      <c r="RNA69" s="8"/>
      <c r="RNB69" s="8"/>
      <c r="RNC69" s="8"/>
      <c r="RND69" s="8"/>
      <c r="RNE69" s="8"/>
      <c r="RNF69" s="8"/>
      <c r="RNG69" s="8"/>
      <c r="RNH69" s="8"/>
      <c r="RNI69" s="8"/>
      <c r="RNJ69" s="8"/>
      <c r="RNK69" s="8"/>
      <c r="RNL69" s="8"/>
      <c r="RNM69" s="8"/>
      <c r="RNN69" s="8"/>
      <c r="RNO69" s="8"/>
      <c r="RNP69" s="8"/>
      <c r="RNQ69" s="8"/>
      <c r="RNR69" s="8"/>
      <c r="RNS69" s="8"/>
      <c r="RNT69" s="8"/>
      <c r="RNU69" s="8"/>
      <c r="RNV69" s="8"/>
      <c r="RNW69" s="8"/>
      <c r="RNX69" s="8"/>
      <c r="RNY69" s="8"/>
      <c r="RNZ69" s="8"/>
      <c r="ROA69" s="8"/>
      <c r="ROB69" s="8"/>
      <c r="ROC69" s="8"/>
      <c r="ROD69" s="8"/>
      <c r="ROE69" s="8"/>
      <c r="ROF69" s="8"/>
      <c r="ROG69" s="8"/>
      <c r="ROH69" s="8"/>
      <c r="ROI69" s="8"/>
      <c r="ROJ69" s="8"/>
      <c r="ROK69" s="8"/>
      <c r="ROL69" s="8"/>
      <c r="ROM69" s="8"/>
      <c r="RON69" s="8"/>
      <c r="ROO69" s="8"/>
      <c r="ROP69" s="8"/>
      <c r="ROQ69" s="8"/>
      <c r="ROR69" s="8"/>
      <c r="ROS69" s="8"/>
      <c r="ROT69" s="8"/>
      <c r="ROU69" s="8"/>
      <c r="ROV69" s="8"/>
      <c r="ROW69" s="8"/>
      <c r="ROX69" s="8"/>
      <c r="ROY69" s="8"/>
      <c r="ROZ69" s="8"/>
      <c r="RPA69" s="8"/>
      <c r="RPB69" s="8"/>
      <c r="RPC69" s="8"/>
      <c r="RPD69" s="8"/>
      <c r="RPE69" s="8"/>
      <c r="RPF69" s="8"/>
      <c r="RPG69" s="8"/>
      <c r="RPH69" s="8"/>
      <c r="RPI69" s="8"/>
      <c r="RPJ69" s="8"/>
      <c r="RPK69" s="8"/>
      <c r="RPL69" s="8"/>
      <c r="RPM69" s="8"/>
      <c r="RPN69" s="8"/>
      <c r="RPO69" s="8"/>
      <c r="RPP69" s="8"/>
      <c r="RPQ69" s="8"/>
      <c r="RPR69" s="8"/>
      <c r="RPS69" s="8"/>
      <c r="RPT69" s="8"/>
      <c r="RPU69" s="8"/>
      <c r="RPV69" s="8"/>
      <c r="RPW69" s="8"/>
      <c r="RPX69" s="8"/>
      <c r="RPY69" s="8"/>
      <c r="RPZ69" s="8"/>
      <c r="RQA69" s="8"/>
      <c r="RQB69" s="8"/>
      <c r="RQC69" s="8"/>
      <c r="RQD69" s="8"/>
      <c r="RQE69" s="8"/>
      <c r="RQF69" s="8"/>
      <c r="RQG69" s="8"/>
      <c r="RQH69" s="8"/>
      <c r="RQI69" s="8"/>
      <c r="RQJ69" s="8"/>
      <c r="RQK69" s="8"/>
      <c r="RQL69" s="8"/>
      <c r="RQM69" s="8"/>
      <c r="RQN69" s="8"/>
      <c r="RQO69" s="8"/>
      <c r="RQP69" s="8"/>
      <c r="RQQ69" s="8"/>
      <c r="RQR69" s="8"/>
      <c r="RQS69" s="8"/>
      <c r="RQT69" s="8"/>
      <c r="RQU69" s="8"/>
      <c r="RQV69" s="8"/>
      <c r="RQW69" s="8"/>
      <c r="RQX69" s="8"/>
      <c r="RQY69" s="8"/>
      <c r="RQZ69" s="8"/>
      <c r="RRA69" s="8"/>
      <c r="RRB69" s="8"/>
      <c r="RRC69" s="8"/>
      <c r="RRD69" s="8"/>
      <c r="RRE69" s="8"/>
      <c r="RRF69" s="8"/>
      <c r="RRG69" s="8"/>
      <c r="RRH69" s="8"/>
      <c r="RRI69" s="8"/>
      <c r="RRJ69" s="8"/>
      <c r="RRK69" s="8"/>
      <c r="RRL69" s="8"/>
      <c r="RRM69" s="8"/>
      <c r="RRN69" s="8"/>
      <c r="RRO69" s="8"/>
      <c r="RRP69" s="8"/>
      <c r="RRQ69" s="8"/>
      <c r="RRR69" s="8"/>
      <c r="RRS69" s="8"/>
      <c r="RRT69" s="8"/>
      <c r="RRU69" s="8"/>
      <c r="RRV69" s="8"/>
      <c r="RRW69" s="8"/>
      <c r="RRX69" s="8"/>
      <c r="RRY69" s="8"/>
      <c r="RRZ69" s="8"/>
      <c r="RSA69" s="8"/>
      <c r="RSB69" s="8"/>
      <c r="RSC69" s="8"/>
      <c r="RSD69" s="8"/>
      <c r="RSE69" s="8"/>
      <c r="RSF69" s="8"/>
      <c r="RSG69" s="8"/>
      <c r="RSH69" s="8"/>
      <c r="RSI69" s="8"/>
      <c r="RSJ69" s="8"/>
      <c r="RSK69" s="8"/>
      <c r="RSL69" s="8"/>
      <c r="RSM69" s="8"/>
      <c r="RSN69" s="8"/>
      <c r="RSO69" s="8"/>
      <c r="RSP69" s="8"/>
      <c r="RSQ69" s="8"/>
      <c r="RSR69" s="8"/>
      <c r="RSS69" s="8"/>
      <c r="RST69" s="8"/>
      <c r="RSU69" s="8"/>
      <c r="RSV69" s="8"/>
      <c r="RSW69" s="8"/>
      <c r="RSX69" s="8"/>
      <c r="RSY69" s="8"/>
      <c r="RSZ69" s="8"/>
      <c r="RTA69" s="8"/>
      <c r="RTB69" s="8"/>
      <c r="RTC69" s="8"/>
      <c r="RTD69" s="8"/>
      <c r="RTE69" s="8"/>
      <c r="RTF69" s="8"/>
      <c r="RTG69" s="8"/>
      <c r="RTH69" s="8"/>
      <c r="RTI69" s="8"/>
      <c r="RTJ69" s="8"/>
      <c r="RTK69" s="8"/>
      <c r="RTL69" s="8"/>
      <c r="RTM69" s="8"/>
      <c r="RTN69" s="8"/>
      <c r="RTO69" s="8"/>
      <c r="RTP69" s="8"/>
      <c r="RTQ69" s="8"/>
      <c r="RTR69" s="8"/>
      <c r="RTS69" s="8"/>
      <c r="RTT69" s="8"/>
      <c r="RTU69" s="8"/>
      <c r="RTV69" s="8"/>
      <c r="RTW69" s="8"/>
      <c r="RTX69" s="8"/>
      <c r="RTY69" s="8"/>
      <c r="RTZ69" s="8"/>
      <c r="RUA69" s="8"/>
      <c r="RUB69" s="8"/>
      <c r="RUC69" s="8"/>
      <c r="RUD69" s="8"/>
      <c r="RUE69" s="8"/>
      <c r="RUF69" s="8"/>
      <c r="RUG69" s="8"/>
      <c r="RUH69" s="8"/>
      <c r="RUI69" s="8"/>
      <c r="RUJ69" s="8"/>
      <c r="RUK69" s="8"/>
      <c r="RUL69" s="8"/>
      <c r="RUM69" s="8"/>
      <c r="RUN69" s="8"/>
      <c r="RUO69" s="8"/>
      <c r="RUP69" s="8"/>
      <c r="RUQ69" s="8"/>
      <c r="RUR69" s="8"/>
      <c r="RUS69" s="8"/>
      <c r="RUT69" s="8"/>
      <c r="RUU69" s="8"/>
      <c r="RUV69" s="8"/>
      <c r="RUW69" s="8"/>
      <c r="RUX69" s="8"/>
      <c r="RUY69" s="8"/>
      <c r="RUZ69" s="8"/>
      <c r="RVA69" s="8"/>
      <c r="RVB69" s="8"/>
      <c r="RVC69" s="8"/>
      <c r="RVD69" s="8"/>
      <c r="RVE69" s="8"/>
      <c r="RVF69" s="8"/>
      <c r="RVG69" s="8"/>
      <c r="RVH69" s="8"/>
      <c r="RVI69" s="8"/>
      <c r="RVJ69" s="8"/>
      <c r="RVK69" s="8"/>
      <c r="RVL69" s="8"/>
      <c r="RVM69" s="8"/>
      <c r="RVN69" s="8"/>
      <c r="RVO69" s="8"/>
      <c r="RVP69" s="8"/>
      <c r="RVQ69" s="8"/>
      <c r="RVR69" s="8"/>
      <c r="RVS69" s="8"/>
      <c r="RVT69" s="8"/>
      <c r="RVU69" s="8"/>
      <c r="RVV69" s="8"/>
      <c r="RVW69" s="8"/>
      <c r="RVX69" s="8"/>
      <c r="RVY69" s="8"/>
      <c r="RVZ69" s="8"/>
      <c r="RWA69" s="8"/>
      <c r="RWB69" s="8"/>
      <c r="RWC69" s="8"/>
      <c r="RWD69" s="8"/>
      <c r="RWE69" s="8"/>
      <c r="RWF69" s="8"/>
      <c r="RWG69" s="8"/>
      <c r="RWH69" s="8"/>
      <c r="RWI69" s="8"/>
      <c r="RWJ69" s="8"/>
      <c r="RWK69" s="8"/>
      <c r="RWL69" s="8"/>
      <c r="RWM69" s="8"/>
      <c r="RWN69" s="8"/>
      <c r="RWO69" s="8"/>
      <c r="RWP69" s="8"/>
      <c r="RWQ69" s="8"/>
      <c r="RWR69" s="8"/>
      <c r="RWS69" s="8"/>
      <c r="RWT69" s="8"/>
      <c r="RWU69" s="8"/>
      <c r="RWV69" s="8"/>
      <c r="RWW69" s="8"/>
      <c r="RWX69" s="8"/>
      <c r="RWY69" s="8"/>
      <c r="RWZ69" s="8"/>
      <c r="RXA69" s="8"/>
      <c r="RXB69" s="8"/>
      <c r="RXC69" s="8"/>
      <c r="RXD69" s="8"/>
      <c r="RXE69" s="8"/>
      <c r="RXF69" s="8"/>
      <c r="RXG69" s="8"/>
      <c r="RXH69" s="8"/>
      <c r="RXI69" s="8"/>
      <c r="RXJ69" s="8"/>
      <c r="RXK69" s="8"/>
      <c r="RXL69" s="8"/>
      <c r="RXM69" s="8"/>
      <c r="RXN69" s="8"/>
      <c r="RXO69" s="8"/>
      <c r="RXP69" s="8"/>
      <c r="RXQ69" s="8"/>
      <c r="RXR69" s="8"/>
      <c r="RXS69" s="8"/>
      <c r="RXT69" s="8"/>
      <c r="RXU69" s="8"/>
      <c r="RXV69" s="8"/>
      <c r="RXW69" s="8"/>
      <c r="RXX69" s="8"/>
      <c r="RXY69" s="8"/>
      <c r="RXZ69" s="8"/>
      <c r="RYA69" s="8"/>
      <c r="RYB69" s="8"/>
      <c r="RYC69" s="8"/>
      <c r="RYD69" s="8"/>
      <c r="RYE69" s="8"/>
      <c r="RYF69" s="8"/>
      <c r="RYG69" s="8"/>
      <c r="RYH69" s="8"/>
      <c r="RYI69" s="8"/>
      <c r="RYJ69" s="8"/>
      <c r="RYK69" s="8"/>
      <c r="RYL69" s="8"/>
      <c r="RYM69" s="8"/>
      <c r="RYN69" s="8"/>
      <c r="RYO69" s="8"/>
      <c r="RYP69" s="8"/>
      <c r="RYQ69" s="8"/>
      <c r="RYR69" s="8"/>
      <c r="RYS69" s="8"/>
      <c r="RYT69" s="8"/>
      <c r="RYU69" s="8"/>
      <c r="RYV69" s="8"/>
      <c r="RYW69" s="8"/>
      <c r="RYX69" s="8"/>
      <c r="RYY69" s="8"/>
      <c r="RYZ69" s="8"/>
      <c r="RZA69" s="8"/>
      <c r="RZB69" s="8"/>
      <c r="RZC69" s="8"/>
      <c r="RZD69" s="8"/>
      <c r="RZE69" s="8"/>
      <c r="RZF69" s="8"/>
      <c r="RZG69" s="8"/>
      <c r="RZH69" s="8"/>
      <c r="RZI69" s="8"/>
      <c r="RZJ69" s="8"/>
      <c r="RZK69" s="8"/>
      <c r="RZL69" s="8"/>
      <c r="RZM69" s="8"/>
      <c r="RZN69" s="8"/>
      <c r="RZO69" s="8"/>
      <c r="RZP69" s="8"/>
      <c r="RZQ69" s="8"/>
      <c r="RZR69" s="8"/>
      <c r="RZS69" s="8"/>
      <c r="RZT69" s="8"/>
      <c r="RZU69" s="8"/>
      <c r="RZV69" s="8"/>
      <c r="RZW69" s="8"/>
      <c r="RZX69" s="8"/>
      <c r="RZY69" s="8"/>
      <c r="RZZ69" s="8"/>
      <c r="SAA69" s="8"/>
      <c r="SAB69" s="8"/>
      <c r="SAC69" s="8"/>
      <c r="SAD69" s="8"/>
      <c r="SAE69" s="8"/>
      <c r="SAF69" s="8"/>
      <c r="SAG69" s="8"/>
      <c r="SAH69" s="8"/>
      <c r="SAI69" s="8"/>
      <c r="SAJ69" s="8"/>
      <c r="SAK69" s="8"/>
      <c r="SAL69" s="8"/>
      <c r="SAM69" s="8"/>
      <c r="SAN69" s="8"/>
      <c r="SAO69" s="8"/>
      <c r="SAP69" s="8"/>
      <c r="SAQ69" s="8"/>
      <c r="SAR69" s="8"/>
      <c r="SAS69" s="8"/>
      <c r="SAT69" s="8"/>
      <c r="SAU69" s="8"/>
      <c r="SAV69" s="8"/>
      <c r="SAW69" s="8"/>
      <c r="SAX69" s="8"/>
      <c r="SAY69" s="8"/>
      <c r="SAZ69" s="8"/>
      <c r="SBA69" s="8"/>
      <c r="SBB69" s="8"/>
      <c r="SBC69" s="8"/>
      <c r="SBD69" s="8"/>
      <c r="SBE69" s="8"/>
      <c r="SBF69" s="8"/>
      <c r="SBG69" s="8"/>
      <c r="SBH69" s="8"/>
      <c r="SBI69" s="8"/>
      <c r="SBJ69" s="8"/>
      <c r="SBK69" s="8"/>
      <c r="SBL69" s="8"/>
      <c r="SBM69" s="8"/>
      <c r="SBN69" s="8"/>
      <c r="SBO69" s="8"/>
      <c r="SBP69" s="8"/>
      <c r="SBQ69" s="8"/>
      <c r="SBR69" s="8"/>
      <c r="SBS69" s="8"/>
      <c r="SBT69" s="8"/>
      <c r="SBU69" s="8"/>
      <c r="SBV69" s="8"/>
      <c r="SBW69" s="8"/>
      <c r="SBX69" s="8"/>
      <c r="SBY69" s="8"/>
      <c r="SBZ69" s="8"/>
      <c r="SCA69" s="8"/>
      <c r="SCB69" s="8"/>
      <c r="SCC69" s="8"/>
      <c r="SCD69" s="8"/>
      <c r="SCE69" s="8"/>
      <c r="SCF69" s="8"/>
      <c r="SCG69" s="8"/>
      <c r="SCH69" s="8"/>
      <c r="SCI69" s="8"/>
      <c r="SCJ69" s="8"/>
      <c r="SCK69" s="8"/>
      <c r="SCL69" s="8"/>
      <c r="SCM69" s="8"/>
      <c r="SCN69" s="8"/>
      <c r="SCO69" s="8"/>
      <c r="SCP69" s="8"/>
      <c r="SCQ69" s="8"/>
      <c r="SCR69" s="8"/>
      <c r="SCS69" s="8"/>
      <c r="SCT69" s="8"/>
      <c r="SCU69" s="8"/>
      <c r="SCV69" s="8"/>
      <c r="SCW69" s="8"/>
      <c r="SCX69" s="8"/>
      <c r="SCY69" s="8"/>
      <c r="SCZ69" s="8"/>
      <c r="SDA69" s="8"/>
      <c r="SDB69" s="8"/>
      <c r="SDC69" s="8"/>
      <c r="SDD69" s="8"/>
      <c r="SDE69" s="8"/>
      <c r="SDF69" s="8"/>
      <c r="SDG69" s="8"/>
      <c r="SDH69" s="8"/>
      <c r="SDI69" s="8"/>
      <c r="SDJ69" s="8"/>
      <c r="SDK69" s="8"/>
      <c r="SDL69" s="8"/>
      <c r="SDM69" s="8"/>
      <c r="SDN69" s="8"/>
      <c r="SDO69" s="8"/>
      <c r="SDP69" s="8"/>
      <c r="SDQ69" s="8"/>
      <c r="SDR69" s="8"/>
      <c r="SDS69" s="8"/>
      <c r="SDT69" s="8"/>
      <c r="SDU69" s="8"/>
      <c r="SDV69" s="8"/>
      <c r="SDW69" s="8"/>
      <c r="SDX69" s="8"/>
      <c r="SDY69" s="8"/>
      <c r="SDZ69" s="8"/>
      <c r="SEA69" s="8"/>
      <c r="SEB69" s="8"/>
      <c r="SEC69" s="8"/>
      <c r="SED69" s="8"/>
      <c r="SEE69" s="8"/>
      <c r="SEF69" s="8"/>
      <c r="SEG69" s="8"/>
      <c r="SEH69" s="8"/>
      <c r="SEI69" s="8"/>
      <c r="SEJ69" s="8"/>
      <c r="SEK69" s="8"/>
      <c r="SEL69" s="8"/>
      <c r="SEM69" s="8"/>
      <c r="SEN69" s="8"/>
      <c r="SEO69" s="8"/>
      <c r="SEP69" s="8"/>
      <c r="SEQ69" s="8"/>
      <c r="SER69" s="8"/>
      <c r="SES69" s="8"/>
      <c r="SET69" s="8"/>
      <c r="SEU69" s="8"/>
      <c r="SEV69" s="8"/>
      <c r="SEW69" s="8"/>
      <c r="SEX69" s="8"/>
      <c r="SEY69" s="8"/>
      <c r="SEZ69" s="8"/>
      <c r="SFA69" s="8"/>
      <c r="SFB69" s="8"/>
      <c r="SFC69" s="8"/>
      <c r="SFD69" s="8"/>
      <c r="SFE69" s="8"/>
      <c r="SFF69" s="8"/>
      <c r="SFG69" s="8"/>
      <c r="SFH69" s="8"/>
      <c r="SFI69" s="8"/>
      <c r="SFJ69" s="8"/>
      <c r="SFK69" s="8"/>
      <c r="SFL69" s="8"/>
      <c r="SFM69" s="8"/>
      <c r="SFN69" s="8"/>
      <c r="SFO69" s="8"/>
      <c r="SFP69" s="8"/>
      <c r="SFQ69" s="8"/>
      <c r="SFR69" s="8"/>
      <c r="SFS69" s="8"/>
      <c r="SFT69" s="8"/>
      <c r="SFU69" s="8"/>
      <c r="SFV69" s="8"/>
      <c r="SFW69" s="8"/>
      <c r="SFX69" s="8"/>
      <c r="SFY69" s="8"/>
      <c r="SFZ69" s="8"/>
      <c r="SGA69" s="8"/>
      <c r="SGB69" s="8"/>
      <c r="SGC69" s="8"/>
      <c r="SGD69" s="8"/>
      <c r="SGE69" s="8"/>
      <c r="SGF69" s="8"/>
      <c r="SGG69" s="8"/>
      <c r="SGH69" s="8"/>
      <c r="SGI69" s="8"/>
      <c r="SGJ69" s="8"/>
      <c r="SGK69" s="8"/>
      <c r="SGL69" s="8"/>
      <c r="SGM69" s="8"/>
      <c r="SGN69" s="8"/>
      <c r="SGO69" s="8"/>
      <c r="SGP69" s="8"/>
      <c r="SGQ69" s="8"/>
      <c r="SGR69" s="8"/>
      <c r="SGS69" s="8"/>
      <c r="SGT69" s="8"/>
      <c r="SGU69" s="8"/>
      <c r="SGV69" s="8"/>
      <c r="SGW69" s="8"/>
      <c r="SGX69" s="8"/>
      <c r="SGY69" s="8"/>
      <c r="SGZ69" s="8"/>
      <c r="SHA69" s="8"/>
      <c r="SHB69" s="8"/>
      <c r="SHC69" s="8"/>
      <c r="SHD69" s="8"/>
      <c r="SHE69" s="8"/>
      <c r="SHF69" s="8"/>
      <c r="SHG69" s="8"/>
      <c r="SHH69" s="8"/>
      <c r="SHI69" s="8"/>
      <c r="SHJ69" s="8"/>
      <c r="SHK69" s="8"/>
      <c r="SHL69" s="8"/>
      <c r="SHM69" s="8"/>
      <c r="SHN69" s="8"/>
      <c r="SHO69" s="8"/>
      <c r="SHP69" s="8"/>
      <c r="SHQ69" s="8"/>
      <c r="SHR69" s="8"/>
      <c r="SHS69" s="8"/>
      <c r="SHT69" s="8"/>
      <c r="SHU69" s="8"/>
      <c r="SHV69" s="8"/>
      <c r="SHW69" s="8"/>
      <c r="SHX69" s="8"/>
      <c r="SHY69" s="8"/>
      <c r="SHZ69" s="8"/>
      <c r="SIA69" s="8"/>
      <c r="SIB69" s="8"/>
      <c r="SIC69" s="8"/>
      <c r="SID69" s="8"/>
      <c r="SIE69" s="8"/>
      <c r="SIF69" s="8"/>
      <c r="SIG69" s="8"/>
      <c r="SIH69" s="8"/>
      <c r="SII69" s="8"/>
      <c r="SIJ69" s="8"/>
      <c r="SIK69" s="8"/>
      <c r="SIL69" s="8"/>
      <c r="SIM69" s="8"/>
      <c r="SIN69" s="8"/>
      <c r="SIO69" s="8"/>
      <c r="SIP69" s="8"/>
      <c r="SIQ69" s="8"/>
      <c r="SIR69" s="8"/>
      <c r="SIS69" s="8"/>
      <c r="SIT69" s="8"/>
      <c r="SIU69" s="8"/>
      <c r="SIV69" s="8"/>
      <c r="SIW69" s="8"/>
      <c r="SIX69" s="8"/>
      <c r="SIY69" s="8"/>
      <c r="SIZ69" s="8"/>
      <c r="SJA69" s="8"/>
      <c r="SJB69" s="8"/>
      <c r="SJC69" s="8"/>
      <c r="SJD69" s="8"/>
      <c r="SJE69" s="8"/>
      <c r="SJF69" s="8"/>
      <c r="SJG69" s="8"/>
      <c r="SJH69" s="8"/>
      <c r="SJI69" s="8"/>
      <c r="SJJ69" s="8"/>
      <c r="SJK69" s="8"/>
      <c r="SJL69" s="8"/>
      <c r="SJM69" s="8"/>
      <c r="SJN69" s="8"/>
      <c r="SJO69" s="8"/>
      <c r="SJP69" s="8"/>
      <c r="SJQ69" s="8"/>
      <c r="SJR69" s="8"/>
      <c r="SJS69" s="8"/>
      <c r="SJT69" s="8"/>
      <c r="SJU69" s="8"/>
      <c r="SJV69" s="8"/>
      <c r="SJW69" s="8"/>
      <c r="SJX69" s="8"/>
      <c r="SJY69" s="8"/>
      <c r="SJZ69" s="8"/>
      <c r="SKA69" s="8"/>
      <c r="SKB69" s="8"/>
      <c r="SKC69" s="8"/>
      <c r="SKD69" s="8"/>
      <c r="SKE69" s="8"/>
      <c r="SKF69" s="8"/>
      <c r="SKG69" s="8"/>
      <c r="SKH69" s="8"/>
      <c r="SKI69" s="8"/>
      <c r="SKJ69" s="8"/>
      <c r="SKK69" s="8"/>
      <c r="SKL69" s="8"/>
      <c r="SKM69" s="8"/>
      <c r="SKN69" s="8"/>
      <c r="SKO69" s="8"/>
      <c r="SKP69" s="8"/>
      <c r="SKQ69" s="8"/>
      <c r="SKR69" s="8"/>
      <c r="SKS69" s="8"/>
      <c r="SKT69" s="8"/>
      <c r="SKU69" s="8"/>
      <c r="SKV69" s="8"/>
      <c r="SKW69" s="8"/>
      <c r="SKX69" s="8"/>
      <c r="SKY69" s="8"/>
      <c r="SKZ69" s="8"/>
      <c r="SLA69" s="8"/>
      <c r="SLB69" s="8"/>
      <c r="SLC69" s="8"/>
      <c r="SLD69" s="8"/>
      <c r="SLE69" s="8"/>
      <c r="SLF69" s="8"/>
      <c r="SLG69" s="8"/>
      <c r="SLH69" s="8"/>
      <c r="SLI69" s="8"/>
      <c r="SLJ69" s="8"/>
      <c r="SLK69" s="8"/>
      <c r="SLL69" s="8"/>
      <c r="SLM69" s="8"/>
      <c r="SLN69" s="8"/>
      <c r="SLO69" s="8"/>
      <c r="SLP69" s="8"/>
      <c r="SLQ69" s="8"/>
      <c r="SLR69" s="8"/>
      <c r="SLS69" s="8"/>
      <c r="SLT69" s="8"/>
      <c r="SLU69" s="8"/>
      <c r="SLV69" s="8"/>
      <c r="SLW69" s="8"/>
      <c r="SLX69" s="8"/>
      <c r="SLY69" s="8"/>
      <c r="SLZ69" s="8"/>
      <c r="SMA69" s="8"/>
      <c r="SMB69" s="8"/>
      <c r="SMC69" s="8"/>
      <c r="SMD69" s="8"/>
      <c r="SME69" s="8"/>
      <c r="SMF69" s="8"/>
      <c r="SMG69" s="8"/>
      <c r="SMH69" s="8"/>
      <c r="SMI69" s="8"/>
      <c r="SMJ69" s="8"/>
      <c r="SMK69" s="8"/>
      <c r="SML69" s="8"/>
      <c r="SMM69" s="8"/>
      <c r="SMN69" s="8"/>
      <c r="SMO69" s="8"/>
      <c r="SMP69" s="8"/>
      <c r="SMQ69" s="8"/>
      <c r="SMR69" s="8"/>
      <c r="SMS69" s="8"/>
      <c r="SMT69" s="8"/>
      <c r="SMU69" s="8"/>
      <c r="SMV69" s="8"/>
      <c r="SMW69" s="8"/>
      <c r="SMX69" s="8"/>
      <c r="SMY69" s="8"/>
      <c r="SMZ69" s="8"/>
      <c r="SNA69" s="8"/>
      <c r="SNB69" s="8"/>
      <c r="SNC69" s="8"/>
      <c r="SND69" s="8"/>
      <c r="SNE69" s="8"/>
      <c r="SNF69" s="8"/>
      <c r="SNG69" s="8"/>
      <c r="SNH69" s="8"/>
      <c r="SNI69" s="8"/>
      <c r="SNJ69" s="8"/>
      <c r="SNK69" s="8"/>
      <c r="SNL69" s="8"/>
      <c r="SNM69" s="8"/>
      <c r="SNN69" s="8"/>
      <c r="SNO69" s="8"/>
      <c r="SNP69" s="8"/>
      <c r="SNQ69" s="8"/>
      <c r="SNR69" s="8"/>
      <c r="SNS69" s="8"/>
      <c r="SNT69" s="8"/>
      <c r="SNU69" s="8"/>
      <c r="SNV69" s="8"/>
      <c r="SNW69" s="8"/>
      <c r="SNX69" s="8"/>
      <c r="SNY69" s="8"/>
      <c r="SNZ69" s="8"/>
      <c r="SOA69" s="8"/>
      <c r="SOB69" s="8"/>
      <c r="SOC69" s="8"/>
      <c r="SOD69" s="8"/>
      <c r="SOE69" s="8"/>
      <c r="SOF69" s="8"/>
      <c r="SOG69" s="8"/>
      <c r="SOH69" s="8"/>
      <c r="SOI69" s="8"/>
      <c r="SOJ69" s="8"/>
      <c r="SOK69" s="8"/>
      <c r="SOL69" s="8"/>
      <c r="SOM69" s="8"/>
      <c r="SON69" s="8"/>
      <c r="SOO69" s="8"/>
      <c r="SOP69" s="8"/>
      <c r="SOQ69" s="8"/>
      <c r="SOR69" s="8"/>
      <c r="SOS69" s="8"/>
      <c r="SOT69" s="8"/>
      <c r="SOU69" s="8"/>
      <c r="SOV69" s="8"/>
      <c r="SOW69" s="8"/>
      <c r="SOX69" s="8"/>
      <c r="SOY69" s="8"/>
      <c r="SOZ69" s="8"/>
      <c r="SPA69" s="8"/>
      <c r="SPB69" s="8"/>
      <c r="SPC69" s="8"/>
      <c r="SPD69" s="8"/>
      <c r="SPE69" s="8"/>
      <c r="SPF69" s="8"/>
      <c r="SPG69" s="8"/>
      <c r="SPH69" s="8"/>
      <c r="SPI69" s="8"/>
      <c r="SPJ69" s="8"/>
      <c r="SPK69" s="8"/>
      <c r="SPL69" s="8"/>
      <c r="SPM69" s="8"/>
      <c r="SPN69" s="8"/>
      <c r="SPO69" s="8"/>
      <c r="SPP69" s="8"/>
      <c r="SPQ69" s="8"/>
      <c r="SPR69" s="8"/>
      <c r="SPS69" s="8"/>
      <c r="SPT69" s="8"/>
      <c r="SPU69" s="8"/>
      <c r="SPV69" s="8"/>
      <c r="SPW69" s="8"/>
      <c r="SPX69" s="8"/>
      <c r="SPY69" s="8"/>
      <c r="SPZ69" s="8"/>
      <c r="SQA69" s="8"/>
      <c r="SQB69" s="8"/>
      <c r="SQC69" s="8"/>
      <c r="SQD69" s="8"/>
      <c r="SQE69" s="8"/>
      <c r="SQF69" s="8"/>
      <c r="SQG69" s="8"/>
      <c r="SQH69" s="8"/>
      <c r="SQI69" s="8"/>
      <c r="SQJ69" s="8"/>
      <c r="SQK69" s="8"/>
      <c r="SQL69" s="8"/>
      <c r="SQM69" s="8"/>
      <c r="SQN69" s="8"/>
      <c r="SQO69" s="8"/>
      <c r="SQP69" s="8"/>
      <c r="SQQ69" s="8"/>
      <c r="SQR69" s="8"/>
      <c r="SQS69" s="8"/>
      <c r="SQT69" s="8"/>
      <c r="SQU69" s="8"/>
      <c r="SQV69" s="8"/>
      <c r="SQW69" s="8"/>
      <c r="SQX69" s="8"/>
      <c r="SQY69" s="8"/>
      <c r="SQZ69" s="8"/>
      <c r="SRA69" s="8"/>
      <c r="SRB69" s="8"/>
      <c r="SRC69" s="8"/>
      <c r="SRD69" s="8"/>
      <c r="SRE69" s="8"/>
      <c r="SRF69" s="8"/>
      <c r="SRG69" s="8"/>
      <c r="SRH69" s="8"/>
      <c r="SRI69" s="8"/>
      <c r="SRJ69" s="8"/>
      <c r="SRK69" s="8"/>
      <c r="SRL69" s="8"/>
      <c r="SRM69" s="8"/>
      <c r="SRN69" s="8"/>
      <c r="SRO69" s="8"/>
      <c r="SRP69" s="8"/>
      <c r="SRQ69" s="8"/>
      <c r="SRR69" s="8"/>
      <c r="SRS69" s="8"/>
      <c r="SRT69" s="8"/>
      <c r="SRU69" s="8"/>
      <c r="SRV69" s="8"/>
      <c r="SRW69" s="8"/>
      <c r="SRX69" s="8"/>
      <c r="SRY69" s="8"/>
      <c r="SRZ69" s="8"/>
      <c r="SSA69" s="8"/>
      <c r="SSB69" s="8"/>
      <c r="SSC69" s="8"/>
      <c r="SSD69" s="8"/>
      <c r="SSE69" s="8"/>
      <c r="SSF69" s="8"/>
      <c r="SSG69" s="8"/>
      <c r="SSH69" s="8"/>
      <c r="SSI69" s="8"/>
      <c r="SSJ69" s="8"/>
      <c r="SSK69" s="8"/>
      <c r="SSL69" s="8"/>
      <c r="SSM69" s="8"/>
      <c r="SSN69" s="8"/>
      <c r="SSO69" s="8"/>
      <c r="SSP69" s="8"/>
      <c r="SSQ69" s="8"/>
      <c r="SSR69" s="8"/>
      <c r="SSS69" s="8"/>
      <c r="SST69" s="8"/>
      <c r="SSU69" s="8"/>
      <c r="SSV69" s="8"/>
      <c r="SSW69" s="8"/>
      <c r="SSX69" s="8"/>
      <c r="SSY69" s="8"/>
      <c r="SSZ69" s="8"/>
      <c r="STA69" s="8"/>
      <c r="STB69" s="8"/>
      <c r="STC69" s="8"/>
      <c r="STD69" s="8"/>
      <c r="STE69" s="8"/>
      <c r="STF69" s="8"/>
      <c r="STG69" s="8"/>
      <c r="STH69" s="8"/>
      <c r="STI69" s="8"/>
      <c r="STJ69" s="8"/>
      <c r="STK69" s="8"/>
      <c r="STL69" s="8"/>
      <c r="STM69" s="8"/>
      <c r="STN69" s="8"/>
      <c r="STO69" s="8"/>
      <c r="STP69" s="8"/>
      <c r="STQ69" s="8"/>
      <c r="STR69" s="8"/>
      <c r="STS69" s="8"/>
      <c r="STT69" s="8"/>
      <c r="STU69" s="8"/>
      <c r="STV69" s="8"/>
      <c r="STW69" s="8"/>
      <c r="STX69" s="8"/>
      <c r="STY69" s="8"/>
      <c r="STZ69" s="8"/>
      <c r="SUA69" s="8"/>
      <c r="SUB69" s="8"/>
      <c r="SUC69" s="8"/>
      <c r="SUD69" s="8"/>
      <c r="SUE69" s="8"/>
      <c r="SUF69" s="8"/>
      <c r="SUG69" s="8"/>
      <c r="SUH69" s="8"/>
      <c r="SUI69" s="8"/>
      <c r="SUJ69" s="8"/>
      <c r="SUK69" s="8"/>
      <c r="SUL69" s="8"/>
      <c r="SUM69" s="8"/>
      <c r="SUN69" s="8"/>
      <c r="SUO69" s="8"/>
      <c r="SUP69" s="8"/>
      <c r="SUQ69" s="8"/>
      <c r="SUR69" s="8"/>
      <c r="SUS69" s="8"/>
      <c r="SUT69" s="8"/>
      <c r="SUU69" s="8"/>
      <c r="SUV69" s="8"/>
      <c r="SUW69" s="8"/>
      <c r="SUX69" s="8"/>
      <c r="SUY69" s="8"/>
      <c r="SUZ69" s="8"/>
      <c r="SVA69" s="8"/>
      <c r="SVB69" s="8"/>
      <c r="SVC69" s="8"/>
      <c r="SVD69" s="8"/>
      <c r="SVE69" s="8"/>
      <c r="SVF69" s="8"/>
      <c r="SVG69" s="8"/>
      <c r="SVH69" s="8"/>
      <c r="SVI69" s="8"/>
      <c r="SVJ69" s="8"/>
      <c r="SVK69" s="8"/>
      <c r="SVL69" s="8"/>
      <c r="SVM69" s="8"/>
      <c r="SVN69" s="8"/>
      <c r="SVO69" s="8"/>
      <c r="SVP69" s="8"/>
      <c r="SVQ69" s="8"/>
      <c r="SVR69" s="8"/>
      <c r="SVS69" s="8"/>
      <c r="SVT69" s="8"/>
      <c r="SVU69" s="8"/>
      <c r="SVV69" s="8"/>
      <c r="SVW69" s="8"/>
      <c r="SVX69" s="8"/>
      <c r="SVY69" s="8"/>
      <c r="SVZ69" s="8"/>
      <c r="SWA69" s="8"/>
      <c r="SWB69" s="8"/>
      <c r="SWC69" s="8"/>
      <c r="SWD69" s="8"/>
      <c r="SWE69" s="8"/>
      <c r="SWF69" s="8"/>
      <c r="SWG69" s="8"/>
      <c r="SWH69" s="8"/>
      <c r="SWI69" s="8"/>
      <c r="SWJ69" s="8"/>
      <c r="SWK69" s="8"/>
      <c r="SWL69" s="8"/>
      <c r="SWM69" s="8"/>
      <c r="SWN69" s="8"/>
      <c r="SWO69" s="8"/>
      <c r="SWP69" s="8"/>
      <c r="SWQ69" s="8"/>
      <c r="SWR69" s="8"/>
      <c r="SWS69" s="8"/>
      <c r="SWT69" s="8"/>
      <c r="SWU69" s="8"/>
      <c r="SWV69" s="8"/>
      <c r="SWW69" s="8"/>
      <c r="SWX69" s="8"/>
      <c r="SWY69" s="8"/>
      <c r="SWZ69" s="8"/>
      <c r="SXA69" s="8"/>
      <c r="SXB69" s="8"/>
      <c r="SXC69" s="8"/>
      <c r="SXD69" s="8"/>
      <c r="SXE69" s="8"/>
      <c r="SXF69" s="8"/>
      <c r="SXG69" s="8"/>
      <c r="SXH69" s="8"/>
      <c r="SXI69" s="8"/>
      <c r="SXJ69" s="8"/>
      <c r="SXK69" s="8"/>
      <c r="SXL69" s="8"/>
      <c r="SXM69" s="8"/>
      <c r="SXN69" s="8"/>
      <c r="SXO69" s="8"/>
      <c r="SXP69" s="8"/>
      <c r="SXQ69" s="8"/>
      <c r="SXR69" s="8"/>
      <c r="SXS69" s="8"/>
      <c r="SXT69" s="8"/>
      <c r="SXU69" s="8"/>
      <c r="SXV69" s="8"/>
      <c r="SXW69" s="8"/>
      <c r="SXX69" s="8"/>
      <c r="SXY69" s="8"/>
      <c r="SXZ69" s="8"/>
      <c r="SYA69" s="8"/>
      <c r="SYB69" s="8"/>
      <c r="SYC69" s="8"/>
      <c r="SYD69" s="8"/>
      <c r="SYE69" s="8"/>
      <c r="SYF69" s="8"/>
      <c r="SYG69" s="8"/>
      <c r="SYH69" s="8"/>
      <c r="SYI69" s="8"/>
      <c r="SYJ69" s="8"/>
      <c r="SYK69" s="8"/>
      <c r="SYL69" s="8"/>
      <c r="SYM69" s="8"/>
      <c r="SYN69" s="8"/>
      <c r="SYO69" s="8"/>
      <c r="SYP69" s="8"/>
      <c r="SYQ69" s="8"/>
      <c r="SYR69" s="8"/>
      <c r="SYS69" s="8"/>
      <c r="SYT69" s="8"/>
      <c r="SYU69" s="8"/>
      <c r="SYV69" s="8"/>
      <c r="SYW69" s="8"/>
      <c r="SYX69" s="8"/>
      <c r="SYY69" s="8"/>
      <c r="SYZ69" s="8"/>
      <c r="SZA69" s="8"/>
      <c r="SZB69" s="8"/>
      <c r="SZC69" s="8"/>
      <c r="SZD69" s="8"/>
      <c r="SZE69" s="8"/>
      <c r="SZF69" s="8"/>
      <c r="SZG69" s="8"/>
      <c r="SZH69" s="8"/>
      <c r="SZI69" s="8"/>
      <c r="SZJ69" s="8"/>
      <c r="SZK69" s="8"/>
      <c r="SZL69" s="8"/>
      <c r="SZM69" s="8"/>
      <c r="SZN69" s="8"/>
      <c r="SZO69" s="8"/>
      <c r="SZP69" s="8"/>
      <c r="SZQ69" s="8"/>
      <c r="SZR69" s="8"/>
      <c r="SZS69" s="8"/>
      <c r="SZT69" s="8"/>
      <c r="SZU69" s="8"/>
      <c r="SZV69" s="8"/>
      <c r="SZW69" s="8"/>
      <c r="SZX69" s="8"/>
      <c r="SZY69" s="8"/>
      <c r="SZZ69" s="8"/>
      <c r="TAA69" s="8"/>
      <c r="TAB69" s="8"/>
      <c r="TAC69" s="8"/>
      <c r="TAD69" s="8"/>
      <c r="TAE69" s="8"/>
      <c r="TAF69" s="8"/>
      <c r="TAG69" s="8"/>
      <c r="TAH69" s="8"/>
      <c r="TAI69" s="8"/>
      <c r="TAJ69" s="8"/>
      <c r="TAK69" s="8"/>
      <c r="TAL69" s="8"/>
      <c r="TAM69" s="8"/>
      <c r="TAN69" s="8"/>
      <c r="TAO69" s="8"/>
      <c r="TAP69" s="8"/>
      <c r="TAQ69" s="8"/>
      <c r="TAR69" s="8"/>
      <c r="TAS69" s="8"/>
      <c r="TAT69" s="8"/>
      <c r="TAU69" s="8"/>
      <c r="TAV69" s="8"/>
      <c r="TAW69" s="8"/>
      <c r="TAX69" s="8"/>
      <c r="TAY69" s="8"/>
      <c r="TAZ69" s="8"/>
      <c r="TBA69" s="8"/>
      <c r="TBB69" s="8"/>
      <c r="TBC69" s="8"/>
      <c r="TBD69" s="8"/>
      <c r="TBE69" s="8"/>
      <c r="TBF69" s="8"/>
      <c r="TBG69" s="8"/>
      <c r="TBH69" s="8"/>
      <c r="TBI69" s="8"/>
      <c r="TBJ69" s="8"/>
      <c r="TBK69" s="8"/>
      <c r="TBL69" s="8"/>
      <c r="TBM69" s="8"/>
      <c r="TBN69" s="8"/>
      <c r="TBO69" s="8"/>
      <c r="TBP69" s="8"/>
      <c r="TBQ69" s="8"/>
      <c r="TBR69" s="8"/>
      <c r="TBS69" s="8"/>
      <c r="TBT69" s="8"/>
      <c r="TBU69" s="8"/>
      <c r="TBV69" s="8"/>
      <c r="TBW69" s="8"/>
      <c r="TBX69" s="8"/>
      <c r="TBY69" s="8"/>
      <c r="TBZ69" s="8"/>
      <c r="TCA69" s="8"/>
      <c r="TCB69" s="8"/>
      <c r="TCC69" s="8"/>
      <c r="TCD69" s="8"/>
      <c r="TCE69" s="8"/>
      <c r="TCF69" s="8"/>
      <c r="TCG69" s="8"/>
      <c r="TCH69" s="8"/>
      <c r="TCI69" s="8"/>
      <c r="TCJ69" s="8"/>
      <c r="TCK69" s="8"/>
      <c r="TCL69" s="8"/>
      <c r="TCM69" s="8"/>
      <c r="TCN69" s="8"/>
      <c r="TCO69" s="8"/>
      <c r="TCP69" s="8"/>
      <c r="TCQ69" s="8"/>
      <c r="TCR69" s="8"/>
      <c r="TCS69" s="8"/>
      <c r="TCT69" s="8"/>
      <c r="TCU69" s="8"/>
      <c r="TCV69" s="8"/>
      <c r="TCW69" s="8"/>
      <c r="TCX69" s="8"/>
      <c r="TCY69" s="8"/>
      <c r="TCZ69" s="8"/>
      <c r="TDA69" s="8"/>
      <c r="TDB69" s="8"/>
      <c r="TDC69" s="8"/>
      <c r="TDD69" s="8"/>
      <c r="TDE69" s="8"/>
      <c r="TDF69" s="8"/>
      <c r="TDG69" s="8"/>
      <c r="TDH69" s="8"/>
      <c r="TDI69" s="8"/>
      <c r="TDJ69" s="8"/>
      <c r="TDK69" s="8"/>
      <c r="TDL69" s="8"/>
      <c r="TDM69" s="8"/>
      <c r="TDN69" s="8"/>
      <c r="TDO69" s="8"/>
      <c r="TDP69" s="8"/>
      <c r="TDQ69" s="8"/>
      <c r="TDR69" s="8"/>
      <c r="TDS69" s="8"/>
      <c r="TDT69" s="8"/>
      <c r="TDU69" s="8"/>
      <c r="TDV69" s="8"/>
      <c r="TDW69" s="8"/>
      <c r="TDX69" s="8"/>
      <c r="TDY69" s="8"/>
      <c r="TDZ69" s="8"/>
      <c r="TEA69" s="8"/>
      <c r="TEB69" s="8"/>
      <c r="TEC69" s="8"/>
      <c r="TED69" s="8"/>
      <c r="TEE69" s="8"/>
      <c r="TEF69" s="8"/>
      <c r="TEG69" s="8"/>
      <c r="TEH69" s="8"/>
      <c r="TEI69" s="8"/>
      <c r="TEJ69" s="8"/>
      <c r="TEK69" s="8"/>
      <c r="TEL69" s="8"/>
      <c r="TEM69" s="8"/>
      <c r="TEN69" s="8"/>
      <c r="TEO69" s="8"/>
      <c r="TEP69" s="8"/>
      <c r="TEQ69" s="8"/>
      <c r="TER69" s="8"/>
      <c r="TES69" s="8"/>
      <c r="TET69" s="8"/>
      <c r="TEU69" s="8"/>
      <c r="TEV69" s="8"/>
      <c r="TEW69" s="8"/>
      <c r="TEX69" s="8"/>
      <c r="TEY69" s="8"/>
      <c r="TEZ69" s="8"/>
      <c r="TFA69" s="8"/>
      <c r="TFB69" s="8"/>
      <c r="TFC69" s="8"/>
      <c r="TFD69" s="8"/>
      <c r="TFE69" s="8"/>
      <c r="TFF69" s="8"/>
      <c r="TFG69" s="8"/>
      <c r="TFH69" s="8"/>
      <c r="TFI69" s="8"/>
      <c r="TFJ69" s="8"/>
      <c r="TFK69" s="8"/>
      <c r="TFL69" s="8"/>
      <c r="TFM69" s="8"/>
      <c r="TFN69" s="8"/>
      <c r="TFO69" s="8"/>
      <c r="TFP69" s="8"/>
      <c r="TFQ69" s="8"/>
      <c r="TFR69" s="8"/>
      <c r="TFS69" s="8"/>
      <c r="TFT69" s="8"/>
      <c r="TFU69" s="8"/>
      <c r="TFV69" s="8"/>
      <c r="TFW69" s="8"/>
      <c r="TFX69" s="8"/>
      <c r="TFY69" s="8"/>
      <c r="TFZ69" s="8"/>
      <c r="TGA69" s="8"/>
      <c r="TGB69" s="8"/>
      <c r="TGC69" s="8"/>
      <c r="TGD69" s="8"/>
      <c r="TGE69" s="8"/>
      <c r="TGF69" s="8"/>
      <c r="TGG69" s="8"/>
      <c r="TGH69" s="8"/>
      <c r="TGI69" s="8"/>
      <c r="TGJ69" s="8"/>
      <c r="TGK69" s="8"/>
      <c r="TGL69" s="8"/>
      <c r="TGM69" s="8"/>
      <c r="TGN69" s="8"/>
      <c r="TGO69" s="8"/>
      <c r="TGP69" s="8"/>
      <c r="TGQ69" s="8"/>
      <c r="TGR69" s="8"/>
      <c r="TGS69" s="8"/>
      <c r="TGT69" s="8"/>
      <c r="TGU69" s="8"/>
      <c r="TGV69" s="8"/>
      <c r="TGW69" s="8"/>
      <c r="TGX69" s="8"/>
      <c r="TGY69" s="8"/>
      <c r="TGZ69" s="8"/>
      <c r="THA69" s="8"/>
      <c r="THB69" s="8"/>
      <c r="THC69" s="8"/>
      <c r="THD69" s="8"/>
      <c r="THE69" s="8"/>
      <c r="THF69" s="8"/>
      <c r="THG69" s="8"/>
      <c r="THH69" s="8"/>
      <c r="THI69" s="8"/>
      <c r="THJ69" s="8"/>
      <c r="THK69" s="8"/>
      <c r="THL69" s="8"/>
      <c r="THM69" s="8"/>
      <c r="THN69" s="8"/>
      <c r="THO69" s="8"/>
      <c r="THP69" s="8"/>
      <c r="THQ69" s="8"/>
      <c r="THR69" s="8"/>
      <c r="THS69" s="8"/>
      <c r="THT69" s="8"/>
      <c r="THU69" s="8"/>
      <c r="THV69" s="8"/>
      <c r="THW69" s="8"/>
      <c r="THX69" s="8"/>
      <c r="THY69" s="8"/>
      <c r="THZ69" s="8"/>
      <c r="TIA69" s="8"/>
      <c r="TIB69" s="8"/>
      <c r="TIC69" s="8"/>
      <c r="TID69" s="8"/>
      <c r="TIE69" s="8"/>
      <c r="TIF69" s="8"/>
      <c r="TIG69" s="8"/>
      <c r="TIH69" s="8"/>
      <c r="TII69" s="8"/>
      <c r="TIJ69" s="8"/>
      <c r="TIK69" s="8"/>
      <c r="TIL69" s="8"/>
      <c r="TIM69" s="8"/>
      <c r="TIN69" s="8"/>
      <c r="TIO69" s="8"/>
      <c r="TIP69" s="8"/>
      <c r="TIQ69" s="8"/>
      <c r="TIR69" s="8"/>
      <c r="TIS69" s="8"/>
      <c r="TIT69" s="8"/>
      <c r="TIU69" s="8"/>
      <c r="TIV69" s="8"/>
      <c r="TIW69" s="8"/>
      <c r="TIX69" s="8"/>
      <c r="TIY69" s="8"/>
      <c r="TIZ69" s="8"/>
      <c r="TJA69" s="8"/>
      <c r="TJB69" s="8"/>
      <c r="TJC69" s="8"/>
      <c r="TJD69" s="8"/>
      <c r="TJE69" s="8"/>
      <c r="TJF69" s="8"/>
      <c r="TJG69" s="8"/>
      <c r="TJH69" s="8"/>
      <c r="TJI69" s="8"/>
      <c r="TJJ69" s="8"/>
      <c r="TJK69" s="8"/>
      <c r="TJL69" s="8"/>
      <c r="TJM69" s="8"/>
      <c r="TJN69" s="8"/>
      <c r="TJO69" s="8"/>
      <c r="TJP69" s="8"/>
      <c r="TJQ69" s="8"/>
      <c r="TJR69" s="8"/>
      <c r="TJS69" s="8"/>
      <c r="TJT69" s="8"/>
      <c r="TJU69" s="8"/>
      <c r="TJV69" s="8"/>
      <c r="TJW69" s="8"/>
      <c r="TJX69" s="8"/>
      <c r="TJY69" s="8"/>
      <c r="TJZ69" s="8"/>
      <c r="TKA69" s="8"/>
      <c r="TKB69" s="8"/>
      <c r="TKC69" s="8"/>
      <c r="TKD69" s="8"/>
      <c r="TKE69" s="8"/>
      <c r="TKF69" s="8"/>
      <c r="TKG69" s="8"/>
      <c r="TKH69" s="8"/>
      <c r="TKI69" s="8"/>
      <c r="TKJ69" s="8"/>
      <c r="TKK69" s="8"/>
      <c r="TKL69" s="8"/>
      <c r="TKM69" s="8"/>
      <c r="TKN69" s="8"/>
      <c r="TKO69" s="8"/>
      <c r="TKP69" s="8"/>
      <c r="TKQ69" s="8"/>
      <c r="TKR69" s="8"/>
      <c r="TKS69" s="8"/>
      <c r="TKT69" s="8"/>
      <c r="TKU69" s="8"/>
      <c r="TKV69" s="8"/>
      <c r="TKW69" s="8"/>
      <c r="TKX69" s="8"/>
      <c r="TKY69" s="8"/>
      <c r="TKZ69" s="8"/>
      <c r="TLA69" s="8"/>
      <c r="TLB69" s="8"/>
      <c r="TLC69" s="8"/>
      <c r="TLD69" s="8"/>
      <c r="TLE69" s="8"/>
      <c r="TLF69" s="8"/>
      <c r="TLG69" s="8"/>
      <c r="TLH69" s="8"/>
      <c r="TLI69" s="8"/>
      <c r="TLJ69" s="8"/>
      <c r="TLK69" s="8"/>
      <c r="TLL69" s="8"/>
      <c r="TLM69" s="8"/>
      <c r="TLN69" s="8"/>
      <c r="TLO69" s="8"/>
      <c r="TLP69" s="8"/>
      <c r="TLQ69" s="8"/>
      <c r="TLR69" s="8"/>
      <c r="TLS69" s="8"/>
      <c r="TLT69" s="8"/>
      <c r="TLU69" s="8"/>
      <c r="TLV69" s="8"/>
      <c r="TLW69" s="8"/>
      <c r="TLX69" s="8"/>
      <c r="TLY69" s="8"/>
      <c r="TLZ69" s="8"/>
      <c r="TMA69" s="8"/>
      <c r="TMB69" s="8"/>
      <c r="TMC69" s="8"/>
      <c r="TMD69" s="8"/>
      <c r="TME69" s="8"/>
      <c r="TMF69" s="8"/>
      <c r="TMG69" s="8"/>
      <c r="TMH69" s="8"/>
      <c r="TMI69" s="8"/>
      <c r="TMJ69" s="8"/>
      <c r="TMK69" s="8"/>
      <c r="TML69" s="8"/>
      <c r="TMM69" s="8"/>
      <c r="TMN69" s="8"/>
      <c r="TMO69" s="8"/>
      <c r="TMP69" s="8"/>
      <c r="TMQ69" s="8"/>
      <c r="TMR69" s="8"/>
      <c r="TMS69" s="8"/>
      <c r="TMT69" s="8"/>
      <c r="TMU69" s="8"/>
      <c r="TMV69" s="8"/>
      <c r="TMW69" s="8"/>
      <c r="TMX69" s="8"/>
      <c r="TMY69" s="8"/>
      <c r="TMZ69" s="8"/>
      <c r="TNA69" s="8"/>
      <c r="TNB69" s="8"/>
      <c r="TNC69" s="8"/>
      <c r="TND69" s="8"/>
      <c r="TNE69" s="8"/>
      <c r="TNF69" s="8"/>
      <c r="TNG69" s="8"/>
      <c r="TNH69" s="8"/>
      <c r="TNI69" s="8"/>
      <c r="TNJ69" s="8"/>
      <c r="TNK69" s="8"/>
      <c r="TNL69" s="8"/>
      <c r="TNM69" s="8"/>
      <c r="TNN69" s="8"/>
      <c r="TNO69" s="8"/>
      <c r="TNP69" s="8"/>
      <c r="TNQ69" s="8"/>
      <c r="TNR69" s="8"/>
      <c r="TNS69" s="8"/>
      <c r="TNT69" s="8"/>
      <c r="TNU69" s="8"/>
      <c r="TNV69" s="8"/>
      <c r="TNW69" s="8"/>
      <c r="TNX69" s="8"/>
      <c r="TNY69" s="8"/>
      <c r="TNZ69" s="8"/>
      <c r="TOA69" s="8"/>
      <c r="TOB69" s="8"/>
      <c r="TOC69" s="8"/>
      <c r="TOD69" s="8"/>
      <c r="TOE69" s="8"/>
      <c r="TOF69" s="8"/>
      <c r="TOG69" s="8"/>
      <c r="TOH69" s="8"/>
      <c r="TOI69" s="8"/>
      <c r="TOJ69" s="8"/>
      <c r="TOK69" s="8"/>
      <c r="TOL69" s="8"/>
      <c r="TOM69" s="8"/>
      <c r="TON69" s="8"/>
      <c r="TOO69" s="8"/>
      <c r="TOP69" s="8"/>
      <c r="TOQ69" s="8"/>
      <c r="TOR69" s="8"/>
      <c r="TOS69" s="8"/>
      <c r="TOT69" s="8"/>
      <c r="TOU69" s="8"/>
      <c r="TOV69" s="8"/>
      <c r="TOW69" s="8"/>
      <c r="TOX69" s="8"/>
      <c r="TOY69" s="8"/>
      <c r="TOZ69" s="8"/>
      <c r="TPA69" s="8"/>
      <c r="TPB69" s="8"/>
      <c r="TPC69" s="8"/>
      <c r="TPD69" s="8"/>
      <c r="TPE69" s="8"/>
      <c r="TPF69" s="8"/>
      <c r="TPG69" s="8"/>
      <c r="TPH69" s="8"/>
      <c r="TPI69" s="8"/>
      <c r="TPJ69" s="8"/>
      <c r="TPK69" s="8"/>
      <c r="TPL69" s="8"/>
      <c r="TPM69" s="8"/>
      <c r="TPN69" s="8"/>
      <c r="TPO69" s="8"/>
      <c r="TPP69" s="8"/>
      <c r="TPQ69" s="8"/>
      <c r="TPR69" s="8"/>
      <c r="TPS69" s="8"/>
      <c r="TPT69" s="8"/>
      <c r="TPU69" s="8"/>
      <c r="TPV69" s="8"/>
      <c r="TPW69" s="8"/>
      <c r="TPX69" s="8"/>
      <c r="TPY69" s="8"/>
      <c r="TPZ69" s="8"/>
      <c r="TQA69" s="8"/>
      <c r="TQB69" s="8"/>
      <c r="TQC69" s="8"/>
      <c r="TQD69" s="8"/>
      <c r="TQE69" s="8"/>
      <c r="TQF69" s="8"/>
      <c r="TQG69" s="8"/>
      <c r="TQH69" s="8"/>
      <c r="TQI69" s="8"/>
      <c r="TQJ69" s="8"/>
      <c r="TQK69" s="8"/>
      <c r="TQL69" s="8"/>
      <c r="TQM69" s="8"/>
      <c r="TQN69" s="8"/>
      <c r="TQO69" s="8"/>
      <c r="TQP69" s="8"/>
      <c r="TQQ69" s="8"/>
      <c r="TQR69" s="8"/>
      <c r="TQS69" s="8"/>
      <c r="TQT69" s="8"/>
      <c r="TQU69" s="8"/>
      <c r="TQV69" s="8"/>
      <c r="TQW69" s="8"/>
      <c r="TQX69" s="8"/>
      <c r="TQY69" s="8"/>
      <c r="TQZ69" s="8"/>
      <c r="TRA69" s="8"/>
      <c r="TRB69" s="8"/>
      <c r="TRC69" s="8"/>
      <c r="TRD69" s="8"/>
      <c r="TRE69" s="8"/>
      <c r="TRF69" s="8"/>
      <c r="TRG69" s="8"/>
      <c r="TRH69" s="8"/>
      <c r="TRI69" s="8"/>
      <c r="TRJ69" s="8"/>
      <c r="TRK69" s="8"/>
      <c r="TRL69" s="8"/>
      <c r="TRM69" s="8"/>
      <c r="TRN69" s="8"/>
      <c r="TRO69" s="8"/>
      <c r="TRP69" s="8"/>
      <c r="TRQ69" s="8"/>
      <c r="TRR69" s="8"/>
      <c r="TRS69" s="8"/>
      <c r="TRT69" s="8"/>
      <c r="TRU69" s="8"/>
      <c r="TRV69" s="8"/>
      <c r="TRW69" s="8"/>
      <c r="TRX69" s="8"/>
      <c r="TRY69" s="8"/>
      <c r="TRZ69" s="8"/>
      <c r="TSA69" s="8"/>
      <c r="TSB69" s="8"/>
      <c r="TSC69" s="8"/>
      <c r="TSD69" s="8"/>
      <c r="TSE69" s="8"/>
      <c r="TSF69" s="8"/>
      <c r="TSG69" s="8"/>
      <c r="TSH69" s="8"/>
      <c r="TSI69" s="8"/>
      <c r="TSJ69" s="8"/>
      <c r="TSK69" s="8"/>
      <c r="TSL69" s="8"/>
      <c r="TSM69" s="8"/>
      <c r="TSN69" s="8"/>
      <c r="TSO69" s="8"/>
      <c r="TSP69" s="8"/>
      <c r="TSQ69" s="8"/>
      <c r="TSR69" s="8"/>
      <c r="TSS69" s="8"/>
      <c r="TST69" s="8"/>
      <c r="TSU69" s="8"/>
      <c r="TSV69" s="8"/>
      <c r="TSW69" s="8"/>
      <c r="TSX69" s="8"/>
      <c r="TSY69" s="8"/>
      <c r="TSZ69" s="8"/>
      <c r="TTA69" s="8"/>
      <c r="TTB69" s="8"/>
      <c r="TTC69" s="8"/>
      <c r="TTD69" s="8"/>
      <c r="TTE69" s="8"/>
      <c r="TTF69" s="8"/>
      <c r="TTG69" s="8"/>
      <c r="TTH69" s="8"/>
      <c r="TTI69" s="8"/>
      <c r="TTJ69" s="8"/>
      <c r="TTK69" s="8"/>
      <c r="TTL69" s="8"/>
      <c r="TTM69" s="8"/>
      <c r="TTN69" s="8"/>
      <c r="TTO69" s="8"/>
      <c r="TTP69" s="8"/>
      <c r="TTQ69" s="8"/>
      <c r="TTR69" s="8"/>
      <c r="TTS69" s="8"/>
      <c r="TTT69" s="8"/>
      <c r="TTU69" s="8"/>
      <c r="TTV69" s="8"/>
      <c r="TTW69" s="8"/>
      <c r="TTX69" s="8"/>
      <c r="TTY69" s="8"/>
      <c r="TTZ69" s="8"/>
      <c r="TUA69" s="8"/>
      <c r="TUB69" s="8"/>
      <c r="TUC69" s="8"/>
      <c r="TUD69" s="8"/>
      <c r="TUE69" s="8"/>
      <c r="TUF69" s="8"/>
      <c r="TUG69" s="8"/>
      <c r="TUH69" s="8"/>
      <c r="TUI69" s="8"/>
      <c r="TUJ69" s="8"/>
      <c r="TUK69" s="8"/>
      <c r="TUL69" s="8"/>
      <c r="TUM69" s="8"/>
      <c r="TUN69" s="8"/>
      <c r="TUO69" s="8"/>
      <c r="TUP69" s="8"/>
      <c r="TUQ69" s="8"/>
      <c r="TUR69" s="8"/>
      <c r="TUS69" s="8"/>
      <c r="TUT69" s="8"/>
      <c r="TUU69" s="8"/>
      <c r="TUV69" s="8"/>
      <c r="TUW69" s="8"/>
      <c r="TUX69" s="8"/>
      <c r="TUY69" s="8"/>
      <c r="TUZ69" s="8"/>
      <c r="TVA69" s="8"/>
      <c r="TVB69" s="8"/>
      <c r="TVC69" s="8"/>
      <c r="TVD69" s="8"/>
      <c r="TVE69" s="8"/>
      <c r="TVF69" s="8"/>
      <c r="TVG69" s="8"/>
      <c r="TVH69" s="8"/>
      <c r="TVI69" s="8"/>
      <c r="TVJ69" s="8"/>
      <c r="TVK69" s="8"/>
      <c r="TVL69" s="8"/>
      <c r="TVM69" s="8"/>
      <c r="TVN69" s="8"/>
      <c r="TVO69" s="8"/>
      <c r="TVP69" s="8"/>
      <c r="TVQ69" s="8"/>
      <c r="TVR69" s="8"/>
      <c r="TVS69" s="8"/>
      <c r="TVT69" s="8"/>
      <c r="TVU69" s="8"/>
      <c r="TVV69" s="8"/>
      <c r="TVW69" s="8"/>
      <c r="TVX69" s="8"/>
      <c r="TVY69" s="8"/>
      <c r="TVZ69" s="8"/>
      <c r="TWA69" s="8"/>
      <c r="TWB69" s="8"/>
      <c r="TWC69" s="8"/>
      <c r="TWD69" s="8"/>
      <c r="TWE69" s="8"/>
      <c r="TWF69" s="8"/>
      <c r="TWG69" s="8"/>
      <c r="TWH69" s="8"/>
      <c r="TWI69" s="8"/>
      <c r="TWJ69" s="8"/>
      <c r="TWK69" s="8"/>
      <c r="TWL69" s="8"/>
      <c r="TWM69" s="8"/>
      <c r="TWN69" s="8"/>
      <c r="TWO69" s="8"/>
      <c r="TWP69" s="8"/>
      <c r="TWQ69" s="8"/>
      <c r="TWR69" s="8"/>
      <c r="TWS69" s="8"/>
      <c r="TWT69" s="8"/>
      <c r="TWU69" s="8"/>
      <c r="TWV69" s="8"/>
      <c r="TWW69" s="8"/>
      <c r="TWX69" s="8"/>
      <c r="TWY69" s="8"/>
      <c r="TWZ69" s="8"/>
      <c r="TXA69" s="8"/>
      <c r="TXB69" s="8"/>
      <c r="TXC69" s="8"/>
      <c r="TXD69" s="8"/>
      <c r="TXE69" s="8"/>
      <c r="TXF69" s="8"/>
      <c r="TXG69" s="8"/>
      <c r="TXH69" s="8"/>
      <c r="TXI69" s="8"/>
      <c r="TXJ69" s="8"/>
      <c r="TXK69" s="8"/>
      <c r="TXL69" s="8"/>
      <c r="TXM69" s="8"/>
      <c r="TXN69" s="8"/>
      <c r="TXO69" s="8"/>
      <c r="TXP69" s="8"/>
      <c r="TXQ69" s="8"/>
      <c r="TXR69" s="8"/>
      <c r="TXS69" s="8"/>
      <c r="TXT69" s="8"/>
      <c r="TXU69" s="8"/>
      <c r="TXV69" s="8"/>
      <c r="TXW69" s="8"/>
      <c r="TXX69" s="8"/>
      <c r="TXY69" s="8"/>
      <c r="TXZ69" s="8"/>
      <c r="TYA69" s="8"/>
      <c r="TYB69" s="8"/>
      <c r="TYC69" s="8"/>
      <c r="TYD69" s="8"/>
      <c r="TYE69" s="8"/>
      <c r="TYF69" s="8"/>
      <c r="TYG69" s="8"/>
      <c r="TYH69" s="8"/>
      <c r="TYI69" s="8"/>
      <c r="TYJ69" s="8"/>
      <c r="TYK69" s="8"/>
      <c r="TYL69" s="8"/>
      <c r="TYM69" s="8"/>
      <c r="TYN69" s="8"/>
      <c r="TYO69" s="8"/>
      <c r="TYP69" s="8"/>
      <c r="TYQ69" s="8"/>
      <c r="TYR69" s="8"/>
      <c r="TYS69" s="8"/>
      <c r="TYT69" s="8"/>
      <c r="TYU69" s="8"/>
      <c r="TYV69" s="8"/>
      <c r="TYW69" s="8"/>
      <c r="TYX69" s="8"/>
      <c r="TYY69" s="8"/>
      <c r="TYZ69" s="8"/>
      <c r="TZA69" s="8"/>
      <c r="TZB69" s="8"/>
      <c r="TZC69" s="8"/>
      <c r="TZD69" s="8"/>
      <c r="TZE69" s="8"/>
      <c r="TZF69" s="8"/>
      <c r="TZG69" s="8"/>
      <c r="TZH69" s="8"/>
      <c r="TZI69" s="8"/>
      <c r="TZJ69" s="8"/>
      <c r="TZK69" s="8"/>
      <c r="TZL69" s="8"/>
      <c r="TZM69" s="8"/>
      <c r="TZN69" s="8"/>
      <c r="TZO69" s="8"/>
      <c r="TZP69" s="8"/>
      <c r="TZQ69" s="8"/>
      <c r="TZR69" s="8"/>
      <c r="TZS69" s="8"/>
      <c r="TZT69" s="8"/>
      <c r="TZU69" s="8"/>
      <c r="TZV69" s="8"/>
      <c r="TZW69" s="8"/>
      <c r="TZX69" s="8"/>
      <c r="TZY69" s="8"/>
      <c r="TZZ69" s="8"/>
      <c r="UAA69" s="8"/>
      <c r="UAB69" s="8"/>
      <c r="UAC69" s="8"/>
      <c r="UAD69" s="8"/>
      <c r="UAE69" s="8"/>
      <c r="UAF69" s="8"/>
      <c r="UAG69" s="8"/>
      <c r="UAH69" s="8"/>
      <c r="UAI69" s="8"/>
      <c r="UAJ69" s="8"/>
      <c r="UAK69" s="8"/>
      <c r="UAL69" s="8"/>
      <c r="UAM69" s="8"/>
      <c r="UAN69" s="8"/>
      <c r="UAO69" s="8"/>
      <c r="UAP69" s="8"/>
      <c r="UAQ69" s="8"/>
      <c r="UAR69" s="8"/>
      <c r="UAS69" s="8"/>
      <c r="UAT69" s="8"/>
      <c r="UAU69" s="8"/>
      <c r="UAV69" s="8"/>
      <c r="UAW69" s="8"/>
      <c r="UAX69" s="8"/>
      <c r="UAY69" s="8"/>
      <c r="UAZ69" s="8"/>
      <c r="UBA69" s="8"/>
      <c r="UBB69" s="8"/>
      <c r="UBC69" s="8"/>
      <c r="UBD69" s="8"/>
      <c r="UBE69" s="8"/>
      <c r="UBF69" s="8"/>
      <c r="UBG69" s="8"/>
      <c r="UBH69" s="8"/>
      <c r="UBI69" s="8"/>
      <c r="UBJ69" s="8"/>
      <c r="UBK69" s="8"/>
      <c r="UBL69" s="8"/>
      <c r="UBM69" s="8"/>
      <c r="UBN69" s="8"/>
      <c r="UBO69" s="8"/>
      <c r="UBP69" s="8"/>
      <c r="UBQ69" s="8"/>
      <c r="UBR69" s="8"/>
      <c r="UBS69" s="8"/>
      <c r="UBT69" s="8"/>
      <c r="UBU69" s="8"/>
      <c r="UBV69" s="8"/>
      <c r="UBW69" s="8"/>
      <c r="UBX69" s="8"/>
      <c r="UBY69" s="8"/>
      <c r="UBZ69" s="8"/>
      <c r="UCA69" s="8"/>
      <c r="UCB69" s="8"/>
      <c r="UCC69" s="8"/>
      <c r="UCD69" s="8"/>
      <c r="UCE69" s="8"/>
      <c r="UCF69" s="8"/>
      <c r="UCG69" s="8"/>
      <c r="UCH69" s="8"/>
      <c r="UCI69" s="8"/>
      <c r="UCJ69" s="8"/>
      <c r="UCK69" s="8"/>
      <c r="UCL69" s="8"/>
      <c r="UCM69" s="8"/>
      <c r="UCN69" s="8"/>
      <c r="UCO69" s="8"/>
      <c r="UCP69" s="8"/>
      <c r="UCQ69" s="8"/>
      <c r="UCR69" s="8"/>
      <c r="UCS69" s="8"/>
      <c r="UCT69" s="8"/>
      <c r="UCU69" s="8"/>
      <c r="UCV69" s="8"/>
      <c r="UCW69" s="8"/>
      <c r="UCX69" s="8"/>
      <c r="UCY69" s="8"/>
      <c r="UCZ69" s="8"/>
      <c r="UDA69" s="8"/>
      <c r="UDB69" s="8"/>
      <c r="UDC69" s="8"/>
      <c r="UDD69" s="8"/>
      <c r="UDE69" s="8"/>
      <c r="UDF69" s="8"/>
      <c r="UDG69" s="8"/>
      <c r="UDH69" s="8"/>
      <c r="UDI69" s="8"/>
      <c r="UDJ69" s="8"/>
      <c r="UDK69" s="8"/>
      <c r="UDL69" s="8"/>
      <c r="UDM69" s="8"/>
      <c r="UDN69" s="8"/>
      <c r="UDO69" s="8"/>
      <c r="UDP69" s="8"/>
      <c r="UDQ69" s="8"/>
      <c r="UDR69" s="8"/>
      <c r="UDS69" s="8"/>
      <c r="UDT69" s="8"/>
      <c r="UDU69" s="8"/>
      <c r="UDV69" s="8"/>
      <c r="UDW69" s="8"/>
      <c r="UDX69" s="8"/>
      <c r="UDY69" s="8"/>
      <c r="UDZ69" s="8"/>
      <c r="UEA69" s="8"/>
      <c r="UEB69" s="8"/>
      <c r="UEC69" s="8"/>
      <c r="UED69" s="8"/>
      <c r="UEE69" s="8"/>
      <c r="UEF69" s="8"/>
      <c r="UEG69" s="8"/>
      <c r="UEH69" s="8"/>
      <c r="UEI69" s="8"/>
      <c r="UEJ69" s="8"/>
      <c r="UEK69" s="8"/>
      <c r="UEL69" s="8"/>
      <c r="UEM69" s="8"/>
      <c r="UEN69" s="8"/>
      <c r="UEO69" s="8"/>
      <c r="UEP69" s="8"/>
      <c r="UEQ69" s="8"/>
      <c r="UER69" s="8"/>
      <c r="UES69" s="8"/>
      <c r="UET69" s="8"/>
      <c r="UEU69" s="8"/>
      <c r="UEV69" s="8"/>
      <c r="UEW69" s="8"/>
      <c r="UEX69" s="8"/>
      <c r="UEY69" s="8"/>
      <c r="UEZ69" s="8"/>
      <c r="UFA69" s="8"/>
      <c r="UFB69" s="8"/>
      <c r="UFC69" s="8"/>
      <c r="UFD69" s="8"/>
      <c r="UFE69" s="8"/>
      <c r="UFF69" s="8"/>
      <c r="UFG69" s="8"/>
      <c r="UFH69" s="8"/>
      <c r="UFI69" s="8"/>
      <c r="UFJ69" s="8"/>
      <c r="UFK69" s="8"/>
      <c r="UFL69" s="8"/>
      <c r="UFM69" s="8"/>
      <c r="UFN69" s="8"/>
      <c r="UFO69" s="8"/>
      <c r="UFP69" s="8"/>
      <c r="UFQ69" s="8"/>
      <c r="UFR69" s="8"/>
      <c r="UFS69" s="8"/>
      <c r="UFT69" s="8"/>
      <c r="UFU69" s="8"/>
      <c r="UFV69" s="8"/>
      <c r="UFW69" s="8"/>
      <c r="UFX69" s="8"/>
      <c r="UFY69" s="8"/>
      <c r="UFZ69" s="8"/>
      <c r="UGA69" s="8"/>
      <c r="UGB69" s="8"/>
      <c r="UGC69" s="8"/>
      <c r="UGD69" s="8"/>
      <c r="UGE69" s="8"/>
      <c r="UGF69" s="8"/>
      <c r="UGG69" s="8"/>
      <c r="UGH69" s="8"/>
      <c r="UGI69" s="8"/>
      <c r="UGJ69" s="8"/>
      <c r="UGK69" s="8"/>
      <c r="UGL69" s="8"/>
      <c r="UGM69" s="8"/>
      <c r="UGN69" s="8"/>
      <c r="UGO69" s="8"/>
      <c r="UGP69" s="8"/>
      <c r="UGQ69" s="8"/>
      <c r="UGR69" s="8"/>
      <c r="UGS69" s="8"/>
      <c r="UGT69" s="8"/>
      <c r="UGU69" s="8"/>
      <c r="UGV69" s="8"/>
      <c r="UGW69" s="8"/>
      <c r="UGX69" s="8"/>
      <c r="UGY69" s="8"/>
      <c r="UGZ69" s="8"/>
      <c r="UHA69" s="8"/>
      <c r="UHB69" s="8"/>
      <c r="UHC69" s="8"/>
      <c r="UHD69" s="8"/>
      <c r="UHE69" s="8"/>
      <c r="UHF69" s="8"/>
      <c r="UHG69" s="8"/>
      <c r="UHH69" s="8"/>
      <c r="UHI69" s="8"/>
      <c r="UHJ69" s="8"/>
      <c r="UHK69" s="8"/>
      <c r="UHL69" s="8"/>
      <c r="UHM69" s="8"/>
      <c r="UHN69" s="8"/>
      <c r="UHO69" s="8"/>
      <c r="UHP69" s="8"/>
      <c r="UHQ69" s="8"/>
      <c r="UHR69" s="8"/>
      <c r="UHS69" s="8"/>
      <c r="UHT69" s="8"/>
      <c r="UHU69" s="8"/>
      <c r="UHV69" s="8"/>
      <c r="UHW69" s="8"/>
      <c r="UHX69" s="8"/>
      <c r="UHY69" s="8"/>
      <c r="UHZ69" s="8"/>
      <c r="UIA69" s="8"/>
      <c r="UIB69" s="8"/>
      <c r="UIC69" s="8"/>
      <c r="UID69" s="8"/>
      <c r="UIE69" s="8"/>
      <c r="UIF69" s="8"/>
      <c r="UIG69" s="8"/>
      <c r="UIH69" s="8"/>
      <c r="UII69" s="8"/>
      <c r="UIJ69" s="8"/>
      <c r="UIK69" s="8"/>
      <c r="UIL69" s="8"/>
      <c r="UIM69" s="8"/>
      <c r="UIN69" s="8"/>
      <c r="UIO69" s="8"/>
      <c r="UIP69" s="8"/>
      <c r="UIQ69" s="8"/>
      <c r="UIR69" s="8"/>
      <c r="UIS69" s="8"/>
      <c r="UIT69" s="8"/>
      <c r="UIU69" s="8"/>
      <c r="UIV69" s="8"/>
      <c r="UIW69" s="8"/>
      <c r="UIX69" s="8"/>
      <c r="UIY69" s="8"/>
      <c r="UIZ69" s="8"/>
      <c r="UJA69" s="8"/>
      <c r="UJB69" s="8"/>
      <c r="UJC69" s="8"/>
      <c r="UJD69" s="8"/>
      <c r="UJE69" s="8"/>
      <c r="UJF69" s="8"/>
      <c r="UJG69" s="8"/>
      <c r="UJH69" s="8"/>
      <c r="UJI69" s="8"/>
      <c r="UJJ69" s="8"/>
      <c r="UJK69" s="8"/>
      <c r="UJL69" s="8"/>
      <c r="UJM69" s="8"/>
      <c r="UJN69" s="8"/>
      <c r="UJO69" s="8"/>
      <c r="UJP69" s="8"/>
      <c r="UJQ69" s="8"/>
      <c r="UJR69" s="8"/>
      <c r="UJS69" s="8"/>
      <c r="UJT69" s="8"/>
      <c r="UJU69" s="8"/>
      <c r="UJV69" s="8"/>
      <c r="UJW69" s="8"/>
      <c r="UJX69" s="8"/>
      <c r="UJY69" s="8"/>
      <c r="UJZ69" s="8"/>
      <c r="UKA69" s="8"/>
      <c r="UKB69" s="8"/>
      <c r="UKC69" s="8"/>
      <c r="UKD69" s="8"/>
      <c r="UKE69" s="8"/>
      <c r="UKF69" s="8"/>
      <c r="UKG69" s="8"/>
      <c r="UKH69" s="8"/>
      <c r="UKI69" s="8"/>
      <c r="UKJ69" s="8"/>
      <c r="UKK69" s="8"/>
      <c r="UKL69" s="8"/>
      <c r="UKM69" s="8"/>
      <c r="UKN69" s="8"/>
      <c r="UKO69" s="8"/>
      <c r="UKP69" s="8"/>
      <c r="UKQ69" s="8"/>
      <c r="UKR69" s="8"/>
      <c r="UKS69" s="8"/>
      <c r="UKT69" s="8"/>
      <c r="UKU69" s="8"/>
      <c r="UKV69" s="8"/>
      <c r="UKW69" s="8"/>
      <c r="UKX69" s="8"/>
      <c r="UKY69" s="8"/>
      <c r="UKZ69" s="8"/>
      <c r="ULA69" s="8"/>
      <c r="ULB69" s="8"/>
      <c r="ULC69" s="8"/>
      <c r="ULD69" s="8"/>
      <c r="ULE69" s="8"/>
      <c r="ULF69" s="8"/>
      <c r="ULG69" s="8"/>
      <c r="ULH69" s="8"/>
      <c r="ULI69" s="8"/>
      <c r="ULJ69" s="8"/>
      <c r="ULK69" s="8"/>
      <c r="ULL69" s="8"/>
      <c r="ULM69" s="8"/>
      <c r="ULN69" s="8"/>
      <c r="ULO69" s="8"/>
      <c r="ULP69" s="8"/>
      <c r="ULQ69" s="8"/>
      <c r="ULR69" s="8"/>
      <c r="ULS69" s="8"/>
      <c r="ULT69" s="8"/>
      <c r="ULU69" s="8"/>
      <c r="ULV69" s="8"/>
      <c r="ULW69" s="8"/>
      <c r="ULX69" s="8"/>
      <c r="ULY69" s="8"/>
      <c r="ULZ69" s="8"/>
      <c r="UMA69" s="8"/>
      <c r="UMB69" s="8"/>
      <c r="UMC69" s="8"/>
      <c r="UMD69" s="8"/>
      <c r="UME69" s="8"/>
      <c r="UMF69" s="8"/>
      <c r="UMG69" s="8"/>
      <c r="UMH69" s="8"/>
      <c r="UMI69" s="8"/>
      <c r="UMJ69" s="8"/>
      <c r="UMK69" s="8"/>
      <c r="UML69" s="8"/>
      <c r="UMM69" s="8"/>
      <c r="UMN69" s="8"/>
      <c r="UMO69" s="8"/>
      <c r="UMP69" s="8"/>
      <c r="UMQ69" s="8"/>
      <c r="UMR69" s="8"/>
      <c r="UMS69" s="8"/>
      <c r="UMT69" s="8"/>
      <c r="UMU69" s="8"/>
      <c r="UMV69" s="8"/>
      <c r="UMW69" s="8"/>
      <c r="UMX69" s="8"/>
      <c r="UMY69" s="8"/>
      <c r="UMZ69" s="8"/>
      <c r="UNA69" s="8"/>
      <c r="UNB69" s="8"/>
      <c r="UNC69" s="8"/>
      <c r="UND69" s="8"/>
      <c r="UNE69" s="8"/>
      <c r="UNF69" s="8"/>
      <c r="UNG69" s="8"/>
      <c r="UNH69" s="8"/>
      <c r="UNI69" s="8"/>
      <c r="UNJ69" s="8"/>
      <c r="UNK69" s="8"/>
      <c r="UNL69" s="8"/>
      <c r="UNM69" s="8"/>
      <c r="UNN69" s="8"/>
      <c r="UNO69" s="8"/>
      <c r="UNP69" s="8"/>
      <c r="UNQ69" s="8"/>
      <c r="UNR69" s="8"/>
      <c r="UNS69" s="8"/>
      <c r="UNT69" s="8"/>
      <c r="UNU69" s="8"/>
      <c r="UNV69" s="8"/>
      <c r="UNW69" s="8"/>
      <c r="UNX69" s="8"/>
      <c r="UNY69" s="8"/>
      <c r="UNZ69" s="8"/>
      <c r="UOA69" s="8"/>
      <c r="UOB69" s="8"/>
      <c r="UOC69" s="8"/>
      <c r="UOD69" s="8"/>
      <c r="UOE69" s="8"/>
      <c r="UOF69" s="8"/>
      <c r="UOG69" s="8"/>
      <c r="UOH69" s="8"/>
      <c r="UOI69" s="8"/>
      <c r="UOJ69" s="8"/>
      <c r="UOK69" s="8"/>
      <c r="UOL69" s="8"/>
      <c r="UOM69" s="8"/>
      <c r="UON69" s="8"/>
      <c r="UOO69" s="8"/>
      <c r="UOP69" s="8"/>
      <c r="UOQ69" s="8"/>
      <c r="UOR69" s="8"/>
      <c r="UOS69" s="8"/>
      <c r="UOT69" s="8"/>
      <c r="UOU69" s="8"/>
      <c r="UOV69" s="8"/>
      <c r="UOW69" s="8"/>
      <c r="UOX69" s="8"/>
      <c r="UOY69" s="8"/>
      <c r="UOZ69" s="8"/>
      <c r="UPA69" s="8"/>
      <c r="UPB69" s="8"/>
      <c r="UPC69" s="8"/>
      <c r="UPD69" s="8"/>
      <c r="UPE69" s="8"/>
      <c r="UPF69" s="8"/>
      <c r="UPG69" s="8"/>
      <c r="UPH69" s="8"/>
      <c r="UPI69" s="8"/>
      <c r="UPJ69" s="8"/>
      <c r="UPK69" s="8"/>
      <c r="UPL69" s="8"/>
      <c r="UPM69" s="8"/>
      <c r="UPN69" s="8"/>
      <c r="UPO69" s="8"/>
      <c r="UPP69" s="8"/>
      <c r="UPQ69" s="8"/>
      <c r="UPR69" s="8"/>
      <c r="UPS69" s="8"/>
      <c r="UPT69" s="8"/>
      <c r="UPU69" s="8"/>
      <c r="UPV69" s="8"/>
      <c r="UPW69" s="8"/>
      <c r="UPX69" s="8"/>
      <c r="UPY69" s="8"/>
      <c r="UPZ69" s="8"/>
      <c r="UQA69" s="8"/>
      <c r="UQB69" s="8"/>
      <c r="UQC69" s="8"/>
      <c r="UQD69" s="8"/>
      <c r="UQE69" s="8"/>
      <c r="UQF69" s="8"/>
      <c r="UQG69" s="8"/>
      <c r="UQH69" s="8"/>
      <c r="UQI69" s="8"/>
      <c r="UQJ69" s="8"/>
      <c r="UQK69" s="8"/>
      <c r="UQL69" s="8"/>
      <c r="UQM69" s="8"/>
      <c r="UQN69" s="8"/>
      <c r="UQO69" s="8"/>
      <c r="UQP69" s="8"/>
      <c r="UQQ69" s="8"/>
      <c r="UQR69" s="8"/>
      <c r="UQS69" s="8"/>
      <c r="UQT69" s="8"/>
      <c r="UQU69" s="8"/>
      <c r="UQV69" s="8"/>
      <c r="UQW69" s="8"/>
      <c r="UQX69" s="8"/>
      <c r="UQY69" s="8"/>
      <c r="UQZ69" s="8"/>
      <c r="URA69" s="8"/>
      <c r="URB69" s="8"/>
      <c r="URC69" s="8"/>
      <c r="URD69" s="8"/>
      <c r="URE69" s="8"/>
      <c r="URF69" s="8"/>
      <c r="URG69" s="8"/>
      <c r="URH69" s="8"/>
      <c r="URI69" s="8"/>
      <c r="URJ69" s="8"/>
      <c r="URK69" s="8"/>
      <c r="URL69" s="8"/>
      <c r="URM69" s="8"/>
      <c r="URN69" s="8"/>
      <c r="URO69" s="8"/>
      <c r="URP69" s="8"/>
      <c r="URQ69" s="8"/>
      <c r="URR69" s="8"/>
      <c r="URS69" s="8"/>
      <c r="URT69" s="8"/>
      <c r="URU69" s="8"/>
      <c r="URV69" s="8"/>
      <c r="URW69" s="8"/>
      <c r="URX69" s="8"/>
      <c r="URY69" s="8"/>
      <c r="URZ69" s="8"/>
      <c r="USA69" s="8"/>
      <c r="USB69" s="8"/>
      <c r="USC69" s="8"/>
      <c r="USD69" s="8"/>
      <c r="USE69" s="8"/>
      <c r="USF69" s="8"/>
      <c r="USG69" s="8"/>
      <c r="USH69" s="8"/>
      <c r="USI69" s="8"/>
      <c r="USJ69" s="8"/>
      <c r="USK69" s="8"/>
      <c r="USL69" s="8"/>
      <c r="USM69" s="8"/>
      <c r="USN69" s="8"/>
      <c r="USO69" s="8"/>
      <c r="USP69" s="8"/>
      <c r="USQ69" s="8"/>
      <c r="USR69" s="8"/>
      <c r="USS69" s="8"/>
      <c r="UST69" s="8"/>
      <c r="USU69" s="8"/>
      <c r="USV69" s="8"/>
      <c r="USW69" s="8"/>
      <c r="USX69" s="8"/>
      <c r="USY69" s="8"/>
      <c r="USZ69" s="8"/>
      <c r="UTA69" s="8"/>
      <c r="UTB69" s="8"/>
      <c r="UTC69" s="8"/>
      <c r="UTD69" s="8"/>
      <c r="UTE69" s="8"/>
      <c r="UTF69" s="8"/>
      <c r="UTG69" s="8"/>
      <c r="UTH69" s="8"/>
      <c r="UTI69" s="8"/>
      <c r="UTJ69" s="8"/>
      <c r="UTK69" s="8"/>
      <c r="UTL69" s="8"/>
      <c r="UTM69" s="8"/>
      <c r="UTN69" s="8"/>
      <c r="UTO69" s="8"/>
      <c r="UTP69" s="8"/>
      <c r="UTQ69" s="8"/>
      <c r="UTR69" s="8"/>
      <c r="UTS69" s="8"/>
      <c r="UTT69" s="8"/>
      <c r="UTU69" s="8"/>
      <c r="UTV69" s="8"/>
      <c r="UTW69" s="8"/>
      <c r="UTX69" s="8"/>
      <c r="UTY69" s="8"/>
      <c r="UTZ69" s="8"/>
      <c r="UUA69" s="8"/>
      <c r="UUB69" s="8"/>
      <c r="UUC69" s="8"/>
      <c r="UUD69" s="8"/>
      <c r="UUE69" s="8"/>
      <c r="UUF69" s="8"/>
      <c r="UUG69" s="8"/>
      <c r="UUH69" s="8"/>
      <c r="UUI69" s="8"/>
      <c r="UUJ69" s="8"/>
      <c r="UUK69" s="8"/>
      <c r="UUL69" s="8"/>
      <c r="UUM69" s="8"/>
      <c r="UUN69" s="8"/>
      <c r="UUO69" s="8"/>
      <c r="UUP69" s="8"/>
      <c r="UUQ69" s="8"/>
      <c r="UUR69" s="8"/>
      <c r="UUS69" s="8"/>
      <c r="UUT69" s="8"/>
      <c r="UUU69" s="8"/>
      <c r="UUV69" s="8"/>
      <c r="UUW69" s="8"/>
      <c r="UUX69" s="8"/>
      <c r="UUY69" s="8"/>
      <c r="UUZ69" s="8"/>
      <c r="UVA69" s="8"/>
      <c r="UVB69" s="8"/>
      <c r="UVC69" s="8"/>
      <c r="UVD69" s="8"/>
      <c r="UVE69" s="8"/>
      <c r="UVF69" s="8"/>
      <c r="UVG69" s="8"/>
      <c r="UVH69" s="8"/>
      <c r="UVI69" s="8"/>
      <c r="UVJ69" s="8"/>
      <c r="UVK69" s="8"/>
      <c r="UVL69" s="8"/>
      <c r="UVM69" s="8"/>
      <c r="UVN69" s="8"/>
      <c r="UVO69" s="8"/>
      <c r="UVP69" s="8"/>
      <c r="UVQ69" s="8"/>
      <c r="UVR69" s="8"/>
      <c r="UVS69" s="8"/>
      <c r="UVT69" s="8"/>
      <c r="UVU69" s="8"/>
      <c r="UVV69" s="8"/>
      <c r="UVW69" s="8"/>
      <c r="UVX69" s="8"/>
      <c r="UVY69" s="8"/>
      <c r="UVZ69" s="8"/>
      <c r="UWA69" s="8"/>
      <c r="UWB69" s="8"/>
      <c r="UWC69" s="8"/>
      <c r="UWD69" s="8"/>
      <c r="UWE69" s="8"/>
      <c r="UWF69" s="8"/>
      <c r="UWG69" s="8"/>
      <c r="UWH69" s="8"/>
      <c r="UWI69" s="8"/>
      <c r="UWJ69" s="8"/>
      <c r="UWK69" s="8"/>
      <c r="UWL69" s="8"/>
      <c r="UWM69" s="8"/>
      <c r="UWN69" s="8"/>
      <c r="UWO69" s="8"/>
      <c r="UWP69" s="8"/>
      <c r="UWQ69" s="8"/>
      <c r="UWR69" s="8"/>
      <c r="UWS69" s="8"/>
      <c r="UWT69" s="8"/>
      <c r="UWU69" s="8"/>
      <c r="UWV69" s="8"/>
      <c r="UWW69" s="8"/>
      <c r="UWX69" s="8"/>
      <c r="UWY69" s="8"/>
      <c r="UWZ69" s="8"/>
      <c r="UXA69" s="8"/>
      <c r="UXB69" s="8"/>
      <c r="UXC69" s="8"/>
      <c r="UXD69" s="8"/>
      <c r="UXE69" s="8"/>
      <c r="UXF69" s="8"/>
      <c r="UXG69" s="8"/>
      <c r="UXH69" s="8"/>
      <c r="UXI69" s="8"/>
      <c r="UXJ69" s="8"/>
      <c r="UXK69" s="8"/>
      <c r="UXL69" s="8"/>
      <c r="UXM69" s="8"/>
      <c r="UXN69" s="8"/>
      <c r="UXO69" s="8"/>
      <c r="UXP69" s="8"/>
      <c r="UXQ69" s="8"/>
      <c r="UXR69" s="8"/>
      <c r="UXS69" s="8"/>
      <c r="UXT69" s="8"/>
      <c r="UXU69" s="8"/>
      <c r="UXV69" s="8"/>
      <c r="UXW69" s="8"/>
      <c r="UXX69" s="8"/>
      <c r="UXY69" s="8"/>
      <c r="UXZ69" s="8"/>
      <c r="UYA69" s="8"/>
      <c r="UYB69" s="8"/>
      <c r="UYC69" s="8"/>
      <c r="UYD69" s="8"/>
      <c r="UYE69" s="8"/>
      <c r="UYF69" s="8"/>
      <c r="UYG69" s="8"/>
      <c r="UYH69" s="8"/>
      <c r="UYI69" s="8"/>
      <c r="UYJ69" s="8"/>
      <c r="UYK69" s="8"/>
      <c r="UYL69" s="8"/>
      <c r="UYM69" s="8"/>
      <c r="UYN69" s="8"/>
      <c r="UYO69" s="8"/>
      <c r="UYP69" s="8"/>
      <c r="UYQ69" s="8"/>
      <c r="UYR69" s="8"/>
      <c r="UYS69" s="8"/>
      <c r="UYT69" s="8"/>
      <c r="UYU69" s="8"/>
      <c r="UYV69" s="8"/>
      <c r="UYW69" s="8"/>
      <c r="UYX69" s="8"/>
      <c r="UYY69" s="8"/>
      <c r="UYZ69" s="8"/>
      <c r="UZA69" s="8"/>
      <c r="UZB69" s="8"/>
      <c r="UZC69" s="8"/>
      <c r="UZD69" s="8"/>
      <c r="UZE69" s="8"/>
      <c r="UZF69" s="8"/>
      <c r="UZG69" s="8"/>
      <c r="UZH69" s="8"/>
      <c r="UZI69" s="8"/>
      <c r="UZJ69" s="8"/>
      <c r="UZK69" s="8"/>
      <c r="UZL69" s="8"/>
      <c r="UZM69" s="8"/>
      <c r="UZN69" s="8"/>
      <c r="UZO69" s="8"/>
      <c r="UZP69" s="8"/>
      <c r="UZQ69" s="8"/>
      <c r="UZR69" s="8"/>
      <c r="UZS69" s="8"/>
      <c r="UZT69" s="8"/>
      <c r="UZU69" s="8"/>
      <c r="UZV69" s="8"/>
      <c r="UZW69" s="8"/>
      <c r="UZX69" s="8"/>
      <c r="UZY69" s="8"/>
      <c r="UZZ69" s="8"/>
      <c r="VAA69" s="8"/>
      <c r="VAB69" s="8"/>
      <c r="VAC69" s="8"/>
      <c r="VAD69" s="8"/>
      <c r="VAE69" s="8"/>
      <c r="VAF69" s="8"/>
      <c r="VAG69" s="8"/>
      <c r="VAH69" s="8"/>
      <c r="VAI69" s="8"/>
      <c r="VAJ69" s="8"/>
      <c r="VAK69" s="8"/>
      <c r="VAL69" s="8"/>
      <c r="VAM69" s="8"/>
      <c r="VAN69" s="8"/>
      <c r="VAO69" s="8"/>
      <c r="VAP69" s="8"/>
      <c r="VAQ69" s="8"/>
      <c r="VAR69" s="8"/>
      <c r="VAS69" s="8"/>
      <c r="VAT69" s="8"/>
      <c r="VAU69" s="8"/>
      <c r="VAV69" s="8"/>
      <c r="VAW69" s="8"/>
      <c r="VAX69" s="8"/>
      <c r="VAY69" s="8"/>
      <c r="VAZ69" s="8"/>
      <c r="VBA69" s="8"/>
      <c r="VBB69" s="8"/>
      <c r="VBC69" s="8"/>
      <c r="VBD69" s="8"/>
      <c r="VBE69" s="8"/>
      <c r="VBF69" s="8"/>
      <c r="VBG69" s="8"/>
      <c r="VBH69" s="8"/>
      <c r="VBI69" s="8"/>
      <c r="VBJ69" s="8"/>
      <c r="VBK69" s="8"/>
      <c r="VBL69" s="8"/>
      <c r="VBM69" s="8"/>
      <c r="VBN69" s="8"/>
      <c r="VBO69" s="8"/>
      <c r="VBP69" s="8"/>
      <c r="VBQ69" s="8"/>
      <c r="VBR69" s="8"/>
      <c r="VBS69" s="8"/>
      <c r="VBT69" s="8"/>
      <c r="VBU69" s="8"/>
      <c r="VBV69" s="8"/>
      <c r="VBW69" s="8"/>
      <c r="VBX69" s="8"/>
      <c r="VBY69" s="8"/>
      <c r="VBZ69" s="8"/>
      <c r="VCA69" s="8"/>
      <c r="VCB69" s="8"/>
      <c r="VCC69" s="8"/>
      <c r="VCD69" s="8"/>
      <c r="VCE69" s="8"/>
      <c r="VCF69" s="8"/>
      <c r="VCG69" s="8"/>
      <c r="VCH69" s="8"/>
      <c r="VCI69" s="8"/>
      <c r="VCJ69" s="8"/>
      <c r="VCK69" s="8"/>
      <c r="VCL69" s="8"/>
      <c r="VCM69" s="8"/>
      <c r="VCN69" s="8"/>
      <c r="VCO69" s="8"/>
      <c r="VCP69" s="8"/>
      <c r="VCQ69" s="8"/>
      <c r="VCR69" s="8"/>
      <c r="VCS69" s="8"/>
      <c r="VCT69" s="8"/>
      <c r="VCU69" s="8"/>
      <c r="VCV69" s="8"/>
      <c r="VCW69" s="8"/>
      <c r="VCX69" s="8"/>
      <c r="VCY69" s="8"/>
      <c r="VCZ69" s="8"/>
      <c r="VDA69" s="8"/>
      <c r="VDB69" s="8"/>
      <c r="VDC69" s="8"/>
      <c r="VDD69" s="8"/>
      <c r="VDE69" s="8"/>
      <c r="VDF69" s="8"/>
      <c r="VDG69" s="8"/>
      <c r="VDH69" s="8"/>
      <c r="VDI69" s="8"/>
      <c r="VDJ69" s="8"/>
      <c r="VDK69" s="8"/>
      <c r="VDL69" s="8"/>
      <c r="VDM69" s="8"/>
      <c r="VDN69" s="8"/>
      <c r="VDO69" s="8"/>
      <c r="VDP69" s="8"/>
      <c r="VDQ69" s="8"/>
      <c r="VDR69" s="8"/>
      <c r="VDS69" s="8"/>
      <c r="VDT69" s="8"/>
      <c r="VDU69" s="8"/>
      <c r="VDV69" s="8"/>
      <c r="VDW69" s="8"/>
      <c r="VDX69" s="8"/>
      <c r="VDY69" s="8"/>
      <c r="VDZ69" s="8"/>
      <c r="VEA69" s="8"/>
      <c r="VEB69" s="8"/>
      <c r="VEC69" s="8"/>
      <c r="VED69" s="8"/>
      <c r="VEE69" s="8"/>
      <c r="VEF69" s="8"/>
      <c r="VEG69" s="8"/>
      <c r="VEH69" s="8"/>
      <c r="VEI69" s="8"/>
      <c r="VEJ69" s="8"/>
      <c r="VEK69" s="8"/>
      <c r="VEL69" s="8"/>
      <c r="VEM69" s="8"/>
      <c r="VEN69" s="8"/>
      <c r="VEO69" s="8"/>
      <c r="VEP69" s="8"/>
      <c r="VEQ69" s="8"/>
      <c r="VER69" s="8"/>
      <c r="VES69" s="8"/>
      <c r="VET69" s="8"/>
      <c r="VEU69" s="8"/>
      <c r="VEV69" s="8"/>
      <c r="VEW69" s="8"/>
      <c r="VEX69" s="8"/>
      <c r="VEY69" s="8"/>
      <c r="VEZ69" s="8"/>
      <c r="VFA69" s="8"/>
      <c r="VFB69" s="8"/>
      <c r="VFC69" s="8"/>
      <c r="VFD69" s="8"/>
      <c r="VFE69" s="8"/>
      <c r="VFF69" s="8"/>
      <c r="VFG69" s="8"/>
      <c r="VFH69" s="8"/>
      <c r="VFI69" s="8"/>
      <c r="VFJ69" s="8"/>
      <c r="VFK69" s="8"/>
      <c r="VFL69" s="8"/>
      <c r="VFM69" s="8"/>
      <c r="VFN69" s="8"/>
      <c r="VFO69" s="8"/>
      <c r="VFP69" s="8"/>
      <c r="VFQ69" s="8"/>
      <c r="VFR69" s="8"/>
      <c r="VFS69" s="8"/>
      <c r="VFT69" s="8"/>
      <c r="VFU69" s="8"/>
      <c r="VFV69" s="8"/>
      <c r="VFW69" s="8"/>
      <c r="VFX69" s="8"/>
      <c r="VFY69" s="8"/>
      <c r="VFZ69" s="8"/>
      <c r="VGA69" s="8"/>
      <c r="VGB69" s="8"/>
      <c r="VGC69" s="8"/>
      <c r="VGD69" s="8"/>
      <c r="VGE69" s="8"/>
      <c r="VGF69" s="8"/>
      <c r="VGG69" s="8"/>
      <c r="VGH69" s="8"/>
      <c r="VGI69" s="8"/>
      <c r="VGJ69" s="8"/>
      <c r="VGK69" s="8"/>
      <c r="VGL69" s="8"/>
      <c r="VGM69" s="8"/>
      <c r="VGN69" s="8"/>
      <c r="VGO69" s="8"/>
      <c r="VGP69" s="8"/>
      <c r="VGQ69" s="8"/>
      <c r="VGR69" s="8"/>
      <c r="VGS69" s="8"/>
      <c r="VGT69" s="8"/>
      <c r="VGU69" s="8"/>
      <c r="VGV69" s="8"/>
      <c r="VGW69" s="8"/>
      <c r="VGX69" s="8"/>
      <c r="VGY69" s="8"/>
      <c r="VGZ69" s="8"/>
      <c r="VHA69" s="8"/>
      <c r="VHB69" s="8"/>
      <c r="VHC69" s="8"/>
      <c r="VHD69" s="8"/>
      <c r="VHE69" s="8"/>
      <c r="VHF69" s="8"/>
      <c r="VHG69" s="8"/>
      <c r="VHH69" s="8"/>
      <c r="VHI69" s="8"/>
      <c r="VHJ69" s="8"/>
      <c r="VHK69" s="8"/>
      <c r="VHL69" s="8"/>
      <c r="VHM69" s="8"/>
      <c r="VHN69" s="8"/>
      <c r="VHO69" s="8"/>
      <c r="VHP69" s="8"/>
      <c r="VHQ69" s="8"/>
      <c r="VHR69" s="8"/>
      <c r="VHS69" s="8"/>
      <c r="VHT69" s="8"/>
      <c r="VHU69" s="8"/>
      <c r="VHV69" s="8"/>
      <c r="VHW69" s="8"/>
      <c r="VHX69" s="8"/>
      <c r="VHY69" s="8"/>
      <c r="VHZ69" s="8"/>
      <c r="VIA69" s="8"/>
      <c r="VIB69" s="8"/>
      <c r="VIC69" s="8"/>
      <c r="VID69" s="8"/>
      <c r="VIE69" s="8"/>
      <c r="VIF69" s="8"/>
      <c r="VIG69" s="8"/>
      <c r="VIH69" s="8"/>
      <c r="VII69" s="8"/>
      <c r="VIJ69" s="8"/>
      <c r="VIK69" s="8"/>
      <c r="VIL69" s="8"/>
      <c r="VIM69" s="8"/>
      <c r="VIN69" s="8"/>
      <c r="VIO69" s="8"/>
      <c r="VIP69" s="8"/>
      <c r="VIQ69" s="8"/>
      <c r="VIR69" s="8"/>
      <c r="VIS69" s="8"/>
      <c r="VIT69" s="8"/>
      <c r="VIU69" s="8"/>
      <c r="VIV69" s="8"/>
      <c r="VIW69" s="8"/>
      <c r="VIX69" s="8"/>
      <c r="VIY69" s="8"/>
      <c r="VIZ69" s="8"/>
      <c r="VJA69" s="8"/>
      <c r="VJB69" s="8"/>
      <c r="VJC69" s="8"/>
      <c r="VJD69" s="8"/>
      <c r="VJE69" s="8"/>
      <c r="VJF69" s="8"/>
      <c r="VJG69" s="8"/>
      <c r="VJH69" s="8"/>
      <c r="VJI69" s="8"/>
      <c r="VJJ69" s="8"/>
      <c r="VJK69" s="8"/>
      <c r="VJL69" s="8"/>
      <c r="VJM69" s="8"/>
      <c r="VJN69" s="8"/>
      <c r="VJO69" s="8"/>
      <c r="VJP69" s="8"/>
      <c r="VJQ69" s="8"/>
      <c r="VJR69" s="8"/>
      <c r="VJS69" s="8"/>
      <c r="VJT69" s="8"/>
      <c r="VJU69" s="8"/>
      <c r="VJV69" s="8"/>
      <c r="VJW69" s="8"/>
      <c r="VJX69" s="8"/>
      <c r="VJY69" s="8"/>
      <c r="VJZ69" s="8"/>
      <c r="VKA69" s="8"/>
      <c r="VKB69" s="8"/>
      <c r="VKC69" s="8"/>
      <c r="VKD69" s="8"/>
      <c r="VKE69" s="8"/>
      <c r="VKF69" s="8"/>
      <c r="VKG69" s="8"/>
      <c r="VKH69" s="8"/>
      <c r="VKI69" s="8"/>
      <c r="VKJ69" s="8"/>
      <c r="VKK69" s="8"/>
      <c r="VKL69" s="8"/>
      <c r="VKM69" s="8"/>
      <c r="VKN69" s="8"/>
      <c r="VKO69" s="8"/>
      <c r="VKP69" s="8"/>
      <c r="VKQ69" s="8"/>
      <c r="VKR69" s="8"/>
      <c r="VKS69" s="8"/>
      <c r="VKT69" s="8"/>
      <c r="VKU69" s="8"/>
      <c r="VKV69" s="8"/>
      <c r="VKW69" s="8"/>
      <c r="VKX69" s="8"/>
      <c r="VKY69" s="8"/>
      <c r="VKZ69" s="8"/>
      <c r="VLA69" s="8"/>
      <c r="VLB69" s="8"/>
      <c r="VLC69" s="8"/>
      <c r="VLD69" s="8"/>
      <c r="VLE69" s="8"/>
      <c r="VLF69" s="8"/>
      <c r="VLG69" s="8"/>
      <c r="VLH69" s="8"/>
      <c r="VLI69" s="8"/>
      <c r="VLJ69" s="8"/>
      <c r="VLK69" s="8"/>
      <c r="VLL69" s="8"/>
      <c r="VLM69" s="8"/>
      <c r="VLN69" s="8"/>
      <c r="VLO69" s="8"/>
      <c r="VLP69" s="8"/>
      <c r="VLQ69" s="8"/>
      <c r="VLR69" s="8"/>
      <c r="VLS69" s="8"/>
      <c r="VLT69" s="8"/>
      <c r="VLU69" s="8"/>
      <c r="VLV69" s="8"/>
      <c r="VLW69" s="8"/>
      <c r="VLX69" s="8"/>
      <c r="VLY69" s="8"/>
      <c r="VLZ69" s="8"/>
      <c r="VMA69" s="8"/>
      <c r="VMB69" s="8"/>
      <c r="VMC69" s="8"/>
      <c r="VMD69" s="8"/>
      <c r="VME69" s="8"/>
      <c r="VMF69" s="8"/>
      <c r="VMG69" s="8"/>
      <c r="VMH69" s="8"/>
      <c r="VMI69" s="8"/>
      <c r="VMJ69" s="8"/>
      <c r="VMK69" s="8"/>
      <c r="VML69" s="8"/>
      <c r="VMM69" s="8"/>
      <c r="VMN69" s="8"/>
      <c r="VMO69" s="8"/>
      <c r="VMP69" s="8"/>
      <c r="VMQ69" s="8"/>
      <c r="VMR69" s="8"/>
      <c r="VMS69" s="8"/>
      <c r="VMT69" s="8"/>
      <c r="VMU69" s="8"/>
      <c r="VMV69" s="8"/>
      <c r="VMW69" s="8"/>
      <c r="VMX69" s="8"/>
      <c r="VMY69" s="8"/>
      <c r="VMZ69" s="8"/>
      <c r="VNA69" s="8"/>
      <c r="VNB69" s="8"/>
      <c r="VNC69" s="8"/>
      <c r="VND69" s="8"/>
      <c r="VNE69" s="8"/>
      <c r="VNF69" s="8"/>
      <c r="VNG69" s="8"/>
      <c r="VNH69" s="8"/>
      <c r="VNI69" s="8"/>
      <c r="VNJ69" s="8"/>
      <c r="VNK69" s="8"/>
      <c r="VNL69" s="8"/>
      <c r="VNM69" s="8"/>
      <c r="VNN69" s="8"/>
      <c r="VNO69" s="8"/>
      <c r="VNP69" s="8"/>
      <c r="VNQ69" s="8"/>
      <c r="VNR69" s="8"/>
      <c r="VNS69" s="8"/>
      <c r="VNT69" s="8"/>
      <c r="VNU69" s="8"/>
      <c r="VNV69" s="8"/>
      <c r="VNW69" s="8"/>
      <c r="VNX69" s="8"/>
      <c r="VNY69" s="8"/>
      <c r="VNZ69" s="8"/>
      <c r="VOA69" s="8"/>
      <c r="VOB69" s="8"/>
      <c r="VOC69" s="8"/>
      <c r="VOD69" s="8"/>
      <c r="VOE69" s="8"/>
      <c r="VOF69" s="8"/>
      <c r="VOG69" s="8"/>
      <c r="VOH69" s="8"/>
      <c r="VOI69" s="8"/>
      <c r="VOJ69" s="8"/>
      <c r="VOK69" s="8"/>
      <c r="VOL69" s="8"/>
      <c r="VOM69" s="8"/>
      <c r="VON69" s="8"/>
      <c r="VOO69" s="8"/>
      <c r="VOP69" s="8"/>
      <c r="VOQ69" s="8"/>
      <c r="VOR69" s="8"/>
      <c r="VOS69" s="8"/>
      <c r="VOT69" s="8"/>
      <c r="VOU69" s="8"/>
      <c r="VOV69" s="8"/>
      <c r="VOW69" s="8"/>
      <c r="VOX69" s="8"/>
      <c r="VOY69" s="8"/>
      <c r="VOZ69" s="8"/>
      <c r="VPA69" s="8"/>
      <c r="VPB69" s="8"/>
      <c r="VPC69" s="8"/>
      <c r="VPD69" s="8"/>
      <c r="VPE69" s="8"/>
      <c r="VPF69" s="8"/>
      <c r="VPG69" s="8"/>
      <c r="VPH69" s="8"/>
      <c r="VPI69" s="8"/>
      <c r="VPJ69" s="8"/>
      <c r="VPK69" s="8"/>
      <c r="VPL69" s="8"/>
      <c r="VPM69" s="8"/>
      <c r="VPN69" s="8"/>
      <c r="VPO69" s="8"/>
      <c r="VPP69" s="8"/>
      <c r="VPQ69" s="8"/>
      <c r="VPR69" s="8"/>
      <c r="VPS69" s="8"/>
      <c r="VPT69" s="8"/>
      <c r="VPU69" s="8"/>
      <c r="VPV69" s="8"/>
      <c r="VPW69" s="8"/>
      <c r="VPX69" s="8"/>
      <c r="VPY69" s="8"/>
      <c r="VPZ69" s="8"/>
      <c r="VQA69" s="8"/>
      <c r="VQB69" s="8"/>
      <c r="VQC69" s="8"/>
      <c r="VQD69" s="8"/>
      <c r="VQE69" s="8"/>
      <c r="VQF69" s="8"/>
      <c r="VQG69" s="8"/>
      <c r="VQH69" s="8"/>
      <c r="VQI69" s="8"/>
      <c r="VQJ69" s="8"/>
      <c r="VQK69" s="8"/>
      <c r="VQL69" s="8"/>
      <c r="VQM69" s="8"/>
      <c r="VQN69" s="8"/>
      <c r="VQO69" s="8"/>
      <c r="VQP69" s="8"/>
      <c r="VQQ69" s="8"/>
      <c r="VQR69" s="8"/>
      <c r="VQS69" s="8"/>
      <c r="VQT69" s="8"/>
      <c r="VQU69" s="8"/>
      <c r="VQV69" s="8"/>
      <c r="VQW69" s="8"/>
      <c r="VQX69" s="8"/>
      <c r="VQY69" s="8"/>
      <c r="VQZ69" s="8"/>
      <c r="VRA69" s="8"/>
      <c r="VRB69" s="8"/>
      <c r="VRC69" s="8"/>
      <c r="VRD69" s="8"/>
      <c r="VRE69" s="8"/>
      <c r="VRF69" s="8"/>
      <c r="VRG69" s="8"/>
      <c r="VRH69" s="8"/>
      <c r="VRI69" s="8"/>
      <c r="VRJ69" s="8"/>
      <c r="VRK69" s="8"/>
      <c r="VRL69" s="8"/>
      <c r="VRM69" s="8"/>
      <c r="VRN69" s="8"/>
      <c r="VRO69" s="8"/>
      <c r="VRP69" s="8"/>
      <c r="VRQ69" s="8"/>
      <c r="VRR69" s="8"/>
      <c r="VRS69" s="8"/>
      <c r="VRT69" s="8"/>
      <c r="VRU69" s="8"/>
      <c r="VRV69" s="8"/>
      <c r="VRW69" s="8"/>
      <c r="VRX69" s="8"/>
      <c r="VRY69" s="8"/>
      <c r="VRZ69" s="8"/>
      <c r="VSA69" s="8"/>
      <c r="VSB69" s="8"/>
      <c r="VSC69" s="8"/>
      <c r="VSD69" s="8"/>
      <c r="VSE69" s="8"/>
      <c r="VSF69" s="8"/>
      <c r="VSG69" s="8"/>
      <c r="VSH69" s="8"/>
      <c r="VSI69" s="8"/>
      <c r="VSJ69" s="8"/>
      <c r="VSK69" s="8"/>
      <c r="VSL69" s="8"/>
      <c r="VSM69" s="8"/>
      <c r="VSN69" s="8"/>
      <c r="VSO69" s="8"/>
      <c r="VSP69" s="8"/>
      <c r="VSQ69" s="8"/>
      <c r="VSR69" s="8"/>
      <c r="VSS69" s="8"/>
      <c r="VST69" s="8"/>
      <c r="VSU69" s="8"/>
      <c r="VSV69" s="8"/>
      <c r="VSW69" s="8"/>
      <c r="VSX69" s="8"/>
      <c r="VSY69" s="8"/>
      <c r="VSZ69" s="8"/>
      <c r="VTA69" s="8"/>
      <c r="VTB69" s="8"/>
      <c r="VTC69" s="8"/>
      <c r="VTD69" s="8"/>
      <c r="VTE69" s="8"/>
      <c r="VTF69" s="8"/>
      <c r="VTG69" s="8"/>
      <c r="VTH69" s="8"/>
      <c r="VTI69" s="8"/>
      <c r="VTJ69" s="8"/>
      <c r="VTK69" s="8"/>
      <c r="VTL69" s="8"/>
      <c r="VTM69" s="8"/>
      <c r="VTN69" s="8"/>
      <c r="VTO69" s="8"/>
      <c r="VTP69" s="8"/>
      <c r="VTQ69" s="8"/>
      <c r="VTR69" s="8"/>
      <c r="VTS69" s="8"/>
      <c r="VTT69" s="8"/>
      <c r="VTU69" s="8"/>
      <c r="VTV69" s="8"/>
      <c r="VTW69" s="8"/>
      <c r="VTX69" s="8"/>
      <c r="VTY69" s="8"/>
      <c r="VTZ69" s="8"/>
      <c r="VUA69" s="8"/>
      <c r="VUB69" s="8"/>
      <c r="VUC69" s="8"/>
      <c r="VUD69" s="8"/>
      <c r="VUE69" s="8"/>
      <c r="VUF69" s="8"/>
      <c r="VUG69" s="8"/>
      <c r="VUH69" s="8"/>
      <c r="VUI69" s="8"/>
      <c r="VUJ69" s="8"/>
      <c r="VUK69" s="8"/>
      <c r="VUL69" s="8"/>
      <c r="VUM69" s="8"/>
      <c r="VUN69" s="8"/>
      <c r="VUO69" s="8"/>
      <c r="VUP69" s="8"/>
      <c r="VUQ69" s="8"/>
      <c r="VUR69" s="8"/>
      <c r="VUS69" s="8"/>
      <c r="VUT69" s="8"/>
      <c r="VUU69" s="8"/>
      <c r="VUV69" s="8"/>
      <c r="VUW69" s="8"/>
      <c r="VUX69" s="8"/>
      <c r="VUY69" s="8"/>
      <c r="VUZ69" s="8"/>
      <c r="VVA69" s="8"/>
      <c r="VVB69" s="8"/>
      <c r="VVC69" s="8"/>
      <c r="VVD69" s="8"/>
      <c r="VVE69" s="8"/>
      <c r="VVF69" s="8"/>
      <c r="VVG69" s="8"/>
      <c r="VVH69" s="8"/>
      <c r="VVI69" s="8"/>
      <c r="VVJ69" s="8"/>
      <c r="VVK69" s="8"/>
      <c r="VVL69" s="8"/>
      <c r="VVM69" s="8"/>
      <c r="VVN69" s="8"/>
      <c r="VVO69" s="8"/>
      <c r="VVP69" s="8"/>
      <c r="VVQ69" s="8"/>
      <c r="VVR69" s="8"/>
      <c r="VVS69" s="8"/>
      <c r="VVT69" s="8"/>
      <c r="VVU69" s="8"/>
      <c r="VVV69" s="8"/>
      <c r="VVW69" s="8"/>
      <c r="VVX69" s="8"/>
      <c r="VVY69" s="8"/>
      <c r="VVZ69" s="8"/>
      <c r="VWA69" s="8"/>
      <c r="VWB69" s="8"/>
      <c r="VWC69" s="8"/>
      <c r="VWD69" s="8"/>
      <c r="VWE69" s="8"/>
      <c r="VWF69" s="8"/>
      <c r="VWG69" s="8"/>
      <c r="VWH69" s="8"/>
      <c r="VWI69" s="8"/>
      <c r="VWJ69" s="8"/>
      <c r="VWK69" s="8"/>
      <c r="VWL69" s="8"/>
      <c r="VWM69" s="8"/>
      <c r="VWN69" s="8"/>
      <c r="VWO69" s="8"/>
      <c r="VWP69" s="8"/>
      <c r="VWQ69" s="8"/>
      <c r="VWR69" s="8"/>
      <c r="VWS69" s="8"/>
      <c r="VWT69" s="8"/>
      <c r="VWU69" s="8"/>
      <c r="VWV69" s="8"/>
      <c r="VWW69" s="8"/>
      <c r="VWX69" s="8"/>
      <c r="VWY69" s="8"/>
      <c r="VWZ69" s="8"/>
      <c r="VXA69" s="8"/>
      <c r="VXB69" s="8"/>
      <c r="VXC69" s="8"/>
      <c r="VXD69" s="8"/>
      <c r="VXE69" s="8"/>
      <c r="VXF69" s="8"/>
      <c r="VXG69" s="8"/>
      <c r="VXH69" s="8"/>
      <c r="VXI69" s="8"/>
      <c r="VXJ69" s="8"/>
      <c r="VXK69" s="8"/>
      <c r="VXL69" s="8"/>
      <c r="VXM69" s="8"/>
      <c r="VXN69" s="8"/>
      <c r="VXO69" s="8"/>
      <c r="VXP69" s="8"/>
      <c r="VXQ69" s="8"/>
      <c r="VXR69" s="8"/>
      <c r="VXS69" s="8"/>
      <c r="VXT69" s="8"/>
      <c r="VXU69" s="8"/>
      <c r="VXV69" s="8"/>
      <c r="VXW69" s="8"/>
      <c r="VXX69" s="8"/>
      <c r="VXY69" s="8"/>
      <c r="VXZ69" s="8"/>
      <c r="VYA69" s="8"/>
      <c r="VYB69" s="8"/>
      <c r="VYC69" s="8"/>
      <c r="VYD69" s="8"/>
      <c r="VYE69" s="8"/>
      <c r="VYF69" s="8"/>
      <c r="VYG69" s="8"/>
      <c r="VYH69" s="8"/>
      <c r="VYI69" s="8"/>
      <c r="VYJ69" s="8"/>
      <c r="VYK69" s="8"/>
      <c r="VYL69" s="8"/>
      <c r="VYM69" s="8"/>
      <c r="VYN69" s="8"/>
      <c r="VYO69" s="8"/>
      <c r="VYP69" s="8"/>
      <c r="VYQ69" s="8"/>
      <c r="VYR69" s="8"/>
      <c r="VYS69" s="8"/>
      <c r="VYT69" s="8"/>
      <c r="VYU69" s="8"/>
      <c r="VYV69" s="8"/>
      <c r="VYW69" s="8"/>
      <c r="VYX69" s="8"/>
      <c r="VYY69" s="8"/>
      <c r="VYZ69" s="8"/>
      <c r="VZA69" s="8"/>
      <c r="VZB69" s="8"/>
      <c r="VZC69" s="8"/>
      <c r="VZD69" s="8"/>
      <c r="VZE69" s="8"/>
      <c r="VZF69" s="8"/>
      <c r="VZG69" s="8"/>
      <c r="VZH69" s="8"/>
      <c r="VZI69" s="8"/>
      <c r="VZJ69" s="8"/>
      <c r="VZK69" s="8"/>
      <c r="VZL69" s="8"/>
      <c r="VZM69" s="8"/>
      <c r="VZN69" s="8"/>
      <c r="VZO69" s="8"/>
      <c r="VZP69" s="8"/>
      <c r="VZQ69" s="8"/>
      <c r="VZR69" s="8"/>
      <c r="VZS69" s="8"/>
      <c r="VZT69" s="8"/>
      <c r="VZU69" s="8"/>
      <c r="VZV69" s="8"/>
      <c r="VZW69" s="8"/>
      <c r="VZX69" s="8"/>
      <c r="VZY69" s="8"/>
      <c r="VZZ69" s="8"/>
      <c r="WAA69" s="8"/>
      <c r="WAB69" s="8"/>
      <c r="WAC69" s="8"/>
      <c r="WAD69" s="8"/>
      <c r="WAE69" s="8"/>
      <c r="WAF69" s="8"/>
      <c r="WAG69" s="8"/>
      <c r="WAH69" s="8"/>
      <c r="WAI69" s="8"/>
      <c r="WAJ69" s="8"/>
      <c r="WAK69" s="8"/>
      <c r="WAL69" s="8"/>
      <c r="WAM69" s="8"/>
      <c r="WAN69" s="8"/>
      <c r="WAO69" s="8"/>
      <c r="WAP69" s="8"/>
      <c r="WAQ69" s="8"/>
      <c r="WAR69" s="8"/>
      <c r="WAS69" s="8"/>
      <c r="WAT69" s="8"/>
      <c r="WAU69" s="8"/>
      <c r="WAV69" s="8"/>
      <c r="WAW69" s="8"/>
      <c r="WAX69" s="8"/>
      <c r="WAY69" s="8"/>
      <c r="WAZ69" s="8"/>
      <c r="WBA69" s="8"/>
      <c r="WBB69" s="8"/>
      <c r="WBC69" s="8"/>
      <c r="WBD69" s="8"/>
      <c r="WBE69" s="8"/>
      <c r="WBF69" s="8"/>
      <c r="WBG69" s="8"/>
      <c r="WBH69" s="8"/>
      <c r="WBI69" s="8"/>
      <c r="WBJ69" s="8"/>
      <c r="WBK69" s="8"/>
      <c r="WBL69" s="8"/>
      <c r="WBM69" s="8"/>
      <c r="WBN69" s="8"/>
      <c r="WBO69" s="8"/>
      <c r="WBP69" s="8"/>
      <c r="WBQ69" s="8"/>
      <c r="WBR69" s="8"/>
      <c r="WBS69" s="8"/>
      <c r="WBT69" s="8"/>
      <c r="WBU69" s="8"/>
      <c r="WBV69" s="8"/>
      <c r="WBW69" s="8"/>
      <c r="WBX69" s="8"/>
      <c r="WBY69" s="8"/>
      <c r="WBZ69" s="8"/>
      <c r="WCA69" s="8"/>
      <c r="WCB69" s="8"/>
      <c r="WCC69" s="8"/>
      <c r="WCD69" s="8"/>
      <c r="WCE69" s="8"/>
      <c r="WCF69" s="8"/>
      <c r="WCG69" s="8"/>
      <c r="WCH69" s="8"/>
      <c r="WCI69" s="8"/>
      <c r="WCJ69" s="8"/>
      <c r="WCK69" s="8"/>
      <c r="WCL69" s="8"/>
      <c r="WCM69" s="8"/>
      <c r="WCN69" s="8"/>
      <c r="WCO69" s="8"/>
      <c r="WCP69" s="8"/>
      <c r="WCQ69" s="8"/>
      <c r="WCR69" s="8"/>
      <c r="WCS69" s="8"/>
      <c r="WCT69" s="8"/>
      <c r="WCU69" s="8"/>
      <c r="WCV69" s="8"/>
      <c r="WCW69" s="8"/>
      <c r="WCX69" s="8"/>
      <c r="WCY69" s="8"/>
      <c r="WCZ69" s="8"/>
      <c r="WDA69" s="8"/>
      <c r="WDB69" s="8"/>
      <c r="WDC69" s="8"/>
      <c r="WDD69" s="8"/>
      <c r="WDE69" s="8"/>
      <c r="WDF69" s="8"/>
      <c r="WDG69" s="8"/>
      <c r="WDH69" s="8"/>
      <c r="WDI69" s="8"/>
      <c r="WDJ69" s="8"/>
      <c r="WDK69" s="8"/>
      <c r="WDL69" s="8"/>
      <c r="WDM69" s="8"/>
      <c r="WDN69" s="8"/>
      <c r="WDO69" s="8"/>
      <c r="WDP69" s="8"/>
      <c r="WDQ69" s="8"/>
      <c r="WDR69" s="8"/>
      <c r="WDS69" s="8"/>
      <c r="WDT69" s="8"/>
      <c r="WDU69" s="8"/>
      <c r="WDV69" s="8"/>
      <c r="WDW69" s="8"/>
      <c r="WDX69" s="8"/>
      <c r="WDY69" s="8"/>
      <c r="WDZ69" s="8"/>
      <c r="WEA69" s="8"/>
      <c r="WEB69" s="8"/>
      <c r="WEC69" s="8"/>
      <c r="WED69" s="8"/>
      <c r="WEE69" s="8"/>
      <c r="WEF69" s="8"/>
      <c r="WEG69" s="8"/>
      <c r="WEH69" s="8"/>
      <c r="WEI69" s="8"/>
      <c r="WEJ69" s="8"/>
      <c r="WEK69" s="8"/>
      <c r="WEL69" s="8"/>
      <c r="WEM69" s="8"/>
      <c r="WEN69" s="8"/>
      <c r="WEO69" s="8"/>
      <c r="WEP69" s="8"/>
      <c r="WEQ69" s="8"/>
      <c r="WER69" s="8"/>
      <c r="WES69" s="8"/>
      <c r="WET69" s="8"/>
      <c r="WEU69" s="8"/>
      <c r="WEV69" s="8"/>
      <c r="WEW69" s="8"/>
      <c r="WEX69" s="8"/>
      <c r="WEY69" s="8"/>
      <c r="WEZ69" s="8"/>
      <c r="WFA69" s="8"/>
      <c r="WFB69" s="8"/>
      <c r="WFC69" s="8"/>
      <c r="WFD69" s="8"/>
      <c r="WFE69" s="8"/>
      <c r="WFF69" s="8"/>
      <c r="WFG69" s="8"/>
      <c r="WFH69" s="8"/>
      <c r="WFI69" s="8"/>
      <c r="WFJ69" s="8"/>
      <c r="WFK69" s="8"/>
      <c r="WFL69" s="8"/>
      <c r="WFM69" s="8"/>
      <c r="WFN69" s="8"/>
      <c r="WFO69" s="8"/>
      <c r="WFP69" s="8"/>
      <c r="WFQ69" s="8"/>
      <c r="WFR69" s="8"/>
      <c r="WFS69" s="8"/>
      <c r="WFT69" s="8"/>
      <c r="WFU69" s="8"/>
      <c r="WFV69" s="8"/>
      <c r="WFW69" s="8"/>
      <c r="WFX69" s="8"/>
      <c r="WFY69" s="8"/>
      <c r="WFZ69" s="8"/>
      <c r="WGA69" s="8"/>
      <c r="WGB69" s="8"/>
      <c r="WGC69" s="8"/>
      <c r="WGD69" s="8"/>
      <c r="WGE69" s="8"/>
      <c r="WGF69" s="8"/>
      <c r="WGG69" s="8"/>
      <c r="WGH69" s="8"/>
      <c r="WGI69" s="8"/>
      <c r="WGJ69" s="8"/>
      <c r="WGK69" s="8"/>
      <c r="WGL69" s="8"/>
      <c r="WGM69" s="8"/>
      <c r="WGN69" s="8"/>
      <c r="WGO69" s="8"/>
      <c r="WGP69" s="8"/>
      <c r="WGQ69" s="8"/>
      <c r="WGR69" s="8"/>
      <c r="WGS69" s="8"/>
      <c r="WGT69" s="8"/>
      <c r="WGU69" s="8"/>
      <c r="WGV69" s="8"/>
      <c r="WGW69" s="8"/>
      <c r="WGX69" s="8"/>
      <c r="WGY69" s="8"/>
      <c r="WGZ69" s="8"/>
      <c r="WHA69" s="8"/>
      <c r="WHB69" s="8"/>
      <c r="WHC69" s="8"/>
      <c r="WHD69" s="8"/>
      <c r="WHE69" s="8"/>
      <c r="WHF69" s="8"/>
      <c r="WHG69" s="8"/>
      <c r="WHH69" s="8"/>
      <c r="WHI69" s="8"/>
      <c r="WHJ69" s="8"/>
      <c r="WHK69" s="8"/>
      <c r="WHL69" s="8"/>
      <c r="WHM69" s="8"/>
      <c r="WHN69" s="8"/>
      <c r="WHO69" s="8"/>
      <c r="WHP69" s="8"/>
      <c r="WHQ69" s="8"/>
      <c r="WHR69" s="8"/>
      <c r="WHS69" s="8"/>
      <c r="WHT69" s="8"/>
      <c r="WHU69" s="8"/>
      <c r="WHV69" s="8"/>
      <c r="WHW69" s="8"/>
      <c r="WHX69" s="8"/>
      <c r="WHY69" s="8"/>
      <c r="WHZ69" s="8"/>
      <c r="WIA69" s="8"/>
      <c r="WIB69" s="8"/>
      <c r="WIC69" s="8"/>
      <c r="WID69" s="8"/>
      <c r="WIE69" s="8"/>
      <c r="WIF69" s="8"/>
      <c r="WIG69" s="8"/>
      <c r="WIH69" s="8"/>
      <c r="WII69" s="8"/>
      <c r="WIJ69" s="8"/>
      <c r="WIK69" s="8"/>
      <c r="WIL69" s="8"/>
      <c r="WIM69" s="8"/>
      <c r="WIN69" s="8"/>
      <c r="WIO69" s="8"/>
      <c r="WIP69" s="8"/>
      <c r="WIQ69" s="8"/>
      <c r="WIR69" s="8"/>
      <c r="WIS69" s="8"/>
      <c r="WIT69" s="8"/>
      <c r="WIU69" s="8"/>
      <c r="WIV69" s="8"/>
      <c r="WIW69" s="8"/>
      <c r="WIX69" s="8"/>
      <c r="WIY69" s="8"/>
      <c r="WIZ69" s="8"/>
      <c r="WJA69" s="8"/>
      <c r="WJB69" s="8"/>
      <c r="WJC69" s="8"/>
      <c r="WJD69" s="8"/>
      <c r="WJE69" s="8"/>
      <c r="WJF69" s="8"/>
      <c r="WJG69" s="8"/>
      <c r="WJH69" s="8"/>
      <c r="WJI69" s="8"/>
      <c r="WJJ69" s="8"/>
      <c r="WJK69" s="8"/>
      <c r="WJL69" s="8"/>
      <c r="WJM69" s="8"/>
      <c r="WJN69" s="8"/>
      <c r="WJO69" s="8"/>
      <c r="WJP69" s="8"/>
      <c r="WJQ69" s="8"/>
      <c r="WJR69" s="8"/>
      <c r="WJS69" s="8"/>
      <c r="WJT69" s="8"/>
      <c r="WJU69" s="8"/>
      <c r="WJV69" s="8"/>
      <c r="WJW69" s="8"/>
      <c r="WJX69" s="8"/>
      <c r="WJY69" s="8"/>
      <c r="WJZ69" s="8"/>
      <c r="WKA69" s="8"/>
      <c r="WKB69" s="8"/>
      <c r="WKC69" s="8"/>
      <c r="WKD69" s="8"/>
      <c r="WKE69" s="8"/>
      <c r="WKF69" s="8"/>
      <c r="WKG69" s="8"/>
      <c r="WKH69" s="8"/>
      <c r="WKI69" s="8"/>
      <c r="WKJ69" s="8"/>
      <c r="WKK69" s="8"/>
      <c r="WKL69" s="8"/>
      <c r="WKM69" s="8"/>
      <c r="WKN69" s="8"/>
      <c r="WKO69" s="8"/>
      <c r="WKP69" s="8"/>
      <c r="WKQ69" s="8"/>
      <c r="WKR69" s="8"/>
      <c r="WKS69" s="8"/>
      <c r="WKT69" s="8"/>
      <c r="WKU69" s="8"/>
      <c r="WKV69" s="8"/>
      <c r="WKW69" s="8"/>
      <c r="WKX69" s="8"/>
      <c r="WKY69" s="8"/>
      <c r="WKZ69" s="8"/>
      <c r="WLA69" s="8"/>
      <c r="WLB69" s="8"/>
      <c r="WLC69" s="8"/>
      <c r="WLD69" s="8"/>
      <c r="WLE69" s="8"/>
      <c r="WLF69" s="8"/>
      <c r="WLG69" s="8"/>
      <c r="WLH69" s="8"/>
      <c r="WLI69" s="8"/>
      <c r="WLJ69" s="8"/>
      <c r="WLK69" s="8"/>
      <c r="WLL69" s="8"/>
      <c r="WLM69" s="8"/>
      <c r="WLN69" s="8"/>
      <c r="WLO69" s="8"/>
      <c r="WLP69" s="8"/>
      <c r="WLQ69" s="8"/>
      <c r="WLR69" s="8"/>
      <c r="WLS69" s="8"/>
      <c r="WLT69" s="8"/>
      <c r="WLU69" s="8"/>
      <c r="WLV69" s="8"/>
      <c r="WLW69" s="8"/>
      <c r="WLX69" s="8"/>
      <c r="WLY69" s="8"/>
      <c r="WLZ69" s="8"/>
      <c r="WMA69" s="8"/>
      <c r="WMB69" s="8"/>
      <c r="WMC69" s="8"/>
      <c r="WMD69" s="8"/>
      <c r="WME69" s="8"/>
      <c r="WMF69" s="8"/>
      <c r="WMG69" s="8"/>
      <c r="WMH69" s="8"/>
      <c r="WMI69" s="8"/>
      <c r="WMJ69" s="8"/>
      <c r="WMK69" s="8"/>
      <c r="WML69" s="8"/>
      <c r="WMM69" s="8"/>
      <c r="WMN69" s="8"/>
      <c r="WMO69" s="8"/>
      <c r="WMP69" s="8"/>
      <c r="WMQ69" s="8"/>
      <c r="WMR69" s="8"/>
      <c r="WMS69" s="8"/>
      <c r="WMT69" s="8"/>
      <c r="WMU69" s="8"/>
      <c r="WMV69" s="8"/>
      <c r="WMW69" s="8"/>
      <c r="WMX69" s="8"/>
      <c r="WMY69" s="8"/>
      <c r="WMZ69" s="8"/>
      <c r="WNA69" s="8"/>
      <c r="WNB69" s="8"/>
      <c r="WNC69" s="8"/>
      <c r="WND69" s="8"/>
      <c r="WNE69" s="8"/>
      <c r="WNF69" s="8"/>
      <c r="WNG69" s="8"/>
      <c r="WNH69" s="8"/>
      <c r="WNI69" s="8"/>
      <c r="WNJ69" s="8"/>
      <c r="WNK69" s="8"/>
      <c r="WNL69" s="8"/>
      <c r="WNM69" s="8"/>
      <c r="WNN69" s="8"/>
      <c r="WNO69" s="8"/>
      <c r="WNP69" s="8"/>
      <c r="WNQ69" s="8"/>
      <c r="WNR69" s="8"/>
      <c r="WNS69" s="8"/>
      <c r="WNT69" s="8"/>
      <c r="WNU69" s="8"/>
      <c r="WNV69" s="8"/>
      <c r="WNW69" s="8"/>
      <c r="WNX69" s="8"/>
      <c r="WNY69" s="8"/>
      <c r="WNZ69" s="8"/>
      <c r="WOA69" s="8"/>
      <c r="WOB69" s="8"/>
      <c r="WOC69" s="8"/>
      <c r="WOD69" s="8"/>
      <c r="WOE69" s="8"/>
      <c r="WOF69" s="8"/>
      <c r="WOG69" s="8"/>
      <c r="WOH69" s="8"/>
      <c r="WOI69" s="8"/>
      <c r="WOJ69" s="8"/>
      <c r="WOK69" s="8"/>
      <c r="WOL69" s="8"/>
      <c r="WOM69" s="8"/>
      <c r="WON69" s="8"/>
      <c r="WOO69" s="8"/>
      <c r="WOP69" s="8"/>
      <c r="WOQ69" s="8"/>
      <c r="WOR69" s="8"/>
      <c r="WOS69" s="8"/>
      <c r="WOT69" s="8"/>
      <c r="WOU69" s="8"/>
      <c r="WOV69" s="8"/>
      <c r="WOW69" s="8"/>
      <c r="WOX69" s="8"/>
      <c r="WOY69" s="8"/>
      <c r="WOZ69" s="8"/>
      <c r="WPA69" s="8"/>
      <c r="WPB69" s="8"/>
      <c r="WPC69" s="8"/>
      <c r="WPD69" s="8"/>
      <c r="WPE69" s="8"/>
      <c r="WPF69" s="8"/>
      <c r="WPG69" s="8"/>
      <c r="WPH69" s="8"/>
      <c r="WPI69" s="8"/>
      <c r="WPJ69" s="8"/>
      <c r="WPK69" s="8"/>
      <c r="WPL69" s="8"/>
      <c r="WPM69" s="8"/>
      <c r="WPN69" s="8"/>
      <c r="WPO69" s="8"/>
      <c r="WPP69" s="8"/>
      <c r="WPQ69" s="8"/>
      <c r="WPR69" s="8"/>
      <c r="WPS69" s="8"/>
      <c r="WPT69" s="8"/>
      <c r="WPU69" s="8"/>
      <c r="WPV69" s="8"/>
      <c r="WPW69" s="8"/>
      <c r="WPX69" s="8"/>
      <c r="WPY69" s="8"/>
      <c r="WPZ69" s="8"/>
      <c r="WQA69" s="8"/>
      <c r="WQB69" s="8"/>
      <c r="WQC69" s="8"/>
      <c r="WQD69" s="8"/>
      <c r="WQE69" s="8"/>
      <c r="WQF69" s="8"/>
      <c r="WQG69" s="8"/>
      <c r="WQH69" s="8"/>
      <c r="WQI69" s="8"/>
      <c r="WQJ69" s="8"/>
      <c r="WQK69" s="8"/>
      <c r="WQL69" s="8"/>
      <c r="WQM69" s="8"/>
      <c r="WQN69" s="8"/>
      <c r="WQO69" s="8"/>
      <c r="WQP69" s="8"/>
      <c r="WQQ69" s="8"/>
      <c r="WQR69" s="8"/>
      <c r="WQS69" s="8"/>
      <c r="WQT69" s="8"/>
      <c r="WQU69" s="8"/>
      <c r="WQV69" s="8"/>
      <c r="WQW69" s="8"/>
      <c r="WQX69" s="8"/>
      <c r="WQY69" s="8"/>
      <c r="WQZ69" s="8"/>
      <c r="WRA69" s="8"/>
      <c r="WRB69" s="8"/>
      <c r="WRC69" s="8"/>
      <c r="WRD69" s="8"/>
      <c r="WRE69" s="8"/>
      <c r="WRF69" s="8"/>
      <c r="WRG69" s="8"/>
      <c r="WRH69" s="8"/>
      <c r="WRI69" s="8"/>
      <c r="WRJ69" s="8"/>
      <c r="WRK69" s="8"/>
      <c r="WRL69" s="8"/>
      <c r="WRM69" s="8"/>
      <c r="WRN69" s="8"/>
      <c r="WRO69" s="8"/>
      <c r="WRP69" s="8"/>
      <c r="WRQ69" s="8"/>
      <c r="WRR69" s="8"/>
      <c r="WRS69" s="8"/>
      <c r="WRT69" s="8"/>
      <c r="WRU69" s="8"/>
      <c r="WRV69" s="8"/>
      <c r="WRW69" s="8"/>
      <c r="WRX69" s="8"/>
      <c r="WRY69" s="8"/>
      <c r="WRZ69" s="8"/>
      <c r="WSA69" s="8"/>
      <c r="WSB69" s="8"/>
      <c r="WSC69" s="8"/>
      <c r="WSD69" s="8"/>
      <c r="WSE69" s="8"/>
      <c r="WSF69" s="8"/>
      <c r="WSG69" s="8"/>
      <c r="WSH69" s="8"/>
      <c r="WSI69" s="8"/>
      <c r="WSJ69" s="8"/>
      <c r="WSK69" s="8"/>
      <c r="WSL69" s="8"/>
      <c r="WSM69" s="8"/>
      <c r="WSN69" s="8"/>
      <c r="WSO69" s="8"/>
      <c r="WSP69" s="8"/>
      <c r="WSQ69" s="8"/>
      <c r="WSR69" s="8"/>
      <c r="WSS69" s="8"/>
      <c r="WST69" s="8"/>
      <c r="WSU69" s="8"/>
      <c r="WSV69" s="8"/>
      <c r="WSW69" s="8"/>
      <c r="WSX69" s="8"/>
      <c r="WSY69" s="8"/>
      <c r="WSZ69" s="8"/>
      <c r="WTA69" s="8"/>
      <c r="WTB69" s="8"/>
      <c r="WTC69" s="8"/>
      <c r="WTD69" s="8"/>
      <c r="WTE69" s="8"/>
      <c r="WTF69" s="8"/>
      <c r="WTG69" s="8"/>
      <c r="WTH69" s="8"/>
      <c r="WTI69" s="8"/>
      <c r="WTJ69" s="8"/>
      <c r="WTK69" s="8"/>
      <c r="WTL69" s="8"/>
      <c r="WTM69" s="8"/>
      <c r="WTN69" s="8"/>
      <c r="WTO69" s="8"/>
      <c r="WTP69" s="8"/>
      <c r="WTQ69" s="8"/>
      <c r="WTR69" s="8"/>
      <c r="WTS69" s="8"/>
      <c r="WTT69" s="8"/>
      <c r="WTU69" s="8"/>
      <c r="WTV69" s="8"/>
      <c r="WTW69" s="8"/>
      <c r="WTX69" s="8"/>
      <c r="WTY69" s="8"/>
      <c r="WTZ69" s="8"/>
      <c r="WUA69" s="8"/>
      <c r="WUB69" s="8"/>
      <c r="WUC69" s="8"/>
      <c r="WUD69" s="8"/>
      <c r="WUE69" s="8"/>
      <c r="WUF69" s="8"/>
      <c r="WUG69" s="8"/>
      <c r="WUH69" s="8"/>
      <c r="WUI69" s="8"/>
      <c r="WUJ69" s="8"/>
      <c r="WUK69" s="8"/>
      <c r="WUL69" s="8"/>
      <c r="WUM69" s="8"/>
      <c r="WUN69" s="8"/>
      <c r="WUO69" s="8"/>
      <c r="WUP69" s="8"/>
      <c r="WUQ69" s="8"/>
      <c r="WUR69" s="8"/>
      <c r="WUS69" s="8"/>
      <c r="WUT69" s="8"/>
      <c r="WUU69" s="8"/>
      <c r="WUV69" s="8"/>
      <c r="WUW69" s="8"/>
      <c r="WUX69" s="8"/>
      <c r="WUY69" s="8"/>
      <c r="WUZ69" s="8"/>
      <c r="WVA69" s="8"/>
      <c r="WVB69" s="8"/>
      <c r="WVC69" s="8"/>
      <c r="WVD69" s="8"/>
      <c r="WVE69" s="8"/>
      <c r="WVF69" s="8"/>
      <c r="WVG69" s="8"/>
      <c r="WVH69" s="8"/>
      <c r="WVI69" s="8"/>
      <c r="WVJ69" s="8"/>
      <c r="WVK69" s="8"/>
      <c r="WVL69" s="8"/>
      <c r="WVM69" s="8"/>
      <c r="WVN69" s="8"/>
      <c r="WVO69" s="8"/>
      <c r="WVP69" s="8"/>
      <c r="WVQ69" s="8"/>
      <c r="WVR69" s="8"/>
      <c r="WVS69" s="8"/>
      <c r="WVT69" s="8"/>
      <c r="WVU69" s="8"/>
      <c r="WVV69" s="8"/>
      <c r="WVW69" s="8"/>
      <c r="WVX69" s="8"/>
      <c r="WVY69" s="8"/>
      <c r="WVZ69" s="8"/>
      <c r="WWA69" s="8"/>
      <c r="WWB69" s="8"/>
      <c r="WWC69" s="8"/>
      <c r="WWD69" s="8"/>
      <c r="WWE69" s="8"/>
      <c r="WWF69" s="8"/>
      <c r="WWG69" s="8"/>
      <c r="WWH69" s="8"/>
      <c r="WWI69" s="8"/>
      <c r="WWJ69" s="8"/>
      <c r="WWK69" s="8"/>
      <c r="WWL69" s="8"/>
      <c r="WWM69" s="8"/>
      <c r="WWN69" s="8"/>
      <c r="WWO69" s="8"/>
      <c r="WWP69" s="8"/>
      <c r="WWQ69" s="8"/>
      <c r="WWR69" s="8"/>
      <c r="WWS69" s="8"/>
      <c r="WWT69" s="8"/>
      <c r="WWU69" s="8"/>
      <c r="WWV69" s="8"/>
      <c r="WWW69" s="8"/>
      <c r="WWX69" s="8"/>
      <c r="WWY69" s="8"/>
      <c r="WWZ69" s="8"/>
      <c r="WXA69" s="8"/>
      <c r="WXB69" s="8"/>
      <c r="WXC69" s="8"/>
      <c r="WXD69" s="8"/>
      <c r="WXE69" s="8"/>
      <c r="WXF69" s="8"/>
      <c r="WXG69" s="8"/>
      <c r="WXH69" s="8"/>
      <c r="WXI69" s="8"/>
      <c r="WXJ69" s="8"/>
      <c r="WXK69" s="8"/>
      <c r="WXL69" s="8"/>
      <c r="WXM69" s="8"/>
      <c r="WXN69" s="8"/>
      <c r="WXO69" s="8"/>
      <c r="WXP69" s="8"/>
      <c r="WXQ69" s="8"/>
      <c r="WXR69" s="8"/>
      <c r="WXS69" s="8"/>
      <c r="WXT69" s="8"/>
      <c r="WXU69" s="8"/>
      <c r="WXV69" s="8"/>
      <c r="WXW69" s="8"/>
      <c r="WXX69" s="8"/>
      <c r="WXY69" s="8"/>
      <c r="WXZ69" s="8"/>
      <c r="WYA69" s="8"/>
      <c r="WYB69" s="8"/>
      <c r="WYC69" s="8"/>
      <c r="WYD69" s="8"/>
      <c r="WYE69" s="8"/>
      <c r="WYF69" s="8"/>
      <c r="WYG69" s="8"/>
      <c r="WYH69" s="8"/>
      <c r="WYI69" s="8"/>
      <c r="WYJ69" s="8"/>
      <c r="WYK69" s="8"/>
      <c r="WYL69" s="8"/>
      <c r="WYM69" s="8"/>
      <c r="WYN69" s="8"/>
      <c r="WYO69" s="8"/>
      <c r="WYP69" s="8"/>
      <c r="WYQ69" s="8"/>
      <c r="WYR69" s="8"/>
      <c r="WYS69" s="8"/>
      <c r="WYT69" s="8"/>
      <c r="WYU69" s="8"/>
      <c r="WYV69" s="8"/>
      <c r="WYW69" s="8"/>
      <c r="WYX69" s="8"/>
      <c r="WYY69" s="8"/>
      <c r="WYZ69" s="8"/>
      <c r="WZA69" s="8"/>
      <c r="WZB69" s="8"/>
      <c r="WZC69" s="8"/>
      <c r="WZD69" s="8"/>
      <c r="WZE69" s="8"/>
      <c r="WZF69" s="8"/>
      <c r="WZG69" s="8"/>
      <c r="WZH69" s="8"/>
      <c r="WZI69" s="8"/>
      <c r="WZJ69" s="8"/>
      <c r="WZK69" s="8"/>
      <c r="WZL69" s="8"/>
      <c r="WZM69" s="8"/>
      <c r="WZN69" s="8"/>
      <c r="WZO69" s="8"/>
      <c r="WZP69" s="8"/>
      <c r="WZQ69" s="8"/>
      <c r="WZR69" s="8"/>
      <c r="WZS69" s="8"/>
      <c r="WZT69" s="8"/>
      <c r="WZU69" s="8"/>
      <c r="WZV69" s="8"/>
      <c r="WZW69" s="8"/>
      <c r="WZX69" s="8"/>
      <c r="WZY69" s="8"/>
      <c r="WZZ69" s="8"/>
      <c r="XAA69" s="8"/>
      <c r="XAB69" s="8"/>
      <c r="XAC69" s="8"/>
      <c r="XAD69" s="8"/>
      <c r="XAE69" s="8"/>
      <c r="XAF69" s="8"/>
      <c r="XAG69" s="8"/>
      <c r="XAH69" s="8"/>
      <c r="XAI69" s="8"/>
      <c r="XAJ69" s="8"/>
      <c r="XAK69" s="8"/>
      <c r="XAL69" s="8"/>
      <c r="XAM69" s="8"/>
      <c r="XAN69" s="8"/>
      <c r="XAO69" s="8"/>
      <c r="XAP69" s="8"/>
      <c r="XAQ69" s="8"/>
      <c r="XAR69" s="8"/>
      <c r="XAS69" s="8"/>
      <c r="XAT69" s="8"/>
      <c r="XAU69" s="8"/>
      <c r="XAV69" s="8"/>
      <c r="XAW69" s="8"/>
      <c r="XAX69" s="8"/>
      <c r="XAY69" s="8"/>
      <c r="XAZ69" s="8"/>
      <c r="XBA69" s="8"/>
      <c r="XBB69" s="8"/>
      <c r="XBC69" s="8"/>
      <c r="XBD69" s="8"/>
      <c r="XBE69" s="8"/>
      <c r="XBF69" s="8"/>
      <c r="XBG69" s="8"/>
      <c r="XBH69" s="8"/>
      <c r="XBI69" s="8"/>
      <c r="XBJ69" s="8"/>
      <c r="XBK69" s="8"/>
      <c r="XBL69" s="8"/>
      <c r="XBM69" s="8"/>
      <c r="XBN69" s="8"/>
      <c r="XBO69" s="8"/>
      <c r="XBP69" s="8"/>
      <c r="XBQ69" s="8"/>
      <c r="XBR69" s="8"/>
      <c r="XBS69" s="8"/>
      <c r="XBT69" s="8"/>
      <c r="XBU69" s="8"/>
      <c r="XBV69" s="8"/>
      <c r="XBW69" s="8"/>
      <c r="XBX69" s="8"/>
      <c r="XBY69" s="8"/>
      <c r="XBZ69" s="8"/>
      <c r="XCA69" s="8"/>
      <c r="XCB69" s="8"/>
      <c r="XCC69" s="8"/>
      <c r="XCD69" s="8"/>
      <c r="XCE69" s="8"/>
      <c r="XCF69" s="8"/>
      <c r="XCG69" s="8"/>
      <c r="XCH69" s="8"/>
      <c r="XCI69" s="8"/>
      <c r="XCJ69" s="8"/>
      <c r="XCK69" s="8"/>
      <c r="XCL69" s="8"/>
      <c r="XCM69" s="8"/>
      <c r="XCN69" s="8"/>
      <c r="XCO69" s="8"/>
      <c r="XCP69" s="8"/>
      <c r="XCQ69" s="8"/>
      <c r="XCR69" s="8"/>
      <c r="XCS69" s="8"/>
      <c r="XCT69" s="8"/>
      <c r="XCU69" s="8"/>
      <c r="XCV69" s="8"/>
      <c r="XCW69" s="8"/>
      <c r="XCX69" s="8"/>
      <c r="XCY69" s="8"/>
      <c r="XCZ69" s="8"/>
      <c r="XDA69" s="8"/>
      <c r="XDB69" s="8"/>
      <c r="XDC69" s="8"/>
      <c r="XDD69" s="8"/>
      <c r="XDE69" s="8"/>
      <c r="XDF69" s="8"/>
      <c r="XDG69" s="8"/>
      <c r="XDH69" s="8"/>
      <c r="XDI69" s="8"/>
      <c r="XDJ69" s="8"/>
      <c r="XDK69" s="8"/>
      <c r="XDL69" s="8"/>
      <c r="XDM69" s="8"/>
      <c r="XDN69" s="8"/>
      <c r="XDO69" s="8"/>
      <c r="XDP69" s="8"/>
      <c r="XDQ69" s="8"/>
      <c r="XDR69" s="8"/>
      <c r="XDS69" s="8"/>
      <c r="XDT69" s="8"/>
      <c r="XDU69" s="8"/>
      <c r="XDV69" s="8"/>
      <c r="XDW69" s="8"/>
      <c r="XDX69" s="8"/>
      <c r="XDY69" s="8"/>
      <c r="XDZ69" s="8"/>
      <c r="XEA69" s="8"/>
      <c r="XEB69" s="8"/>
      <c r="XEC69" s="8"/>
      <c r="XED69" s="8"/>
      <c r="XEE69" s="8"/>
      <c r="XEF69" s="8"/>
      <c r="XEG69" s="8"/>
      <c r="XEH69" s="8"/>
      <c r="XEI69" s="8"/>
      <c r="XEJ69" s="8"/>
      <c r="XEK69" s="8"/>
      <c r="XEL69" s="8"/>
      <c r="XEM69" s="8"/>
      <c r="XEN69" s="8"/>
      <c r="XEO69" s="8"/>
      <c r="XEP69" s="8"/>
      <c r="XEQ69" s="8"/>
      <c r="XER69" s="8"/>
      <c r="XES69" s="8"/>
      <c r="XET69" s="8"/>
      <c r="XEU69" s="8"/>
      <c r="XEV69" s="8"/>
      <c r="XEW69" s="8"/>
      <c r="XEX69" s="8"/>
      <c r="XEY69" s="8"/>
      <c r="XEZ69" s="8"/>
      <c r="XFA69" s="8"/>
      <c r="XFB69" s="8"/>
      <c r="XFC69" s="8"/>
    </row>
    <row r="70" spans="2:16383" x14ac:dyDescent="0.25">
      <c r="B70" s="35" t="s">
        <v>189</v>
      </c>
      <c r="C70" s="245">
        <f t="shared" si="0"/>
        <v>0.32533333333333331</v>
      </c>
      <c r="D70" s="12" t="s">
        <v>301</v>
      </c>
      <c r="E70" s="12" t="s">
        <v>429</v>
      </c>
      <c r="F70" s="12" t="s">
        <v>196</v>
      </c>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c r="XDV70" s="8"/>
      <c r="XDW70" s="8"/>
      <c r="XDX70" s="8"/>
      <c r="XDY70" s="8"/>
      <c r="XDZ70" s="8"/>
      <c r="XEA70" s="8"/>
      <c r="XEB70" s="8"/>
      <c r="XEC70" s="8"/>
      <c r="XED70" s="8"/>
      <c r="XEE70" s="8"/>
      <c r="XEF70" s="8"/>
      <c r="XEG70" s="8"/>
      <c r="XEH70" s="8"/>
      <c r="XEI70" s="8"/>
      <c r="XEJ70" s="8"/>
      <c r="XEK70" s="8"/>
      <c r="XEL70" s="8"/>
      <c r="XEM70" s="8"/>
      <c r="XEN70" s="8"/>
      <c r="XEO70" s="8"/>
      <c r="XEP70" s="8"/>
      <c r="XEQ70" s="8"/>
      <c r="XER70" s="8"/>
      <c r="XES70" s="8"/>
      <c r="XET70" s="8"/>
      <c r="XEU70" s="8"/>
      <c r="XEV70" s="8"/>
      <c r="XEW70" s="8"/>
      <c r="XEX70" s="8"/>
      <c r="XEY70" s="8"/>
      <c r="XEZ70" s="8"/>
      <c r="XFA70" s="8"/>
      <c r="XFB70" s="8"/>
      <c r="XFC70" s="8"/>
    </row>
    <row r="71" spans="2:16383" x14ac:dyDescent="0.25">
      <c r="B71" s="35" t="s">
        <v>309</v>
      </c>
      <c r="C71" s="245">
        <f t="shared" si="0"/>
        <v>0.49333333333333335</v>
      </c>
      <c r="D71" s="12" t="s">
        <v>301</v>
      </c>
      <c r="E71" s="12" t="s">
        <v>429</v>
      </c>
      <c r="F71" s="12" t="s">
        <v>313</v>
      </c>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c r="XDV71" s="8"/>
      <c r="XDW71" s="8"/>
      <c r="XDX71" s="8"/>
      <c r="XDY71" s="8"/>
      <c r="XDZ71" s="8"/>
      <c r="XEA71" s="8"/>
      <c r="XEB71" s="8"/>
      <c r="XEC71" s="8"/>
      <c r="XED71" s="8"/>
      <c r="XEE71" s="8"/>
      <c r="XEF71" s="8"/>
      <c r="XEG71" s="8"/>
      <c r="XEH71" s="8"/>
      <c r="XEI71" s="8"/>
      <c r="XEJ71" s="8"/>
      <c r="XEK71" s="8"/>
      <c r="XEL71" s="8"/>
      <c r="XEM71" s="8"/>
      <c r="XEN71" s="8"/>
      <c r="XEO71" s="8"/>
      <c r="XEP71" s="8"/>
      <c r="XEQ71" s="8"/>
      <c r="XER71" s="8"/>
      <c r="XES71" s="8"/>
      <c r="XET71" s="8"/>
      <c r="XEU71" s="8"/>
      <c r="XEV71" s="8"/>
      <c r="XEW71" s="8"/>
      <c r="XEX71" s="8"/>
      <c r="XEY71" s="8"/>
      <c r="XEZ71" s="8"/>
      <c r="XFA71" s="8"/>
      <c r="XFB71" s="8"/>
      <c r="XFC71" s="8"/>
    </row>
    <row r="72" spans="2:16383" x14ac:dyDescent="0.25">
      <c r="B72" s="35" t="s">
        <v>309</v>
      </c>
      <c r="C72" s="245">
        <f t="shared" si="0"/>
        <v>0.6</v>
      </c>
      <c r="D72" s="12" t="s">
        <v>301</v>
      </c>
      <c r="E72" s="12" t="s">
        <v>429</v>
      </c>
      <c r="F72" s="12" t="s">
        <v>313</v>
      </c>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2:16383" x14ac:dyDescent="0.25">
      <c r="B73" s="35" t="s">
        <v>309</v>
      </c>
      <c r="C73" s="245">
        <f>C58/0.75</f>
        <v>0.39083333333333331</v>
      </c>
      <c r="D73" s="12" t="s">
        <v>301</v>
      </c>
      <c r="E73" s="12" t="s">
        <v>429</v>
      </c>
      <c r="F73" s="12" t="s">
        <v>320</v>
      </c>
      <c r="K73" s="8"/>
      <c r="L73" s="8"/>
      <c r="M73" s="8"/>
      <c r="N73" s="8"/>
      <c r="O73" s="8"/>
      <c r="P73" s="8"/>
      <c r="Q73" s="8"/>
      <c r="R73" s="8"/>
      <c r="S73" s="8"/>
      <c r="T73" s="8"/>
      <c r="U73" s="8"/>
      <c r="V73" s="8"/>
      <c r="W73" s="8"/>
      <c r="X73" s="8"/>
      <c r="Y73" s="8"/>
      <c r="Z73" s="8"/>
      <c r="AA73" s="8"/>
      <c r="AB73" s="8"/>
      <c r="AC73" s="8"/>
      <c r="AD73" s="8"/>
      <c r="AE73" s="8"/>
      <c r="AF73" s="8"/>
      <c r="AG73" s="8"/>
      <c r="AH73" s="8"/>
    </row>
    <row r="74" spans="2:16383" x14ac:dyDescent="0.25">
      <c r="B74" s="35" t="s">
        <v>690</v>
      </c>
      <c r="C74" s="246">
        <f>C59/0.75</f>
        <v>20</v>
      </c>
      <c r="D74" s="12" t="s">
        <v>692</v>
      </c>
      <c r="E74" s="12" t="s">
        <v>429</v>
      </c>
      <c r="F74" s="12" t="s">
        <v>682</v>
      </c>
    </row>
    <row r="75" spans="2:16383" x14ac:dyDescent="0.25">
      <c r="B75" s="36"/>
      <c r="C75" s="48"/>
      <c r="D75" s="6"/>
      <c r="E75" s="6"/>
      <c r="F75" s="6"/>
    </row>
    <row r="76" spans="2:16383" x14ac:dyDescent="0.25">
      <c r="B76" s="42" t="s">
        <v>298</v>
      </c>
    </row>
    <row r="77" spans="2:16383" x14ac:dyDescent="0.25">
      <c r="B77" s="51" t="s">
        <v>398</v>
      </c>
      <c r="C77" s="2" t="s">
        <v>150</v>
      </c>
      <c r="D77" s="2" t="s">
        <v>151</v>
      </c>
      <c r="E77" s="2" t="s">
        <v>16</v>
      </c>
      <c r="F77" s="2" t="s">
        <v>15</v>
      </c>
      <c r="G77" s="5"/>
      <c r="H77" s="5"/>
      <c r="I77" s="5"/>
      <c r="J77" s="5"/>
    </row>
    <row r="78" spans="2:16383" x14ac:dyDescent="0.25">
      <c r="B78" s="35" t="s">
        <v>296</v>
      </c>
      <c r="C78" s="188">
        <v>25</v>
      </c>
      <c r="D78" s="12" t="s">
        <v>162</v>
      </c>
      <c r="E78" s="12" t="s">
        <v>299</v>
      </c>
      <c r="F78" s="12" t="s">
        <v>143</v>
      </c>
      <c r="K78" s="5"/>
      <c r="L78" s="5"/>
      <c r="M78" s="5"/>
      <c r="N78" s="5"/>
      <c r="O78" s="5"/>
      <c r="P78" s="5"/>
      <c r="Q78" s="5"/>
      <c r="R78" s="5"/>
      <c r="S78" s="5"/>
      <c r="T78" s="5"/>
      <c r="U78" s="5"/>
      <c r="V78" s="5"/>
      <c r="W78" s="5"/>
      <c r="X78" s="5"/>
      <c r="Y78" s="5"/>
      <c r="Z78" s="5"/>
      <c r="AA78" s="5"/>
      <c r="AB78" s="5"/>
      <c r="AC78" s="5"/>
      <c r="AD78" s="5"/>
      <c r="AE78" s="5"/>
      <c r="AF78" s="5"/>
      <c r="AG78" s="5"/>
      <c r="AH78" s="5"/>
    </row>
    <row r="79" spans="2:16383" x14ac:dyDescent="0.25">
      <c r="B79" s="35" t="s">
        <v>317</v>
      </c>
      <c r="C79" s="247">
        <v>33</v>
      </c>
      <c r="D79" s="12" t="s">
        <v>162</v>
      </c>
      <c r="E79" s="12" t="str">
        <f>"mass lost/original mass"</f>
        <v>mass lost/original mass</v>
      </c>
      <c r="F79" s="12" t="s">
        <v>318</v>
      </c>
    </row>
    <row r="80" spans="2:16383" x14ac:dyDescent="0.25"/>
    <row r="81" spans="2:35" x14ac:dyDescent="0.25">
      <c r="B81" s="42" t="s">
        <v>321</v>
      </c>
    </row>
    <row r="82" spans="2:35" x14ac:dyDescent="0.25">
      <c r="B82" s="51" t="s">
        <v>398</v>
      </c>
      <c r="C82" s="2" t="s">
        <v>150</v>
      </c>
      <c r="D82" s="2" t="s">
        <v>151</v>
      </c>
      <c r="E82" s="2" t="s">
        <v>16</v>
      </c>
      <c r="F82" s="2" t="s">
        <v>15</v>
      </c>
      <c r="G82" s="2" t="s">
        <v>195</v>
      </c>
      <c r="H82" s="5"/>
      <c r="I82" s="5"/>
      <c r="J82" s="5"/>
    </row>
    <row r="83" spans="2:35" x14ac:dyDescent="0.25">
      <c r="B83" s="35" t="s">
        <v>326</v>
      </c>
      <c r="C83" s="21">
        <v>5</v>
      </c>
      <c r="D83" s="12" t="s">
        <v>322</v>
      </c>
      <c r="E83" s="12" t="s">
        <v>323</v>
      </c>
      <c r="F83" s="12" t="s">
        <v>324</v>
      </c>
      <c r="G83" s="12" t="s">
        <v>325</v>
      </c>
      <c r="K83" s="5"/>
      <c r="L83" s="5"/>
      <c r="M83" s="5"/>
      <c r="N83" s="5"/>
      <c r="O83" s="5"/>
      <c r="P83" s="5"/>
      <c r="Q83" s="5"/>
      <c r="R83" s="5"/>
      <c r="S83" s="5"/>
      <c r="T83" s="5"/>
      <c r="U83" s="5"/>
      <c r="V83" s="5"/>
      <c r="W83" s="5"/>
      <c r="X83" s="5"/>
      <c r="Y83" s="5"/>
      <c r="Z83" s="5"/>
      <c r="AA83" s="5"/>
      <c r="AB83" s="5"/>
      <c r="AC83" s="5"/>
      <c r="AD83" s="5"/>
      <c r="AE83" s="5"/>
      <c r="AF83" s="5"/>
      <c r="AG83" s="5"/>
      <c r="AH83" s="5"/>
      <c r="AI83" s="5"/>
    </row>
    <row r="84" spans="2:35" x14ac:dyDescent="0.25">
      <c r="B84" s="35" t="s">
        <v>327</v>
      </c>
      <c r="C84" s="21">
        <v>5</v>
      </c>
      <c r="D84" s="12" t="s">
        <v>322</v>
      </c>
      <c r="E84" s="12" t="s">
        <v>328</v>
      </c>
      <c r="F84" s="12" t="s">
        <v>324</v>
      </c>
      <c r="G84" s="12" t="s">
        <v>325</v>
      </c>
    </row>
    <row r="85" spans="2:35" x14ac:dyDescent="0.25">
      <c r="K85" s="5" t="s">
        <v>262</v>
      </c>
    </row>
    <row r="86" spans="2:35" x14ac:dyDescent="0.25"/>
    <row r="87" spans="2:35" x14ac:dyDescent="0.25">
      <c r="B87" s="42"/>
    </row>
    <row r="88" spans="2:35" x14ac:dyDescent="0.25">
      <c r="B88" s="45"/>
    </row>
    <row r="89" spans="2:35" x14ac:dyDescent="0.25"/>
    <row r="90" spans="2:35" x14ac:dyDescent="0.25"/>
    <row r="91" spans="2:35" x14ac:dyDescent="0.25"/>
    <row r="92" spans="2:35" x14ac:dyDescent="0.25"/>
    <row r="93" spans="2:35" x14ac:dyDescent="0.25"/>
    <row r="94" spans="2:35" x14ac:dyDescent="0.25"/>
    <row r="95" spans="2:35" x14ac:dyDescent="0.25">
      <c r="K95" s="42" t="s">
        <v>261</v>
      </c>
    </row>
    <row r="96" spans="2:35"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sheetData>
  <mergeCells count="2">
    <mergeCell ref="C9:G9"/>
    <mergeCell ref="A2:G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9"/>
  <sheetViews>
    <sheetView zoomScale="80" zoomScaleNormal="80" workbookViewId="0">
      <selection sqref="A1:XFD1"/>
    </sheetView>
  </sheetViews>
  <sheetFormatPr defaultColWidth="0" defaultRowHeight="15.75" zeroHeight="1" x14ac:dyDescent="0.25"/>
  <cols>
    <col min="1" max="1" width="9.140625" style="4" customWidth="1"/>
    <col min="2" max="2" width="34" style="4" customWidth="1"/>
    <col min="3" max="3" width="30.5703125" style="4" bestFit="1" customWidth="1"/>
    <col min="4" max="4" width="31.85546875" style="4" bestFit="1" customWidth="1"/>
    <col min="5" max="5" width="32" style="4" bestFit="1" customWidth="1"/>
    <col min="6" max="6" width="9.140625" style="4" customWidth="1"/>
    <col min="7" max="7" width="12" style="4" bestFit="1" customWidth="1"/>
    <col min="8" max="8" width="13.28515625" style="4" bestFit="1" customWidth="1"/>
    <col min="9" max="9" width="9.85546875" style="4" bestFit="1" customWidth="1"/>
    <col min="10" max="10" width="36.7109375" style="4" bestFit="1" customWidth="1"/>
    <col min="11" max="30" width="9.140625" style="4" customWidth="1"/>
    <col min="31" max="16384" width="9.140625" style="4" hidden="1"/>
  </cols>
  <sheetData>
    <row r="1" spans="1:18" x14ac:dyDescent="0.25">
      <c r="A1" s="5" t="s">
        <v>626</v>
      </c>
    </row>
    <row r="2" spans="1:18" x14ac:dyDescent="0.25">
      <c r="A2" s="145" t="s">
        <v>625</v>
      </c>
    </row>
    <row r="3" spans="1:18" x14ac:dyDescent="0.25"/>
    <row r="4" spans="1:18" x14ac:dyDescent="0.25"/>
    <row r="5" spans="1:18" x14ac:dyDescent="0.25">
      <c r="B5" s="5" t="s">
        <v>624</v>
      </c>
    </row>
    <row r="6" spans="1:18" x14ac:dyDescent="0.25">
      <c r="B6" s="4" t="s">
        <v>623</v>
      </c>
    </row>
    <row r="7" spans="1:18" x14ac:dyDescent="0.25">
      <c r="B7" s="4" t="s">
        <v>622</v>
      </c>
    </row>
    <row r="8" spans="1:18" x14ac:dyDescent="0.25"/>
    <row r="9" spans="1:18" x14ac:dyDescent="0.25">
      <c r="B9" s="74" t="s">
        <v>621</v>
      </c>
      <c r="J9" s="5" t="s">
        <v>620</v>
      </c>
      <c r="R9" s="5" t="s">
        <v>734</v>
      </c>
    </row>
    <row r="10" spans="1:18" x14ac:dyDescent="0.25">
      <c r="B10" s="2" t="s">
        <v>621</v>
      </c>
      <c r="C10" s="170" t="s">
        <v>390</v>
      </c>
      <c r="D10" s="170" t="s">
        <v>5</v>
      </c>
      <c r="E10" s="165"/>
      <c r="F10" s="165"/>
      <c r="G10" s="6"/>
    </row>
    <row r="11" spans="1:18" x14ac:dyDescent="0.25">
      <c r="B11" s="12" t="s">
        <v>609</v>
      </c>
      <c r="C11" s="233">
        <f>MIN('Land App. LCI Doc.'!$D$35:$D$43)/'Land App. LCI Doc.'!H18</f>
        <v>1.3742406810895017E-3</v>
      </c>
      <c r="D11" s="12" t="s">
        <v>618</v>
      </c>
      <c r="E11" s="13"/>
      <c r="F11" s="13"/>
      <c r="G11" s="6"/>
    </row>
    <row r="12" spans="1:18" x14ac:dyDescent="0.25">
      <c r="B12" s="12" t="s">
        <v>619</v>
      </c>
      <c r="C12" s="233">
        <f>AVERAGE('Land App. LCI Doc.'!$D$35:$D$43)/'Land App. LCI Doc.'!H18</f>
        <v>4.5986096956826443E-3</v>
      </c>
      <c r="D12" s="12" t="s">
        <v>618</v>
      </c>
      <c r="E12" s="6"/>
      <c r="F12" s="6"/>
      <c r="G12" s="6"/>
    </row>
    <row r="13" spans="1:18" x14ac:dyDescent="0.25">
      <c r="B13" s="12" t="s">
        <v>605</v>
      </c>
      <c r="C13" s="233">
        <f>MAX('Land App. LCI Doc.'!$D$35:$D$43)/'Land App. LCI Doc.'!H18</f>
        <v>9.7231089198310857E-3</v>
      </c>
      <c r="D13" s="12" t="s">
        <v>618</v>
      </c>
      <c r="E13" s="6"/>
      <c r="F13" s="6"/>
      <c r="G13" s="6"/>
    </row>
    <row r="14" spans="1:18" x14ac:dyDescent="0.25">
      <c r="B14" s="6"/>
      <c r="C14" s="6"/>
      <c r="D14" s="6"/>
      <c r="E14" s="6"/>
      <c r="F14" s="6"/>
      <c r="G14" s="6"/>
    </row>
    <row r="15" spans="1:18" x14ac:dyDescent="0.25">
      <c r="B15" s="164" t="s">
        <v>617</v>
      </c>
      <c r="C15" s="6"/>
      <c r="D15" s="6"/>
      <c r="E15" s="6"/>
      <c r="F15" s="6"/>
      <c r="G15" s="6"/>
    </row>
    <row r="16" spans="1:18" x14ac:dyDescent="0.25">
      <c r="B16" s="2" t="s">
        <v>735</v>
      </c>
      <c r="C16" s="2" t="s">
        <v>736</v>
      </c>
      <c r="D16" s="2" t="s">
        <v>737</v>
      </c>
      <c r="E16" s="2" t="s">
        <v>738</v>
      </c>
    </row>
    <row r="17" spans="2:5" x14ac:dyDescent="0.25">
      <c r="B17" s="12">
        <f>1</f>
        <v>1</v>
      </c>
      <c r="C17" s="21">
        <f>B17*1000*$C$11</f>
        <v>1.3742406810895018</v>
      </c>
      <c r="D17" s="21">
        <f t="shared" ref="D17:D26" si="0">B17*1000*$C$12</f>
        <v>4.5986096956826445</v>
      </c>
      <c r="E17" s="21">
        <f t="shared" ref="E17:E26" si="1">B17*1000*$C$13</f>
        <v>9.7231089198310858</v>
      </c>
    </row>
    <row r="18" spans="2:5" x14ac:dyDescent="0.25">
      <c r="B18" s="12">
        <f t="shared" ref="B18:B26" si="2">B17+1</f>
        <v>2</v>
      </c>
      <c r="C18" s="21">
        <f t="shared" ref="C18:C26" si="3">B18*1000*$C$11</f>
        <v>2.7484813621790036</v>
      </c>
      <c r="D18" s="21">
        <f t="shared" si="0"/>
        <v>9.1972193913652891</v>
      </c>
      <c r="E18" s="188">
        <f t="shared" si="1"/>
        <v>19.446217839662172</v>
      </c>
    </row>
    <row r="19" spans="2:5" x14ac:dyDescent="0.25">
      <c r="B19" s="12">
        <f t="shared" si="2"/>
        <v>3</v>
      </c>
      <c r="C19" s="21">
        <f t="shared" si="3"/>
        <v>4.1227220432685048</v>
      </c>
      <c r="D19" s="188">
        <f t="shared" si="0"/>
        <v>13.795829087047933</v>
      </c>
      <c r="E19" s="188">
        <f t="shared" si="1"/>
        <v>29.169326759493256</v>
      </c>
    </row>
    <row r="20" spans="2:5" x14ac:dyDescent="0.25">
      <c r="B20" s="12">
        <f t="shared" si="2"/>
        <v>4</v>
      </c>
      <c r="C20" s="21">
        <f t="shared" si="3"/>
        <v>5.4969627243580073</v>
      </c>
      <c r="D20" s="188">
        <f t="shared" si="0"/>
        <v>18.394438782730578</v>
      </c>
      <c r="E20" s="188">
        <f t="shared" si="1"/>
        <v>38.892435679324343</v>
      </c>
    </row>
    <row r="21" spans="2:5" x14ac:dyDescent="0.25">
      <c r="B21" s="12">
        <f t="shared" si="2"/>
        <v>5</v>
      </c>
      <c r="C21" s="21">
        <f t="shared" si="3"/>
        <v>6.8712034054475088</v>
      </c>
      <c r="D21" s="188">
        <f t="shared" si="0"/>
        <v>22.993048478413222</v>
      </c>
      <c r="E21" s="188">
        <f t="shared" si="1"/>
        <v>48.615544599155427</v>
      </c>
    </row>
    <row r="22" spans="2:5" x14ac:dyDescent="0.25">
      <c r="B22" s="12">
        <f t="shared" si="2"/>
        <v>6</v>
      </c>
      <c r="C22" s="21">
        <f t="shared" si="3"/>
        <v>8.2454440865370096</v>
      </c>
      <c r="D22" s="188">
        <f t="shared" si="0"/>
        <v>27.591658174095866</v>
      </c>
      <c r="E22" s="188">
        <f t="shared" si="1"/>
        <v>58.338653518986511</v>
      </c>
    </row>
    <row r="23" spans="2:5" x14ac:dyDescent="0.25">
      <c r="B23" s="12">
        <f t="shared" si="2"/>
        <v>7</v>
      </c>
      <c r="C23" s="21">
        <f t="shared" si="3"/>
        <v>9.6196847676265129</v>
      </c>
      <c r="D23" s="188">
        <f t="shared" si="0"/>
        <v>32.190267869778509</v>
      </c>
      <c r="E23" s="188">
        <f t="shared" si="1"/>
        <v>68.061762438817595</v>
      </c>
    </row>
    <row r="24" spans="2:5" x14ac:dyDescent="0.25">
      <c r="B24" s="12">
        <f t="shared" si="2"/>
        <v>8</v>
      </c>
      <c r="C24" s="188">
        <f t="shared" si="3"/>
        <v>10.993925448716015</v>
      </c>
      <c r="D24" s="188">
        <f t="shared" si="0"/>
        <v>36.788877565461156</v>
      </c>
      <c r="E24" s="188">
        <f t="shared" si="1"/>
        <v>77.784871358648687</v>
      </c>
    </row>
    <row r="25" spans="2:5" x14ac:dyDescent="0.25">
      <c r="B25" s="12">
        <f t="shared" si="2"/>
        <v>9</v>
      </c>
      <c r="C25" s="188">
        <f t="shared" si="3"/>
        <v>12.368166129805516</v>
      </c>
      <c r="D25" s="188">
        <f t="shared" si="0"/>
        <v>41.387487261143797</v>
      </c>
      <c r="E25" s="188">
        <f t="shared" si="1"/>
        <v>87.507980278479778</v>
      </c>
    </row>
    <row r="26" spans="2:5" x14ac:dyDescent="0.25">
      <c r="B26" s="12">
        <f t="shared" si="2"/>
        <v>10</v>
      </c>
      <c r="C26" s="188">
        <f t="shared" si="3"/>
        <v>13.742406810895018</v>
      </c>
      <c r="D26" s="188">
        <f t="shared" si="0"/>
        <v>45.986096956826444</v>
      </c>
      <c r="E26" s="188">
        <f t="shared" si="1"/>
        <v>97.231089198310855</v>
      </c>
    </row>
    <row r="27" spans="2:5" x14ac:dyDescent="0.25"/>
    <row r="28" spans="2:5" x14ac:dyDescent="0.25">
      <c r="B28" s="74" t="s">
        <v>616</v>
      </c>
    </row>
    <row r="29" spans="2:5" s="5" customFormat="1" x14ac:dyDescent="0.25">
      <c r="B29" s="2" t="s">
        <v>613</v>
      </c>
      <c r="C29" s="2" t="s">
        <v>350</v>
      </c>
      <c r="D29" s="2" t="s">
        <v>5</v>
      </c>
    </row>
    <row r="30" spans="2:5" x14ac:dyDescent="0.25">
      <c r="B30" s="12" t="s">
        <v>609</v>
      </c>
      <c r="C30" s="21">
        <f>_xlfn.PERCENTILE.INC(C17:E26, 0.05)</f>
        <v>3.3668896686692795</v>
      </c>
      <c r="D30" s="12" t="s">
        <v>615</v>
      </c>
    </row>
    <row r="31" spans="2:5" x14ac:dyDescent="0.25">
      <c r="B31" s="12" t="s">
        <v>608</v>
      </c>
      <c r="C31" s="21">
        <f>_xlfn.PERCENTILE.INC(C17:E26,0.25)</f>
        <v>9.3028357354305946</v>
      </c>
      <c r="D31" s="12" t="s">
        <v>615</v>
      </c>
    </row>
    <row r="32" spans="2:5" x14ac:dyDescent="0.25">
      <c r="B32" s="12" t="s">
        <v>607</v>
      </c>
      <c r="C32" s="188">
        <f>PERCENTILE(C17:E26,0.5)</f>
        <v>18.920328311196375</v>
      </c>
      <c r="D32" s="12" t="s">
        <v>615</v>
      </c>
    </row>
    <row r="33" spans="2:18" x14ac:dyDescent="0.25">
      <c r="B33" s="12" t="s">
        <v>606</v>
      </c>
      <c r="C33" s="188">
        <f>_xlfn.PERCENTILE.INC(C17:E26, 0.75)</f>
        <v>40.76372436568893</v>
      </c>
      <c r="D33" s="12" t="s">
        <v>615</v>
      </c>
    </row>
    <row r="34" spans="2:18" x14ac:dyDescent="0.25">
      <c r="B34" s="12" t="s">
        <v>605</v>
      </c>
      <c r="C34" s="188">
        <f>_xlfn.PERCENTILE.INC(C17:E26,0.95)</f>
        <v>83.132581264555753</v>
      </c>
      <c r="D34" s="12" t="s">
        <v>615</v>
      </c>
      <c r="R34" s="13" t="s">
        <v>168</v>
      </c>
    </row>
    <row r="35" spans="2:18" x14ac:dyDescent="0.25"/>
    <row r="36" spans="2:18" x14ac:dyDescent="0.25">
      <c r="B36" s="74" t="s">
        <v>614</v>
      </c>
    </row>
    <row r="37" spans="2:18" s="5" customFormat="1" x14ac:dyDescent="0.25">
      <c r="B37" s="2" t="s">
        <v>613</v>
      </c>
      <c r="C37" s="2" t="s">
        <v>612</v>
      </c>
      <c r="D37" s="2" t="s">
        <v>611</v>
      </c>
      <c r="E37" s="2" t="s">
        <v>610</v>
      </c>
    </row>
    <row r="38" spans="2:18" x14ac:dyDescent="0.25">
      <c r="B38" s="12" t="s">
        <v>609</v>
      </c>
      <c r="C38" s="16">
        <f>C30*0.01</f>
        <v>3.3668896686692797E-2</v>
      </c>
      <c r="D38" s="16">
        <f>C30*0.003</f>
        <v>1.0100669006007838E-2</v>
      </c>
      <c r="E38" s="16">
        <f>C30*0.03</f>
        <v>0.10100669006007838</v>
      </c>
    </row>
    <row r="39" spans="2:18" x14ac:dyDescent="0.25">
      <c r="B39" s="12" t="s">
        <v>608</v>
      </c>
      <c r="C39" s="16">
        <f>C31*0.01</f>
        <v>9.3028357354305952E-2</v>
      </c>
      <c r="D39" s="16">
        <f>C31*0.003</f>
        <v>2.7908507206291785E-2</v>
      </c>
      <c r="E39" s="16">
        <f>C31*0.03</f>
        <v>0.27908507206291783</v>
      </c>
    </row>
    <row r="40" spans="2:18" x14ac:dyDescent="0.25">
      <c r="B40" s="12" t="s">
        <v>607</v>
      </c>
      <c r="C40" s="16">
        <f>C32*0.01</f>
        <v>0.18920328311196374</v>
      </c>
      <c r="D40" s="16">
        <f>C32*0.003</f>
        <v>5.6760984933589123E-2</v>
      </c>
      <c r="E40" s="16">
        <f>C32*0.03</f>
        <v>0.5676098493358912</v>
      </c>
    </row>
    <row r="41" spans="2:18" x14ac:dyDescent="0.25">
      <c r="B41" s="12" t="s">
        <v>606</v>
      </c>
      <c r="C41" s="16">
        <f>C33*0.01</f>
        <v>0.4076372436568893</v>
      </c>
      <c r="D41" s="16">
        <f>C33*0.003</f>
        <v>0.12229117309706679</v>
      </c>
      <c r="E41" s="21">
        <f>C33*0.03</f>
        <v>1.2229117309706679</v>
      </c>
    </row>
    <row r="42" spans="2:18" x14ac:dyDescent="0.25">
      <c r="B42" s="12" t="s">
        <v>605</v>
      </c>
      <c r="C42" s="16">
        <f>C34*0.01</f>
        <v>0.8313258126455576</v>
      </c>
      <c r="D42" s="16">
        <f>C34*0.003</f>
        <v>0.24939774379366728</v>
      </c>
      <c r="E42" s="21">
        <f>C34*0.03</f>
        <v>2.4939774379366724</v>
      </c>
    </row>
    <row r="43" spans="2:18" x14ac:dyDescent="0.25"/>
    <row r="44" spans="2:18" x14ac:dyDescent="0.25">
      <c r="R44" s="13" t="s">
        <v>168</v>
      </c>
    </row>
    <row r="45" spans="2:18" x14ac:dyDescent="0.25">
      <c r="B45" s="5" t="s">
        <v>643</v>
      </c>
    </row>
    <row r="46" spans="2:18" x14ac:dyDescent="0.25">
      <c r="B46" s="2"/>
      <c r="C46" s="262" t="s">
        <v>604</v>
      </c>
      <c r="D46" s="262"/>
      <c r="E46" s="262"/>
    </row>
    <row r="47" spans="2:18" x14ac:dyDescent="0.25">
      <c r="B47" s="2" t="s">
        <v>601</v>
      </c>
      <c r="C47" s="2" t="s">
        <v>483</v>
      </c>
      <c r="D47" s="2" t="s">
        <v>487</v>
      </c>
      <c r="E47" s="2" t="s">
        <v>490</v>
      </c>
    </row>
    <row r="48" spans="2:18" x14ac:dyDescent="0.25">
      <c r="B48" s="22">
        <f>C30</f>
        <v>3.3668896686692795</v>
      </c>
      <c r="C48" s="16">
        <f>(0.48*EXP(0.0058*B48))*(44/28)</f>
        <v>0.76916013648044645</v>
      </c>
      <c r="D48" s="188">
        <f>4.46*EXP(0.0094*B48)*(62/14)</f>
        <v>20.386533989745057</v>
      </c>
      <c r="E48" s="21">
        <f>(0.24*B48+1.3)*(17/14)</f>
        <v>2.5597792748693324</v>
      </c>
    </row>
    <row r="49" spans="2:5" x14ac:dyDescent="0.25">
      <c r="B49" s="22">
        <f>C31</f>
        <v>9.3028357354305946</v>
      </c>
      <c r="C49" s="16">
        <f>(0.48*EXP(0.0058*B49))*(44/28)</f>
        <v>0.79610228386766069</v>
      </c>
      <c r="D49" s="188">
        <f>4.46*EXP(0.0094*B49)*(62/14)</f>
        <v>21.556393989156984</v>
      </c>
      <c r="E49" s="21">
        <f>(0.24*B49+1.3)*(17/14)</f>
        <v>4.2896835571826299</v>
      </c>
    </row>
    <row r="50" spans="2:5" x14ac:dyDescent="0.25">
      <c r="B50" s="22">
        <f>C32</f>
        <v>18.920328311196375</v>
      </c>
      <c r="C50" s="16">
        <f>(0.48*EXP(0.0058*B50))*(44/28)</f>
        <v>0.84177194791464616</v>
      </c>
      <c r="D50" s="188">
        <f>4.46*EXP(0.0094*B50)*(62/14)</f>
        <v>23.595992955326121</v>
      </c>
      <c r="E50" s="21">
        <f>(0.24*B50+1.3)*(17/14)</f>
        <v>7.0924956792629423</v>
      </c>
    </row>
    <row r="51" spans="2:5" x14ac:dyDescent="0.25">
      <c r="B51" s="22">
        <f>C33</f>
        <v>40.76372436568893</v>
      </c>
      <c r="C51" s="16">
        <f>(0.48*EXP(0.0058*B51))*(44/28)</f>
        <v>0.95546757593060372</v>
      </c>
      <c r="D51" s="188">
        <f>4.46*EXP(0.0094*B51)*(62/14)</f>
        <v>28.974172522714589</v>
      </c>
      <c r="E51" s="188">
        <f>(0.24*B51+1.3)*(17/14)</f>
        <v>13.458285386572202</v>
      </c>
    </row>
    <row r="52" spans="2:5" x14ac:dyDescent="0.25">
      <c r="B52" s="22">
        <f>C34</f>
        <v>83.132581264555753</v>
      </c>
      <c r="C52" s="21">
        <f>(0.48*EXP(0.0058*B52))*(44/28)</f>
        <v>1.2216286408393553</v>
      </c>
      <c r="D52" s="188">
        <f>4.46*EXP(0.0094*B52)*(62/14)</f>
        <v>43.149554168701378</v>
      </c>
      <c r="E52" s="188">
        <f>(0.24*B52+1.3)*(17/14)</f>
        <v>25.805780825670531</v>
      </c>
    </row>
    <row r="53" spans="2:5" x14ac:dyDescent="0.25">
      <c r="B53" s="163" t="s">
        <v>739</v>
      </c>
      <c r="C53" s="6"/>
      <c r="D53" s="6"/>
      <c r="E53" s="6"/>
    </row>
    <row r="54" spans="2:5" x14ac:dyDescent="0.25"/>
    <row r="55" spans="2:5" x14ac:dyDescent="0.25">
      <c r="B55" s="5" t="s">
        <v>603</v>
      </c>
    </row>
    <row r="56" spans="2:5" x14ac:dyDescent="0.25">
      <c r="B56" s="2"/>
      <c r="C56" s="262" t="s">
        <v>602</v>
      </c>
      <c r="D56" s="262"/>
      <c r="E56" s="262"/>
    </row>
    <row r="57" spans="2:5" x14ac:dyDescent="0.25">
      <c r="B57" s="2" t="s">
        <v>645</v>
      </c>
      <c r="C57" s="2" t="s">
        <v>483</v>
      </c>
      <c r="D57" s="2" t="s">
        <v>487</v>
      </c>
      <c r="E57" s="2" t="s">
        <v>490</v>
      </c>
    </row>
    <row r="58" spans="2:5" x14ac:dyDescent="0.25">
      <c r="B58" s="22">
        <f>B48</f>
        <v>3.3668896686692795</v>
      </c>
      <c r="C58" s="233">
        <f>C48/$B58*MIN('Land App. LCI Doc.'!$D$35:$D$39)</f>
        <v>9.7547413368896923E-3</v>
      </c>
      <c r="D58" s="16">
        <f>D48/$B58*MIN('Land App. LCI Doc.'!$D$35:$D$39)</f>
        <v>0.25854871618236602</v>
      </c>
      <c r="E58" s="16">
        <f>E48/$B58*MIN('Land App. LCI Doc.'!$D$35:$D$39)</f>
        <v>3.2463961042157027E-2</v>
      </c>
    </row>
    <row r="59" spans="2:5" x14ac:dyDescent="0.25">
      <c r="B59" s="22">
        <f>B49</f>
        <v>9.3028357354305946</v>
      </c>
      <c r="C59" s="233">
        <f>C49/$B59*MIN('Land App. LCI Doc.'!$D$35:$D$39)</f>
        <v>3.6541081115387094E-3</v>
      </c>
      <c r="D59" s="16">
        <f>D49/$B59*MIN('Land App. LCI Doc.'!$D$35:$D$39)</f>
        <v>9.8943811275884946E-2</v>
      </c>
      <c r="E59" s="16">
        <f>E49/$B59*MIN('Land App. LCI Doc.'!$D$35:$D$39)</f>
        <v>1.9689640137800415E-2</v>
      </c>
    </row>
    <row r="60" spans="2:5" x14ac:dyDescent="0.25">
      <c r="B60" s="22">
        <f>B50</f>
        <v>18.920328311196375</v>
      </c>
      <c r="C60" s="233">
        <f>C50/$B60*AVERAGE('Land App. LCI Doc.'!$D$35:$D$39)</f>
        <v>3.0175632778305476E-3</v>
      </c>
      <c r="D60" s="16">
        <f>D50/$B60*AVERAGE('Land App. LCI Doc.'!$D$35:$D$39)</f>
        <v>8.4586332464906724E-2</v>
      </c>
      <c r="E60" s="16">
        <f>E50/$B60*AVERAGE('Land App. LCI Doc.'!$D$35:$D$39)</f>
        <v>2.5425003248131291E-2</v>
      </c>
    </row>
    <row r="61" spans="2:5" x14ac:dyDescent="0.25">
      <c r="B61" s="22">
        <f>B51</f>
        <v>40.76372436568893</v>
      </c>
      <c r="C61" s="233">
        <f>C51/$B61*MAX('Land App. LCI Doc.'!$D$35:$D$39)</f>
        <v>3.168881870584994E-3</v>
      </c>
      <c r="D61" s="16">
        <f>D51/$B61*MAX('Land App. LCI Doc.'!$D$35:$D$39)</f>
        <v>9.6095076730370169E-2</v>
      </c>
      <c r="E61" s="16">
        <f>E51/$B61*MAX('Land App. LCI Doc.'!$D$35:$D$39)</f>
        <v>4.4635440955837456E-2</v>
      </c>
    </row>
    <row r="62" spans="2:5" x14ac:dyDescent="0.25">
      <c r="B62" s="22">
        <f>B52</f>
        <v>83.132581264555753</v>
      </c>
      <c r="C62" s="233">
        <f>C52/$B62*MAX('Land App. LCI Doc.'!$D$35:$D$39)</f>
        <v>1.9866981760339316E-3</v>
      </c>
      <c r="D62" s="16">
        <f>D52/$B62*MAX('Land App. LCI Doc.'!$D$35:$D$39)</f>
        <v>7.0172831331734672E-2</v>
      </c>
      <c r="E62" s="16">
        <f>E52/$B62*MAX('Land App. LCI Doc.'!$D$35:$D$39)</f>
        <v>4.1967170696215576E-2</v>
      </c>
    </row>
    <row r="63" spans="2:5" x14ac:dyDescent="0.25">
      <c r="B63" s="162" t="s">
        <v>600</v>
      </c>
    </row>
    <row r="64" spans="2:5" x14ac:dyDescent="0.25">
      <c r="B64" s="4" t="s">
        <v>646</v>
      </c>
    </row>
    <row r="65" x14ac:dyDescent="0.25"/>
    <row r="66" x14ac:dyDescent="0.25"/>
    <row r="67" x14ac:dyDescent="0.25"/>
    <row r="68" x14ac:dyDescent="0.25"/>
    <row r="69" x14ac:dyDescent="0.25"/>
  </sheetData>
  <mergeCells count="2">
    <mergeCell ref="C46:E46"/>
    <mergeCell ref="C56:E5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zoomScale="70" zoomScaleNormal="70" workbookViewId="0"/>
  </sheetViews>
  <sheetFormatPr defaultColWidth="0" defaultRowHeight="15.75" zeroHeight="1" x14ac:dyDescent="0.25"/>
  <cols>
    <col min="1" max="1" width="9.140625" style="4" customWidth="1"/>
    <col min="2" max="2" width="22.5703125" style="4" bestFit="1" customWidth="1"/>
    <col min="3" max="3" width="26.140625" style="4" customWidth="1"/>
    <col min="4" max="4" width="31.28515625" style="4" bestFit="1" customWidth="1"/>
    <col min="5" max="5" width="36.28515625" style="4" bestFit="1" customWidth="1"/>
    <col min="6" max="6" width="38.7109375" style="4" customWidth="1"/>
    <col min="7" max="7" width="9.140625" style="4" customWidth="1"/>
    <col min="8" max="8" width="52" style="4" customWidth="1"/>
    <col min="9" max="9" width="26.85546875" style="4" bestFit="1" customWidth="1"/>
    <col min="10" max="10" width="38.7109375" style="4" bestFit="1" customWidth="1"/>
    <col min="11" max="11" width="34.7109375" style="4" bestFit="1" customWidth="1"/>
    <col min="12" max="12" width="16.5703125" style="4" bestFit="1" customWidth="1"/>
    <col min="13" max="13" width="9.140625" style="4" customWidth="1"/>
    <col min="14" max="16384" width="9.140625" style="4" hidden="1"/>
  </cols>
  <sheetData>
    <row r="1" spans="1:18" x14ac:dyDescent="0.25">
      <c r="A1" s="5" t="s">
        <v>412</v>
      </c>
    </row>
    <row r="2" spans="1:18" ht="15.75" customHeight="1" x14ac:dyDescent="0.25">
      <c r="A2" s="261" t="s">
        <v>760</v>
      </c>
      <c r="B2" s="261"/>
      <c r="C2" s="261"/>
      <c r="D2" s="261"/>
      <c r="E2" s="261"/>
      <c r="F2" s="261"/>
      <c r="G2" s="248"/>
      <c r="H2" s="248"/>
      <c r="I2" s="248"/>
      <c r="J2" s="248"/>
      <c r="K2" s="248"/>
      <c r="L2" s="248"/>
    </row>
    <row r="3" spans="1:18" x14ac:dyDescent="0.25">
      <c r="A3" s="261"/>
      <c r="B3" s="261"/>
      <c r="C3" s="261"/>
      <c r="D3" s="261"/>
      <c r="E3" s="261"/>
      <c r="F3" s="261"/>
      <c r="G3" s="248"/>
      <c r="H3" s="248"/>
      <c r="I3" s="248"/>
      <c r="J3" s="248"/>
      <c r="K3" s="248"/>
      <c r="L3" s="248"/>
    </row>
    <row r="4" spans="1:18" x14ac:dyDescent="0.25">
      <c r="A4" s="261"/>
      <c r="B4" s="261"/>
      <c r="C4" s="261"/>
      <c r="D4" s="261"/>
      <c r="E4" s="261"/>
      <c r="F4" s="261"/>
      <c r="G4" s="248"/>
      <c r="H4" s="248"/>
      <c r="I4" s="248"/>
      <c r="J4" s="248"/>
      <c r="K4" s="248"/>
      <c r="L4" s="248"/>
      <c r="M4" s="6"/>
      <c r="N4" s="6"/>
      <c r="O4" s="6"/>
      <c r="P4" s="6"/>
      <c r="Q4" s="6"/>
      <c r="R4" s="6"/>
    </row>
    <row r="5" spans="1:18" x14ac:dyDescent="0.25">
      <c r="A5" s="59"/>
      <c r="B5" s="26" t="s">
        <v>11</v>
      </c>
      <c r="C5" s="9"/>
      <c r="D5" s="9"/>
      <c r="E5" s="9"/>
      <c r="F5" s="9"/>
      <c r="G5" s="9"/>
      <c r="H5" s="9"/>
      <c r="I5" s="9"/>
      <c r="J5" s="9"/>
      <c r="K5" s="9"/>
      <c r="L5" s="9"/>
      <c r="M5" s="6"/>
      <c r="N5" s="6"/>
      <c r="O5" s="6"/>
      <c r="P5" s="6"/>
      <c r="Q5" s="6"/>
      <c r="R5" s="6"/>
    </row>
    <row r="6" spans="1:18" x14ac:dyDescent="0.25">
      <c r="A6" s="59"/>
      <c r="B6" s="8" t="s">
        <v>12</v>
      </c>
      <c r="C6" s="4" t="s">
        <v>275</v>
      </c>
    </row>
    <row r="7" spans="1:18" x14ac:dyDescent="0.25">
      <c r="A7" s="59"/>
      <c r="B7" s="8" t="s">
        <v>12</v>
      </c>
      <c r="C7" s="4" t="s">
        <v>276</v>
      </c>
    </row>
    <row r="8" spans="1:18" x14ac:dyDescent="0.25">
      <c r="A8" s="59"/>
      <c r="B8" s="8" t="s">
        <v>12</v>
      </c>
      <c r="C8" s="4" t="s">
        <v>277</v>
      </c>
    </row>
    <row r="9" spans="1:18" x14ac:dyDescent="0.25">
      <c r="A9" s="59"/>
      <c r="B9" s="8" t="s">
        <v>12</v>
      </c>
      <c r="C9" s="4" t="s">
        <v>278</v>
      </c>
    </row>
    <row r="10" spans="1:18" x14ac:dyDescent="0.25">
      <c r="B10" s="8" t="s">
        <v>12</v>
      </c>
      <c r="C10" s="4" t="s">
        <v>423</v>
      </c>
    </row>
    <row r="11" spans="1:18" x14ac:dyDescent="0.25">
      <c r="B11" s="8" t="s">
        <v>12</v>
      </c>
      <c r="C11" s="4" t="s">
        <v>125</v>
      </c>
    </row>
    <row r="12" spans="1:18" x14ac:dyDescent="0.25">
      <c r="B12" s="8" t="s">
        <v>12</v>
      </c>
      <c r="C12" s="4" t="s">
        <v>331</v>
      </c>
    </row>
    <row r="13" spans="1:18" x14ac:dyDescent="0.25">
      <c r="B13" s="58"/>
      <c r="C13" s="58"/>
      <c r="D13" s="58"/>
      <c r="E13" s="58"/>
      <c r="F13" s="58"/>
      <c r="G13" s="58"/>
      <c r="H13" s="58"/>
      <c r="I13" s="58"/>
      <c r="J13" s="58"/>
      <c r="K13" s="58"/>
      <c r="L13" s="58"/>
    </row>
    <row r="14" spans="1:18" x14ac:dyDescent="0.25"/>
    <row r="15" spans="1:18" x14ac:dyDescent="0.25">
      <c r="B15" s="5" t="s">
        <v>740</v>
      </c>
      <c r="H15" s="5" t="s">
        <v>745</v>
      </c>
    </row>
    <row r="16" spans="1:18" s="27" customFormat="1" x14ac:dyDescent="0.25">
      <c r="B16" s="2" t="s">
        <v>349</v>
      </c>
      <c r="C16" s="2" t="s">
        <v>350</v>
      </c>
      <c r="D16" s="2" t="s">
        <v>351</v>
      </c>
      <c r="E16" s="2" t="s">
        <v>358</v>
      </c>
      <c r="F16" s="2" t="s">
        <v>353</v>
      </c>
      <c r="H16" s="2" t="s">
        <v>349</v>
      </c>
      <c r="I16" s="2" t="s">
        <v>350</v>
      </c>
      <c r="J16" s="2" t="s">
        <v>365</v>
      </c>
      <c r="K16" s="2" t="s">
        <v>358</v>
      </c>
    </row>
    <row r="17" spans="2:11" x14ac:dyDescent="0.25">
      <c r="B17" s="60" t="s">
        <v>352</v>
      </c>
      <c r="C17" s="188">
        <v>67.7</v>
      </c>
      <c r="D17" s="16">
        <v>0.54663251342620023</v>
      </c>
      <c r="E17" s="233">
        <f>D17/C17</f>
        <v>8.0743355011255562E-3</v>
      </c>
      <c r="F17" s="12" t="s">
        <v>354</v>
      </c>
      <c r="H17" s="60" t="s">
        <v>352</v>
      </c>
      <c r="I17" s="188">
        <v>67.7</v>
      </c>
      <c r="J17" s="249">
        <v>14.797285714285714</v>
      </c>
      <c r="K17" s="16">
        <f>J17/I17</f>
        <v>0.21857142857142856</v>
      </c>
    </row>
    <row r="18" spans="2:11" x14ac:dyDescent="0.25">
      <c r="B18" s="60" t="s">
        <v>352</v>
      </c>
      <c r="C18" s="188">
        <v>81.7</v>
      </c>
      <c r="D18" s="16">
        <v>0.58055047877140498</v>
      </c>
      <c r="E18" s="233">
        <f t="shared" ref="E18:E32" si="0">D18/C18</f>
        <v>7.1058810131138916E-3</v>
      </c>
      <c r="F18" s="12" t="s">
        <v>354</v>
      </c>
      <c r="H18" s="60" t="s">
        <v>352</v>
      </c>
      <c r="I18" s="188">
        <v>81.7</v>
      </c>
      <c r="J18" s="188">
        <v>17.857285714285712</v>
      </c>
      <c r="K18" s="16">
        <f t="shared" ref="K18:K31" si="1">J18/I18</f>
        <v>0.21857142857142853</v>
      </c>
    </row>
    <row r="19" spans="2:11" x14ac:dyDescent="0.25">
      <c r="B19" s="60" t="s">
        <v>352</v>
      </c>
      <c r="C19" s="244">
        <v>117.43807814539471</v>
      </c>
      <c r="D19" s="16">
        <v>0.67698593064520651</v>
      </c>
      <c r="E19" s="233">
        <f t="shared" si="0"/>
        <v>5.7646203117106632E-3</v>
      </c>
      <c r="F19" s="12" t="s">
        <v>354</v>
      </c>
      <c r="H19" s="60" t="s">
        <v>352</v>
      </c>
      <c r="I19" s="244">
        <v>117.43807814539471</v>
      </c>
      <c r="J19" s="250">
        <v>25.668608508921981</v>
      </c>
      <c r="K19" s="16">
        <f t="shared" si="1"/>
        <v>0.21857142857142853</v>
      </c>
    </row>
    <row r="20" spans="2:11" x14ac:dyDescent="0.25">
      <c r="B20" s="60" t="s">
        <v>352</v>
      </c>
      <c r="C20" s="188">
        <v>67.7</v>
      </c>
      <c r="D20" s="16">
        <v>0.67419367496997651</v>
      </c>
      <c r="E20" s="233">
        <f t="shared" si="0"/>
        <v>9.9585476361887214E-3</v>
      </c>
      <c r="F20" s="12" t="s">
        <v>355</v>
      </c>
      <c r="H20" s="60" t="s">
        <v>352</v>
      </c>
      <c r="I20" s="188">
        <v>67.7</v>
      </c>
      <c r="J20" s="188">
        <v>12.331071428571427</v>
      </c>
      <c r="K20" s="16">
        <f t="shared" si="1"/>
        <v>0.18214285714285711</v>
      </c>
    </row>
    <row r="21" spans="2:11" x14ac:dyDescent="0.25">
      <c r="B21" s="60" t="s">
        <v>352</v>
      </c>
      <c r="C21" s="188">
        <v>81.7</v>
      </c>
      <c r="D21" s="16">
        <v>0.72105644492813015</v>
      </c>
      <c r="E21" s="233">
        <f t="shared" si="0"/>
        <v>8.8256602806380674E-3</v>
      </c>
      <c r="F21" s="12" t="s">
        <v>355</v>
      </c>
      <c r="H21" s="60" t="s">
        <v>352</v>
      </c>
      <c r="I21" s="188">
        <v>81.7</v>
      </c>
      <c r="J21" s="188">
        <v>14.881071428571428</v>
      </c>
      <c r="K21" s="16">
        <f t="shared" si="1"/>
        <v>0.18214285714285713</v>
      </c>
    </row>
    <row r="22" spans="2:11" x14ac:dyDescent="0.25">
      <c r="B22" s="60" t="s">
        <v>352</v>
      </c>
      <c r="C22" s="244">
        <v>117.43807814539471</v>
      </c>
      <c r="D22" s="16">
        <v>0.85599128611706465</v>
      </c>
      <c r="E22" s="233">
        <f t="shared" si="0"/>
        <v>7.2888734185287078E-3</v>
      </c>
      <c r="F22" s="12" t="s">
        <v>355</v>
      </c>
      <c r="H22" s="60" t="s">
        <v>352</v>
      </c>
      <c r="I22" s="244">
        <v>117.43807814539471</v>
      </c>
      <c r="J22" s="188">
        <v>21.39050709076832</v>
      </c>
      <c r="K22" s="16">
        <f t="shared" si="1"/>
        <v>0.18214285714285713</v>
      </c>
    </row>
    <row r="23" spans="2:11" x14ac:dyDescent="0.25">
      <c r="B23" s="60" t="s">
        <v>352</v>
      </c>
      <c r="C23" s="188">
        <v>67.7</v>
      </c>
      <c r="D23" s="16">
        <v>0.80989058248755752</v>
      </c>
      <c r="E23" s="16">
        <f t="shared" si="0"/>
        <v>1.1962933271603507E-2</v>
      </c>
      <c r="F23" s="12" t="s">
        <v>356</v>
      </c>
      <c r="H23" s="60" t="s">
        <v>352</v>
      </c>
      <c r="I23" s="188">
        <v>67.7</v>
      </c>
      <c r="J23" s="188">
        <v>17.263500000000001</v>
      </c>
      <c r="K23" s="16">
        <f t="shared" si="1"/>
        <v>0.255</v>
      </c>
    </row>
    <row r="24" spans="2:11" x14ac:dyDescent="0.25">
      <c r="B24" s="60" t="s">
        <v>352</v>
      </c>
      <c r="C24" s="188">
        <v>81.7</v>
      </c>
      <c r="D24" s="16">
        <v>0.87227012751116217</v>
      </c>
      <c r="E24" s="16">
        <f t="shared" si="0"/>
        <v>1.0676500948729035E-2</v>
      </c>
      <c r="F24" s="12" t="s">
        <v>356</v>
      </c>
      <c r="H24" s="60" t="s">
        <v>352</v>
      </c>
      <c r="I24" s="188">
        <v>81.7</v>
      </c>
      <c r="J24" s="188">
        <v>20.833499999999997</v>
      </c>
      <c r="K24" s="16">
        <f t="shared" si="1"/>
        <v>0.25499999999999995</v>
      </c>
    </row>
    <row r="25" spans="2:11" x14ac:dyDescent="0.25">
      <c r="B25" s="60" t="s">
        <v>352</v>
      </c>
      <c r="C25" s="244">
        <v>117.43807814539471</v>
      </c>
      <c r="D25" s="21">
        <v>1.0541720692806071</v>
      </c>
      <c r="E25" s="233">
        <f t="shared" si="0"/>
        <v>8.9764077029214056E-3</v>
      </c>
      <c r="F25" s="12" t="s">
        <v>356</v>
      </c>
      <c r="H25" s="60" t="s">
        <v>352</v>
      </c>
      <c r="I25" s="244">
        <v>117.43807814539471</v>
      </c>
      <c r="J25" s="188">
        <v>29.946709927075648</v>
      </c>
      <c r="K25" s="16">
        <f t="shared" si="1"/>
        <v>0.25499999999999995</v>
      </c>
    </row>
    <row r="26" spans="2:11" x14ac:dyDescent="0.25">
      <c r="B26" s="60" t="s">
        <v>357</v>
      </c>
      <c r="C26" s="188">
        <v>99.6</v>
      </c>
      <c r="D26" s="21">
        <v>1.3440614310230818</v>
      </c>
      <c r="E26" s="16">
        <f t="shared" si="0"/>
        <v>1.3494592680954638E-2</v>
      </c>
      <c r="F26" s="12"/>
      <c r="H26" s="60" t="s">
        <v>357</v>
      </c>
      <c r="I26" s="188">
        <v>99.6</v>
      </c>
      <c r="J26" s="188">
        <v>30.604857142857139</v>
      </c>
      <c r="K26" s="16">
        <f t="shared" si="1"/>
        <v>0.30727768215720019</v>
      </c>
    </row>
    <row r="27" spans="2:11" x14ac:dyDescent="0.25">
      <c r="B27" s="60" t="s">
        <v>357</v>
      </c>
      <c r="C27" s="244">
        <v>128.7947934232715</v>
      </c>
      <c r="D27" s="21">
        <v>1.5920551846046882</v>
      </c>
      <c r="E27" s="16">
        <f t="shared" si="0"/>
        <v>1.236117658399866E-2</v>
      </c>
      <c r="F27" s="12"/>
      <c r="H27" s="60" t="s">
        <v>357</v>
      </c>
      <c r="I27" s="244">
        <v>128.7947934232715</v>
      </c>
      <c r="J27" s="188">
        <v>39.113054083353404</v>
      </c>
      <c r="K27" s="16">
        <f t="shared" si="1"/>
        <v>0.30368505623369552</v>
      </c>
    </row>
    <row r="28" spans="2:11" x14ac:dyDescent="0.25">
      <c r="B28" s="60" t="s">
        <v>357</v>
      </c>
      <c r="C28" s="244">
        <v>126.6</v>
      </c>
      <c r="D28" s="21">
        <v>1.5719170865056529</v>
      </c>
      <c r="E28" s="16">
        <f t="shared" si="0"/>
        <v>1.2416406686458555E-2</v>
      </c>
      <c r="F28" s="12"/>
      <c r="H28" s="60" t="s">
        <v>357</v>
      </c>
      <c r="I28" s="244">
        <v>126.6</v>
      </c>
      <c r="J28" s="188">
        <v>38.473428571428563</v>
      </c>
      <c r="K28" s="16">
        <f t="shared" si="1"/>
        <v>0.30389754005867747</v>
      </c>
    </row>
    <row r="29" spans="2:11" x14ac:dyDescent="0.25">
      <c r="B29" s="60" t="s">
        <v>357</v>
      </c>
      <c r="C29" s="244">
        <v>120</v>
      </c>
      <c r="D29" s="21">
        <v>1.5128812551250677</v>
      </c>
      <c r="E29" s="16">
        <f t="shared" si="0"/>
        <v>1.2607343792708897E-2</v>
      </c>
      <c r="F29" s="12"/>
      <c r="H29" s="60" t="s">
        <v>357</v>
      </c>
      <c r="I29" s="244">
        <v>120</v>
      </c>
      <c r="J29" s="188">
        <v>36.549999999999997</v>
      </c>
      <c r="K29" s="16">
        <f t="shared" si="1"/>
        <v>0.30458333333333332</v>
      </c>
    </row>
    <row r="30" spans="2:11" x14ac:dyDescent="0.25">
      <c r="B30" s="60" t="s">
        <v>359</v>
      </c>
      <c r="C30" s="244">
        <v>124.8</v>
      </c>
      <c r="D30" s="21">
        <v>1.5555916392377755</v>
      </c>
      <c r="E30" s="16">
        <f t="shared" si="0"/>
        <v>1.2464676596456534E-2</v>
      </c>
      <c r="F30" s="12"/>
      <c r="H30" s="60" t="s">
        <v>359</v>
      </c>
      <c r="I30" s="244">
        <v>124.8</v>
      </c>
      <c r="J30" s="188">
        <v>37.948857142857136</v>
      </c>
      <c r="K30" s="16">
        <f t="shared" si="1"/>
        <v>0.3040773809523809</v>
      </c>
    </row>
    <row r="31" spans="2:11" x14ac:dyDescent="0.25">
      <c r="B31" s="60" t="s">
        <v>359</v>
      </c>
      <c r="C31" s="244">
        <v>177.88858946066114</v>
      </c>
      <c r="D31" s="21">
        <v>2.1165126705833828</v>
      </c>
      <c r="E31" s="16">
        <f t="shared" si="0"/>
        <v>1.18979675818467E-2</v>
      </c>
      <c r="F31" s="12"/>
      <c r="H31" s="60" t="s">
        <v>359</v>
      </c>
      <c r="I31" s="244">
        <v>177.88858946066114</v>
      </c>
      <c r="J31" s="188">
        <v>53.420388928535523</v>
      </c>
      <c r="K31" s="16">
        <f t="shared" si="1"/>
        <v>0.30030250445236728</v>
      </c>
    </row>
    <row r="32" spans="2:11" x14ac:dyDescent="0.25">
      <c r="B32" s="60" t="s">
        <v>359</v>
      </c>
      <c r="C32" s="244">
        <v>189.64163749999997</v>
      </c>
      <c r="D32" s="21">
        <v>8.2529550806549867</v>
      </c>
      <c r="E32" s="16">
        <f t="shared" si="0"/>
        <v>4.3518687085028929E-2</v>
      </c>
      <c r="F32" s="12" t="s">
        <v>360</v>
      </c>
      <c r="H32" s="263" t="s">
        <v>761</v>
      </c>
      <c r="I32" s="264"/>
      <c r="J32" s="61" t="s">
        <v>66</v>
      </c>
      <c r="K32" s="16">
        <f>AVERAGE(K17,K20,K23,K26,K28)</f>
        <v>0.25337790158603268</v>
      </c>
    </row>
    <row r="33" spans="2:11" x14ac:dyDescent="0.25">
      <c r="B33" s="263" t="s">
        <v>761</v>
      </c>
      <c r="C33" s="264"/>
      <c r="D33" s="61" t="s">
        <v>66</v>
      </c>
      <c r="E33" s="16">
        <f>AVERAGE(E17:E32)</f>
        <v>1.2337163193250778E-2</v>
      </c>
      <c r="H33" s="265"/>
      <c r="I33" s="266"/>
      <c r="J33" s="61" t="s">
        <v>361</v>
      </c>
      <c r="K33" s="16">
        <f>MIN(K17:K31)</f>
        <v>0.18214285714285711</v>
      </c>
    </row>
    <row r="34" spans="2:11" x14ac:dyDescent="0.25">
      <c r="B34" s="265"/>
      <c r="C34" s="266"/>
      <c r="D34" s="61" t="s">
        <v>361</v>
      </c>
      <c r="E34" s="233">
        <f>MIN(E17:E32)</f>
        <v>5.7646203117106632E-3</v>
      </c>
      <c r="H34" s="265"/>
      <c r="I34" s="266"/>
      <c r="J34" s="61" t="s">
        <v>362</v>
      </c>
      <c r="K34" s="16">
        <f>MAX(K17:K31)</f>
        <v>0.30727768215720019</v>
      </c>
    </row>
    <row r="35" spans="2:11" x14ac:dyDescent="0.25">
      <c r="B35" s="265"/>
      <c r="C35" s="266"/>
      <c r="D35" s="61" t="s">
        <v>362</v>
      </c>
      <c r="E35" s="16">
        <f>MAX(E17:E32)</f>
        <v>4.3518687085028929E-2</v>
      </c>
    </row>
    <row r="36" spans="2:11" x14ac:dyDescent="0.25"/>
    <row r="37" spans="2:11" x14ac:dyDescent="0.25">
      <c r="B37" s="5" t="s">
        <v>742</v>
      </c>
      <c r="H37" s="5" t="s">
        <v>457</v>
      </c>
    </row>
    <row r="38" spans="2:11" x14ac:dyDescent="0.25">
      <c r="B38" s="2" t="s">
        <v>349</v>
      </c>
      <c r="C38" s="2" t="s">
        <v>350</v>
      </c>
      <c r="D38" s="2" t="s">
        <v>351</v>
      </c>
      <c r="E38" s="2" t="s">
        <v>363</v>
      </c>
      <c r="F38" s="2" t="s">
        <v>353</v>
      </c>
      <c r="H38" s="51" t="s">
        <v>149</v>
      </c>
      <c r="I38" s="51" t="s">
        <v>150</v>
      </c>
      <c r="J38" s="51" t="s">
        <v>151</v>
      </c>
    </row>
    <row r="39" spans="2:11" ht="31.5" x14ac:dyDescent="0.25">
      <c r="B39" s="61" t="s">
        <v>352</v>
      </c>
      <c r="C39" s="16">
        <v>1.2950984389625615E-2</v>
      </c>
      <c r="D39" s="233">
        <v>1.4913366336633663E-4</v>
      </c>
      <c r="E39" s="16">
        <f>D39/C39</f>
        <v>1.151523767458172E-2</v>
      </c>
      <c r="F39" s="267" t="s">
        <v>364</v>
      </c>
      <c r="H39" s="81" t="s">
        <v>152</v>
      </c>
      <c r="I39" s="251">
        <v>220</v>
      </c>
      <c r="J39" s="3" t="s">
        <v>153</v>
      </c>
    </row>
    <row r="40" spans="2:11" ht="31.5" x14ac:dyDescent="0.25">
      <c r="B40" s="61" t="s">
        <v>352</v>
      </c>
      <c r="C40" s="16">
        <v>2.6300989452647097E-2</v>
      </c>
      <c r="D40" s="233">
        <v>2.0814140948871487E-4</v>
      </c>
      <c r="E40" s="233">
        <f t="shared" ref="E40:E47" si="2">D40/C40</f>
        <v>7.9138243016848245E-3</v>
      </c>
      <c r="F40" s="267"/>
      <c r="H40" s="81" t="s">
        <v>174</v>
      </c>
      <c r="I40" s="194">
        <v>1344.5</v>
      </c>
      <c r="J40" s="3" t="s">
        <v>153</v>
      </c>
    </row>
    <row r="41" spans="2:11" ht="31.5" x14ac:dyDescent="0.25">
      <c r="B41" s="61" t="s">
        <v>352</v>
      </c>
      <c r="C41" s="233">
        <v>7.5507020280811228E-3</v>
      </c>
      <c r="D41" s="233">
        <v>1.1279251170046801E-4</v>
      </c>
      <c r="E41" s="16">
        <f t="shared" si="2"/>
        <v>1.4938016528925619E-2</v>
      </c>
      <c r="F41" s="267"/>
      <c r="H41" s="81" t="s">
        <v>177</v>
      </c>
      <c r="I41" s="252">
        <f>31.2</f>
        <v>31.2</v>
      </c>
      <c r="J41" s="3" t="s">
        <v>153</v>
      </c>
    </row>
    <row r="42" spans="2:11" ht="31.5" x14ac:dyDescent="0.25">
      <c r="B42" s="61" t="s">
        <v>359</v>
      </c>
      <c r="C42" s="233">
        <v>9.7226396002632646E-4</v>
      </c>
      <c r="D42" s="233">
        <v>7.283434504879771E-6</v>
      </c>
      <c r="E42" s="233">
        <f t="shared" si="2"/>
        <v>7.4912110335577532E-3</v>
      </c>
      <c r="F42" s="267"/>
      <c r="H42" s="81" t="s">
        <v>178</v>
      </c>
      <c r="I42" s="251">
        <v>262.89999999999998</v>
      </c>
      <c r="J42" s="3" t="s">
        <v>153</v>
      </c>
    </row>
    <row r="43" spans="2:11" ht="31.5" x14ac:dyDescent="0.25">
      <c r="B43" s="61" t="s">
        <v>359</v>
      </c>
      <c r="C43" s="233">
        <v>1.7952707117645668E-3</v>
      </c>
      <c r="D43" s="233">
        <v>1.0136229959431094E-5</v>
      </c>
      <c r="E43" s="233">
        <f t="shared" si="2"/>
        <v>5.6460732595967214E-3</v>
      </c>
      <c r="F43" s="267"/>
      <c r="H43" s="81" t="s">
        <v>179</v>
      </c>
      <c r="I43" s="251">
        <v>217.2</v>
      </c>
      <c r="J43" s="3" t="s">
        <v>153</v>
      </c>
    </row>
    <row r="44" spans="2:11" ht="31.5" x14ac:dyDescent="0.25">
      <c r="B44" s="61" t="s">
        <v>359</v>
      </c>
      <c r="C44" s="233">
        <v>4.94934792341109E-4</v>
      </c>
      <c r="D44" s="233">
        <v>5.7758106053377909E-6</v>
      </c>
      <c r="E44" s="16">
        <f t="shared" si="2"/>
        <v>1.1669841552293021E-2</v>
      </c>
      <c r="F44" s="267"/>
      <c r="H44" s="81" t="s">
        <v>180</v>
      </c>
      <c r="I44" s="252">
        <v>77.2</v>
      </c>
      <c r="J44" s="3" t="s">
        <v>153</v>
      </c>
    </row>
    <row r="45" spans="2:11" x14ac:dyDescent="0.25">
      <c r="B45" s="61" t="s">
        <v>357</v>
      </c>
      <c r="C45" s="16">
        <v>1.41684798256077E-2</v>
      </c>
      <c r="D45" s="233">
        <v>3.2520325203252032E-4</v>
      </c>
      <c r="E45" s="16">
        <f t="shared" si="2"/>
        <v>2.2952586024420022E-2</v>
      </c>
      <c r="F45" s="267"/>
      <c r="H45" s="27" t="s">
        <v>456</v>
      </c>
    </row>
    <row r="46" spans="2:11" x14ac:dyDescent="0.25">
      <c r="B46" s="61" t="s">
        <v>357</v>
      </c>
      <c r="C46" s="16">
        <v>6.1770972002138401E-2</v>
      </c>
      <c r="D46" s="233">
        <v>5.6915196357427435E-4</v>
      </c>
      <c r="E46" s="233">
        <f t="shared" si="2"/>
        <v>9.2139065507107661E-3</v>
      </c>
      <c r="F46" s="267"/>
    </row>
    <row r="47" spans="2:11" x14ac:dyDescent="0.25">
      <c r="B47" s="61" t="s">
        <v>357</v>
      </c>
      <c r="C47" s="16">
        <v>1.1852125084608787E-2</v>
      </c>
      <c r="D47" s="233">
        <v>2.1626297577854672E-4</v>
      </c>
      <c r="E47" s="16">
        <f t="shared" si="2"/>
        <v>1.8246767920074233E-2</v>
      </c>
      <c r="F47" s="267"/>
    </row>
    <row r="48" spans="2:11" ht="31.5" customHeight="1" x14ac:dyDescent="0.25">
      <c r="B48" s="263" t="s">
        <v>761</v>
      </c>
      <c r="C48" s="264"/>
      <c r="D48" s="61" t="s">
        <v>66</v>
      </c>
      <c r="E48" s="16">
        <f>AVERAGE(E39:E47)</f>
        <v>1.217638498287163E-2</v>
      </c>
    </row>
    <row r="49" spans="2:6" x14ac:dyDescent="0.25">
      <c r="B49" s="265"/>
      <c r="C49" s="266"/>
      <c r="D49" s="61" t="s">
        <v>361</v>
      </c>
      <c r="E49" s="233">
        <f>MIN(E39:E47)</f>
        <v>5.6460732595967214E-3</v>
      </c>
    </row>
    <row r="50" spans="2:6" x14ac:dyDescent="0.25">
      <c r="B50" s="265"/>
      <c r="C50" s="266"/>
      <c r="D50" s="61" t="s">
        <v>362</v>
      </c>
      <c r="E50" s="16">
        <f>MAX(E39:E47)</f>
        <v>2.2952586024420022E-2</v>
      </c>
    </row>
    <row r="51" spans="2:6" x14ac:dyDescent="0.25"/>
    <row r="52" spans="2:6" x14ac:dyDescent="0.25"/>
    <row r="53" spans="2:6" x14ac:dyDescent="0.25">
      <c r="B53" s="5" t="s">
        <v>743</v>
      </c>
    </row>
    <row r="54" spans="2:6" x14ac:dyDescent="0.25">
      <c r="B54" s="2" t="s">
        <v>349</v>
      </c>
      <c r="C54" s="2" t="s">
        <v>350</v>
      </c>
      <c r="D54" s="2" t="s">
        <v>351</v>
      </c>
      <c r="E54" s="2" t="s">
        <v>363</v>
      </c>
      <c r="F54" s="2" t="s">
        <v>353</v>
      </c>
    </row>
    <row r="55" spans="2:6" x14ac:dyDescent="0.25">
      <c r="B55" s="61" t="s">
        <v>352</v>
      </c>
      <c r="C55" s="16">
        <v>1.2950984389625615E-2</v>
      </c>
      <c r="D55" s="233">
        <v>3.4653465346534657E-5</v>
      </c>
      <c r="E55" s="233">
        <f>D55/C55</f>
        <v>2.6757398745916035E-3</v>
      </c>
      <c r="F55" s="267" t="s">
        <v>364</v>
      </c>
    </row>
    <row r="56" spans="2:6" x14ac:dyDescent="0.25">
      <c r="B56" s="61" t="s">
        <v>352</v>
      </c>
      <c r="C56" s="16">
        <v>2.6300989452647097E-2</v>
      </c>
      <c r="D56" s="233">
        <v>4.8364808843850763E-5</v>
      </c>
      <c r="E56" s="233">
        <f t="shared" ref="E56:E60" si="3">D56/C56</f>
        <v>1.8388969331715778E-3</v>
      </c>
      <c r="F56" s="267"/>
    </row>
    <row r="57" spans="2:6" x14ac:dyDescent="0.25">
      <c r="B57" s="61" t="s">
        <v>352</v>
      </c>
      <c r="C57" s="233">
        <v>7.5507020280811228E-3</v>
      </c>
      <c r="D57" s="233">
        <v>2.6209048361934479E-5</v>
      </c>
      <c r="E57" s="233">
        <f t="shared" si="3"/>
        <v>3.4710743801652896E-3</v>
      </c>
      <c r="F57" s="267"/>
    </row>
    <row r="58" spans="2:6" x14ac:dyDescent="0.25">
      <c r="B58" s="61" t="s">
        <v>357</v>
      </c>
      <c r="C58" s="16">
        <v>1.41684798256077E-2</v>
      </c>
      <c r="D58" s="233">
        <v>3.2520325203252037E-5</v>
      </c>
      <c r="E58" s="233">
        <f t="shared" si="3"/>
        <v>2.2952586024420026E-3</v>
      </c>
      <c r="F58" s="267"/>
    </row>
    <row r="59" spans="2:6" x14ac:dyDescent="0.25">
      <c r="B59" s="61" t="s">
        <v>357</v>
      </c>
      <c r="C59" s="16">
        <v>6.1770972002138401E-2</v>
      </c>
      <c r="D59" s="233">
        <v>5.6915196357427435E-5</v>
      </c>
      <c r="E59" s="233">
        <f t="shared" si="3"/>
        <v>9.2139065507107661E-4</v>
      </c>
      <c r="F59" s="267"/>
    </row>
    <row r="60" spans="2:6" x14ac:dyDescent="0.25">
      <c r="B60" s="61" t="s">
        <v>357</v>
      </c>
      <c r="C60" s="16">
        <v>1.1852125084608787E-2</v>
      </c>
      <c r="D60" s="233">
        <v>2.1626297577854674E-5</v>
      </c>
      <c r="E60" s="233">
        <f t="shared" si="3"/>
        <v>1.8246767920074235E-3</v>
      </c>
      <c r="F60" s="267"/>
    </row>
    <row r="61" spans="2:6" x14ac:dyDescent="0.25">
      <c r="B61" s="263" t="s">
        <v>741</v>
      </c>
      <c r="C61" s="264"/>
      <c r="D61" s="61" t="s">
        <v>66</v>
      </c>
      <c r="E61" s="233">
        <f>AVERAGE(E55:E60)</f>
        <v>2.1711728729081623E-3</v>
      </c>
    </row>
    <row r="62" spans="2:6" x14ac:dyDescent="0.25">
      <c r="B62" s="265"/>
      <c r="C62" s="266"/>
      <c r="D62" s="61" t="s">
        <v>361</v>
      </c>
      <c r="E62" s="233">
        <f>MIN(E55:E60)</f>
        <v>9.2139065507107661E-4</v>
      </c>
    </row>
    <row r="63" spans="2:6" x14ac:dyDescent="0.25">
      <c r="B63" s="265"/>
      <c r="C63" s="266"/>
      <c r="D63" s="61" t="s">
        <v>362</v>
      </c>
      <c r="E63" s="233">
        <f>MAX(E55:E60)</f>
        <v>3.4710743801652896E-3</v>
      </c>
    </row>
    <row r="64" spans="2:6" x14ac:dyDescent="0.25"/>
    <row r="65" spans="1:11" x14ac:dyDescent="0.25"/>
    <row r="66" spans="1:11" x14ac:dyDescent="0.25">
      <c r="B66" s="5" t="s">
        <v>744</v>
      </c>
    </row>
    <row r="67" spans="1:11" x14ac:dyDescent="0.25">
      <c r="B67" s="2" t="s">
        <v>349</v>
      </c>
      <c r="C67" s="2" t="s">
        <v>350</v>
      </c>
      <c r="D67" s="2" t="s">
        <v>644</v>
      </c>
      <c r="E67" s="2" t="s">
        <v>358</v>
      </c>
    </row>
    <row r="68" spans="1:11" x14ac:dyDescent="0.25">
      <c r="B68" s="60" t="s">
        <v>352</v>
      </c>
      <c r="C68" s="188">
        <v>67.7</v>
      </c>
      <c r="D68" s="249">
        <v>48.787153223112348</v>
      </c>
      <c r="E68" s="16">
        <f>D68/C68</f>
        <v>0.72063741836207307</v>
      </c>
    </row>
    <row r="69" spans="1:11" x14ac:dyDescent="0.25">
      <c r="B69" s="60" t="s">
        <v>352</v>
      </c>
      <c r="C69" s="188">
        <v>81.7</v>
      </c>
      <c r="D69" s="188">
        <v>51.741854799408053</v>
      </c>
      <c r="E69" s="16">
        <f t="shared" ref="E69:E82" si="4">D69/C69</f>
        <v>0.63331523622286479</v>
      </c>
    </row>
    <row r="70" spans="1:11" x14ac:dyDescent="0.25">
      <c r="B70" s="60" t="s">
        <v>352</v>
      </c>
      <c r="C70" s="244">
        <v>117.43807814539471</v>
      </c>
      <c r="D70" s="250">
        <v>60.121466218602514</v>
      </c>
      <c r="E70" s="16">
        <f t="shared" si="4"/>
        <v>0.51194184346382843</v>
      </c>
    </row>
    <row r="71" spans="1:11" x14ac:dyDescent="0.25">
      <c r="B71" s="60" t="s">
        <v>352</v>
      </c>
      <c r="C71" s="188">
        <v>67.7</v>
      </c>
      <c r="D71" s="188">
        <v>34.21983090007668</v>
      </c>
      <c r="E71" s="16">
        <f t="shared" si="4"/>
        <v>0.5054627902522405</v>
      </c>
    </row>
    <row r="72" spans="1:11" x14ac:dyDescent="0.25">
      <c r="B72" s="60" t="s">
        <v>352</v>
      </c>
      <c r="C72" s="188">
        <v>81.7</v>
      </c>
      <c r="D72" s="188">
        <v>35.837876141262299</v>
      </c>
      <c r="E72" s="16">
        <f t="shared" si="4"/>
        <v>0.4386520947522925</v>
      </c>
    </row>
    <row r="73" spans="1:11" x14ac:dyDescent="0.25">
      <c r="B73" s="60" t="s">
        <v>352</v>
      </c>
      <c r="C73" s="244">
        <v>117.43807814539471</v>
      </c>
      <c r="D73" s="188">
        <v>40.323764491895695</v>
      </c>
      <c r="E73" s="16">
        <f t="shared" si="4"/>
        <v>0.34336192424719936</v>
      </c>
    </row>
    <row r="74" spans="1:11" x14ac:dyDescent="0.25">
      <c r="B74" s="60" t="s">
        <v>352</v>
      </c>
      <c r="C74" s="188">
        <v>67.7</v>
      </c>
      <c r="D74" s="188">
        <v>65.04978251340647</v>
      </c>
      <c r="E74" s="16">
        <f t="shared" si="4"/>
        <v>0.96085350832210437</v>
      </c>
    </row>
    <row r="75" spans="1:11" x14ac:dyDescent="0.25">
      <c r="A75" s="6"/>
      <c r="B75" s="60" t="s">
        <v>352</v>
      </c>
      <c r="C75" s="188">
        <v>81.7</v>
      </c>
      <c r="D75" s="188">
        <v>69.864165330957249</v>
      </c>
      <c r="E75" s="16">
        <f t="shared" si="4"/>
        <v>0.85513054260657584</v>
      </c>
      <c r="F75" s="6"/>
      <c r="G75" s="6"/>
      <c r="H75" s="6"/>
      <c r="I75" s="6"/>
      <c r="J75" s="6"/>
      <c r="K75" s="6"/>
    </row>
    <row r="76" spans="1:11" x14ac:dyDescent="0.25">
      <c r="A76" s="6"/>
      <c r="B76" s="60" t="s">
        <v>352</v>
      </c>
      <c r="C76" s="244">
        <v>117.43807814539471</v>
      </c>
      <c r="D76" s="188">
        <v>83.832189791338621</v>
      </c>
      <c r="E76" s="16">
        <f t="shared" si="4"/>
        <v>0.71384163565372571</v>
      </c>
      <c r="F76" s="6"/>
      <c r="G76" s="6"/>
      <c r="H76" s="6"/>
      <c r="I76" s="6"/>
      <c r="J76" s="6"/>
      <c r="K76" s="6"/>
    </row>
    <row r="77" spans="1:11" x14ac:dyDescent="0.25">
      <c r="A77" s="6"/>
      <c r="B77" s="60" t="s">
        <v>357</v>
      </c>
      <c r="C77" s="188">
        <v>99.6</v>
      </c>
      <c r="D77" s="188">
        <v>50.373529131669947</v>
      </c>
      <c r="E77" s="16">
        <f t="shared" si="4"/>
        <v>0.50575832461516013</v>
      </c>
      <c r="F77" s="6"/>
      <c r="G77" s="6"/>
      <c r="H77" s="6"/>
      <c r="I77" s="6"/>
      <c r="J77" s="6"/>
      <c r="K77" s="6"/>
    </row>
    <row r="78" spans="1:11" x14ac:dyDescent="0.25">
      <c r="A78" s="6"/>
      <c r="B78" s="60" t="s">
        <v>357</v>
      </c>
      <c r="C78" s="244">
        <v>128.7947934232715</v>
      </c>
      <c r="D78" s="188">
        <v>66.280575782308858</v>
      </c>
      <c r="E78" s="16">
        <f t="shared" si="4"/>
        <v>0.51462154657513381</v>
      </c>
      <c r="F78" s="6"/>
      <c r="G78" s="6"/>
      <c r="H78" s="6"/>
      <c r="I78" s="6"/>
      <c r="J78" s="6"/>
      <c r="K78" s="6"/>
    </row>
    <row r="79" spans="1:11" x14ac:dyDescent="0.25">
      <c r="A79" s="6"/>
      <c r="B79" s="60" t="s">
        <v>357</v>
      </c>
      <c r="C79" s="244">
        <v>126.6</v>
      </c>
      <c r="D79" s="188">
        <v>64.927146710040233</v>
      </c>
      <c r="E79" s="16">
        <f t="shared" si="4"/>
        <v>0.51285265963696869</v>
      </c>
      <c r="F79" s="6"/>
      <c r="G79" s="6"/>
      <c r="H79" s="6"/>
      <c r="I79" s="6"/>
      <c r="J79" s="6"/>
      <c r="K79" s="6"/>
    </row>
    <row r="80" spans="1:11" x14ac:dyDescent="0.25">
      <c r="B80" s="60" t="s">
        <v>357</v>
      </c>
      <c r="C80" s="244">
        <v>120</v>
      </c>
      <c r="D80" s="188">
        <v>61.021473173196412</v>
      </c>
      <c r="E80" s="16">
        <f t="shared" si="4"/>
        <v>0.50851227644330343</v>
      </c>
    </row>
    <row r="81" spans="2:5" x14ac:dyDescent="0.25">
      <c r="B81" s="60" t="s">
        <v>359</v>
      </c>
      <c r="C81" s="244">
        <v>124.8</v>
      </c>
      <c r="D81" s="188">
        <v>63.837821070750373</v>
      </c>
      <c r="E81" s="16">
        <f t="shared" si="4"/>
        <v>0.51152100216947416</v>
      </c>
    </row>
    <row r="82" spans="2:5" x14ac:dyDescent="0.25">
      <c r="B82" s="60" t="s">
        <v>359</v>
      </c>
      <c r="C82" s="244">
        <v>177.88858946066114</v>
      </c>
      <c r="D82" s="244">
        <v>105.14901792917038</v>
      </c>
      <c r="E82" s="16">
        <f t="shared" si="4"/>
        <v>0.59109478718095843</v>
      </c>
    </row>
    <row r="83" spans="2:5" x14ac:dyDescent="0.25">
      <c r="B83" s="263" t="s">
        <v>741</v>
      </c>
      <c r="C83" s="264"/>
      <c r="D83" s="61" t="s">
        <v>66</v>
      </c>
      <c r="E83" s="16">
        <f>AVERAGE(E68,E71,E74,E77,E79)</f>
        <v>0.64111294023770937</v>
      </c>
    </row>
    <row r="84" spans="2:5" x14ac:dyDescent="0.25">
      <c r="B84" s="265"/>
      <c r="C84" s="266"/>
      <c r="D84" s="61" t="s">
        <v>361</v>
      </c>
      <c r="E84" s="16">
        <f>MIN(E68:E82)</f>
        <v>0.34336192424719936</v>
      </c>
    </row>
    <row r="85" spans="2:5" x14ac:dyDescent="0.25">
      <c r="B85" s="265"/>
      <c r="C85" s="266"/>
      <c r="D85" s="61" t="s">
        <v>362</v>
      </c>
      <c r="E85" s="16">
        <f>MAX(E68:E82)</f>
        <v>0.96085350832210437</v>
      </c>
    </row>
    <row r="86" spans="2:5" x14ac:dyDescent="0.25"/>
    <row r="87" spans="2:5" x14ac:dyDescent="0.25"/>
    <row r="88" spans="2:5" x14ac:dyDescent="0.25"/>
    <row r="89" spans="2:5" x14ac:dyDescent="0.25"/>
  </sheetData>
  <mergeCells count="8">
    <mergeCell ref="A2:F4"/>
    <mergeCell ref="H32:I34"/>
    <mergeCell ref="B48:C50"/>
    <mergeCell ref="B61:C63"/>
    <mergeCell ref="B83:C85"/>
    <mergeCell ref="F39:F47"/>
    <mergeCell ref="F55:F60"/>
    <mergeCell ref="B33:C3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100"/>
  <sheetViews>
    <sheetView zoomScale="77" zoomScaleNormal="77" workbookViewId="0">
      <selection sqref="A1:XFD1"/>
    </sheetView>
  </sheetViews>
  <sheetFormatPr defaultColWidth="0" defaultRowHeight="15.75" zeroHeight="1" x14ac:dyDescent="0.25"/>
  <cols>
    <col min="1" max="1" width="9.140625" style="4" customWidth="1"/>
    <col min="2" max="2" width="36.5703125" style="4" bestFit="1" customWidth="1"/>
    <col min="3" max="3" width="13" style="4" customWidth="1"/>
    <col min="4" max="7" width="10.140625" style="4" bestFit="1" customWidth="1"/>
    <col min="8" max="8" width="13" style="4" bestFit="1" customWidth="1"/>
    <col min="9" max="15" width="9.140625" style="4" customWidth="1"/>
    <col min="16" max="16" width="11.85546875" style="4" customWidth="1"/>
    <col min="17" max="20" width="9.140625" style="4" customWidth="1"/>
    <col min="21" max="16384" width="9.140625" style="4" hidden="1"/>
  </cols>
  <sheetData>
    <row r="1" spans="1:19" x14ac:dyDescent="0.25">
      <c r="A1" s="5" t="s">
        <v>413</v>
      </c>
    </row>
    <row r="2" spans="1:19" x14ac:dyDescent="0.25"/>
    <row r="3" spans="1:19" x14ac:dyDescent="0.25"/>
    <row r="4" spans="1:19" x14ac:dyDescent="0.25">
      <c r="B4" s="26" t="s">
        <v>11</v>
      </c>
      <c r="C4" s="9"/>
      <c r="D4" s="9"/>
      <c r="E4" s="9"/>
      <c r="F4" s="9"/>
      <c r="G4" s="9"/>
      <c r="H4" s="9"/>
      <c r="I4" s="9"/>
      <c r="J4" s="9"/>
      <c r="K4" s="9"/>
      <c r="L4" s="9"/>
      <c r="M4" s="9"/>
      <c r="N4" s="9"/>
      <c r="O4" s="9"/>
      <c r="P4" s="9"/>
      <c r="Q4" s="9"/>
      <c r="R4" s="9"/>
      <c r="S4" s="9"/>
    </row>
    <row r="5" spans="1:19" x14ac:dyDescent="0.25">
      <c r="B5" s="8" t="s">
        <v>12</v>
      </c>
      <c r="C5" s="259" t="s">
        <v>100</v>
      </c>
      <c r="D5" s="259"/>
      <c r="E5" s="259"/>
      <c r="F5" s="259"/>
      <c r="G5" s="259"/>
      <c r="H5" s="259"/>
      <c r="I5" s="259"/>
      <c r="J5" s="259"/>
      <c r="K5" s="259"/>
      <c r="L5" s="259"/>
      <c r="M5" s="259"/>
      <c r="N5" s="259"/>
      <c r="O5" s="259"/>
      <c r="P5" s="259"/>
      <c r="Q5" s="259"/>
      <c r="R5" s="259"/>
      <c r="S5" s="259"/>
    </row>
    <row r="6" spans="1:19" x14ac:dyDescent="0.25">
      <c r="B6" s="8"/>
      <c r="C6" s="259"/>
      <c r="D6" s="259"/>
      <c r="E6" s="259"/>
      <c r="F6" s="259"/>
      <c r="G6" s="259"/>
      <c r="H6" s="259"/>
      <c r="I6" s="259"/>
      <c r="J6" s="259"/>
      <c r="K6" s="259"/>
      <c r="L6" s="259"/>
      <c r="M6" s="259"/>
      <c r="N6" s="259"/>
      <c r="O6" s="259"/>
      <c r="P6" s="259"/>
      <c r="Q6" s="259"/>
      <c r="R6" s="259"/>
      <c r="S6" s="259"/>
    </row>
    <row r="7" spans="1:19" x14ac:dyDescent="0.25">
      <c r="B7" s="8"/>
      <c r="C7" s="259"/>
      <c r="D7" s="259"/>
      <c r="E7" s="259"/>
      <c r="F7" s="259"/>
      <c r="G7" s="259"/>
      <c r="H7" s="259"/>
      <c r="I7" s="259"/>
      <c r="J7" s="259"/>
      <c r="K7" s="259"/>
      <c r="L7" s="259"/>
      <c r="M7" s="259"/>
      <c r="N7" s="259"/>
      <c r="O7" s="259"/>
      <c r="P7" s="259"/>
      <c r="Q7" s="259"/>
      <c r="R7" s="259"/>
      <c r="S7" s="259"/>
    </row>
    <row r="8" spans="1:19" x14ac:dyDescent="0.25">
      <c r="B8" s="8" t="s">
        <v>12</v>
      </c>
      <c r="C8" s="4" t="s">
        <v>762</v>
      </c>
    </row>
    <row r="9" spans="1:19" x14ac:dyDescent="0.25">
      <c r="B9" s="8" t="s">
        <v>12</v>
      </c>
      <c r="C9" s="259" t="s">
        <v>106</v>
      </c>
      <c r="D9" s="259"/>
      <c r="E9" s="259"/>
      <c r="F9" s="259"/>
      <c r="G9" s="259"/>
      <c r="H9" s="259"/>
      <c r="I9" s="259"/>
      <c r="J9" s="259"/>
      <c r="K9" s="259"/>
      <c r="L9" s="259"/>
      <c r="M9" s="259"/>
      <c r="N9" s="259"/>
      <c r="O9" s="259"/>
      <c r="P9" s="259"/>
      <c r="Q9" s="259"/>
      <c r="R9" s="259"/>
      <c r="S9" s="259"/>
    </row>
    <row r="10" spans="1:19" x14ac:dyDescent="0.25">
      <c r="B10" s="8"/>
      <c r="C10" s="259"/>
      <c r="D10" s="259"/>
      <c r="E10" s="259"/>
      <c r="F10" s="259"/>
      <c r="G10" s="259"/>
      <c r="H10" s="259"/>
      <c r="I10" s="259"/>
      <c r="J10" s="259"/>
      <c r="K10" s="259"/>
      <c r="L10" s="259"/>
      <c r="M10" s="259"/>
      <c r="N10" s="259"/>
      <c r="O10" s="259"/>
      <c r="P10" s="259"/>
      <c r="Q10" s="259"/>
      <c r="R10" s="259"/>
      <c r="S10" s="259"/>
    </row>
    <row r="11" spans="1:19" x14ac:dyDescent="0.25">
      <c r="B11" s="8" t="s">
        <v>12</v>
      </c>
      <c r="C11" s="4" t="s">
        <v>107</v>
      </c>
    </row>
    <row r="12" spans="1:19" x14ac:dyDescent="0.25">
      <c r="B12" s="8" t="s">
        <v>12</v>
      </c>
      <c r="C12" s="4" t="s">
        <v>348</v>
      </c>
    </row>
    <row r="13" spans="1:19" x14ac:dyDescent="0.25"/>
    <row r="14" spans="1:19" x14ac:dyDescent="0.25"/>
    <row r="15" spans="1:19" x14ac:dyDescent="0.25">
      <c r="B15" s="5" t="s">
        <v>24</v>
      </c>
    </row>
    <row r="16" spans="1:19" s="23" customFormat="1" x14ac:dyDescent="0.25">
      <c r="B16" s="24" t="s">
        <v>414</v>
      </c>
    </row>
    <row r="17" spans="2:16" x14ac:dyDescent="0.25">
      <c r="B17" s="5" t="s">
        <v>415</v>
      </c>
    </row>
    <row r="18" spans="2:16" ht="16.5" thickBot="1" x14ac:dyDescent="0.3">
      <c r="B18" s="2" t="s">
        <v>416</v>
      </c>
      <c r="C18" s="2" t="s">
        <v>61</v>
      </c>
      <c r="D18" s="2" t="s">
        <v>62</v>
      </c>
      <c r="E18" s="2" t="s">
        <v>63</v>
      </c>
      <c r="F18" s="2" t="s">
        <v>64</v>
      </c>
      <c r="G18" s="2" t="s">
        <v>65</v>
      </c>
      <c r="H18" s="2" t="s">
        <v>66</v>
      </c>
    </row>
    <row r="19" spans="2:16" x14ac:dyDescent="0.25">
      <c r="B19" s="61" t="s">
        <v>25</v>
      </c>
      <c r="C19" s="12" t="s">
        <v>26</v>
      </c>
      <c r="D19" s="12" t="s">
        <v>27</v>
      </c>
      <c r="E19" s="12" t="s">
        <v>28</v>
      </c>
      <c r="F19" s="12" t="s">
        <v>29</v>
      </c>
      <c r="G19" s="12" t="s">
        <v>30</v>
      </c>
      <c r="H19" s="12">
        <v>2027</v>
      </c>
      <c r="K19" s="277" t="s">
        <v>98</v>
      </c>
      <c r="L19" s="278"/>
      <c r="M19" s="278"/>
      <c r="N19" s="278"/>
      <c r="O19" s="278"/>
      <c r="P19" s="279"/>
    </row>
    <row r="20" spans="2:16" x14ac:dyDescent="0.25">
      <c r="B20" s="61" t="s">
        <v>31</v>
      </c>
      <c r="C20" s="12" t="s">
        <v>32</v>
      </c>
      <c r="D20" s="12" t="s">
        <v>33</v>
      </c>
      <c r="E20" s="12" t="s">
        <v>34</v>
      </c>
      <c r="F20" s="12" t="s">
        <v>35</v>
      </c>
      <c r="G20" s="12" t="s">
        <v>36</v>
      </c>
      <c r="H20" s="12">
        <v>4720</v>
      </c>
      <c r="K20" s="280"/>
      <c r="L20" s="281"/>
      <c r="M20" s="281"/>
      <c r="N20" s="281"/>
      <c r="O20" s="281"/>
      <c r="P20" s="282"/>
    </row>
    <row r="21" spans="2:16" x14ac:dyDescent="0.25">
      <c r="B21" s="61" t="s">
        <v>37</v>
      </c>
      <c r="C21" s="12" t="s">
        <v>38</v>
      </c>
      <c r="D21" s="12" t="s">
        <v>39</v>
      </c>
      <c r="E21" s="12" t="s">
        <v>40</v>
      </c>
      <c r="F21" s="12" t="s">
        <v>41</v>
      </c>
      <c r="G21" s="12" t="s">
        <v>42</v>
      </c>
      <c r="H21" s="12">
        <v>2826</v>
      </c>
      <c r="K21" s="280"/>
      <c r="L21" s="281"/>
      <c r="M21" s="281"/>
      <c r="N21" s="281"/>
      <c r="O21" s="281"/>
      <c r="P21" s="282"/>
    </row>
    <row r="22" spans="2:16" x14ac:dyDescent="0.25">
      <c r="B22" s="61" t="s">
        <v>43</v>
      </c>
      <c r="C22" s="12" t="s">
        <v>44</v>
      </c>
      <c r="D22" s="12" t="s">
        <v>45</v>
      </c>
      <c r="E22" s="12" t="s">
        <v>46</v>
      </c>
      <c r="F22" s="12" t="s">
        <v>47</v>
      </c>
      <c r="G22" s="12" t="s">
        <v>48</v>
      </c>
      <c r="H22" s="12">
        <v>3530</v>
      </c>
      <c r="K22" s="280"/>
      <c r="L22" s="281"/>
      <c r="M22" s="281"/>
      <c r="N22" s="281"/>
      <c r="O22" s="281"/>
      <c r="P22" s="282"/>
    </row>
    <row r="23" spans="2:16" ht="16.5" thickBot="1" x14ac:dyDescent="0.3">
      <c r="B23" s="61" t="s">
        <v>49</v>
      </c>
      <c r="C23" s="12" t="s">
        <v>50</v>
      </c>
      <c r="D23" s="12" t="s">
        <v>51</v>
      </c>
      <c r="E23" s="12" t="s">
        <v>52</v>
      </c>
      <c r="F23" s="12" t="s">
        <v>53</v>
      </c>
      <c r="G23" s="12" t="s">
        <v>54</v>
      </c>
      <c r="H23" s="12">
        <v>4601</v>
      </c>
      <c r="K23" s="283"/>
      <c r="L23" s="284"/>
      <c r="M23" s="284"/>
      <c r="N23" s="284"/>
      <c r="O23" s="284"/>
      <c r="P23" s="285"/>
    </row>
    <row r="24" spans="2:16" x14ac:dyDescent="0.25">
      <c r="B24" s="61" t="s">
        <v>55</v>
      </c>
      <c r="C24" s="12" t="s">
        <v>56</v>
      </c>
      <c r="D24" s="12" t="s">
        <v>57</v>
      </c>
      <c r="E24" s="12" t="s">
        <v>58</v>
      </c>
      <c r="F24" s="12" t="s">
        <v>59</v>
      </c>
      <c r="G24" s="12" t="s">
        <v>60</v>
      </c>
      <c r="H24" s="12"/>
    </row>
    <row r="25" spans="2:16" x14ac:dyDescent="0.25">
      <c r="B25" s="27" t="s">
        <v>397</v>
      </c>
      <c r="C25" s="6"/>
      <c r="D25" s="6"/>
      <c r="E25" s="6"/>
      <c r="F25" s="6"/>
      <c r="G25" s="6"/>
      <c r="H25" s="6"/>
    </row>
    <row r="26" spans="2:16" x14ac:dyDescent="0.25">
      <c r="B26" s="4" t="s">
        <v>417</v>
      </c>
      <c r="K26" s="268" t="s">
        <v>99</v>
      </c>
      <c r="L26" s="269"/>
      <c r="M26" s="269"/>
      <c r="N26" s="270"/>
    </row>
    <row r="27" spans="2:16" x14ac:dyDescent="0.25">
      <c r="K27" s="271"/>
      <c r="L27" s="272"/>
      <c r="M27" s="272"/>
      <c r="N27" s="273"/>
    </row>
    <row r="28" spans="2:16" x14ac:dyDescent="0.25">
      <c r="B28" s="5" t="s">
        <v>67</v>
      </c>
      <c r="K28" s="274"/>
      <c r="L28" s="275"/>
      <c r="M28" s="275"/>
      <c r="N28" s="276"/>
    </row>
    <row r="29" spans="2:16" x14ac:dyDescent="0.25">
      <c r="B29" s="2" t="s">
        <v>416</v>
      </c>
      <c r="C29" s="2" t="s">
        <v>61</v>
      </c>
      <c r="D29" s="2" t="s">
        <v>62</v>
      </c>
      <c r="E29" s="2" t="s">
        <v>63</v>
      </c>
      <c r="F29" s="2" t="s">
        <v>64</v>
      </c>
      <c r="G29" s="2" t="s">
        <v>65</v>
      </c>
      <c r="H29" s="2" t="s">
        <v>66</v>
      </c>
    </row>
    <row r="30" spans="2:16" x14ac:dyDescent="0.25">
      <c r="B30" s="61" t="s">
        <v>25</v>
      </c>
      <c r="C30" s="12" t="s">
        <v>68</v>
      </c>
      <c r="D30" s="12" t="s">
        <v>69</v>
      </c>
      <c r="E30" s="12" t="s">
        <v>70</v>
      </c>
      <c r="F30" s="12" t="s">
        <v>71</v>
      </c>
      <c r="G30" s="12" t="s">
        <v>72</v>
      </c>
      <c r="H30" s="12">
        <v>1515</v>
      </c>
    </row>
    <row r="31" spans="2:16" x14ac:dyDescent="0.25">
      <c r="B31" s="61" t="s">
        <v>31</v>
      </c>
      <c r="C31" s="12" t="s">
        <v>73</v>
      </c>
      <c r="D31" s="12" t="s">
        <v>74</v>
      </c>
      <c r="E31" s="12" t="s">
        <v>75</v>
      </c>
      <c r="F31" s="12" t="s">
        <v>76</v>
      </c>
      <c r="G31" s="12" t="s">
        <v>77</v>
      </c>
      <c r="H31" s="12">
        <v>4837</v>
      </c>
    </row>
    <row r="32" spans="2:16" x14ac:dyDescent="0.25">
      <c r="B32" s="61" t="s">
        <v>37</v>
      </c>
      <c r="C32" s="12" t="s">
        <v>78</v>
      </c>
      <c r="D32" s="12" t="s">
        <v>79</v>
      </c>
      <c r="E32" s="12" t="s">
        <v>80</v>
      </c>
      <c r="F32" s="12" t="s">
        <v>81</v>
      </c>
      <c r="G32" s="12" t="s">
        <v>82</v>
      </c>
      <c r="H32" s="12">
        <v>4957</v>
      </c>
    </row>
    <row r="33" spans="2:14" x14ac:dyDescent="0.25">
      <c r="B33" s="61" t="s">
        <v>43</v>
      </c>
      <c r="C33" s="12" t="s">
        <v>83</v>
      </c>
      <c r="D33" s="12" t="s">
        <v>84</v>
      </c>
      <c r="E33" s="12" t="s">
        <v>85</v>
      </c>
      <c r="F33" s="12" t="s">
        <v>86</v>
      </c>
      <c r="G33" s="12" t="s">
        <v>87</v>
      </c>
      <c r="H33" s="12">
        <v>6633</v>
      </c>
    </row>
    <row r="34" spans="2:14" x14ac:dyDescent="0.25">
      <c r="B34" s="61" t="s">
        <v>49</v>
      </c>
      <c r="C34" s="12" t="s">
        <v>88</v>
      </c>
      <c r="D34" s="12" t="s">
        <v>89</v>
      </c>
      <c r="E34" s="12" t="s">
        <v>90</v>
      </c>
      <c r="F34" s="12" t="s">
        <v>91</v>
      </c>
      <c r="G34" s="12" t="s">
        <v>92</v>
      </c>
      <c r="H34" s="12">
        <v>8000</v>
      </c>
    </row>
    <row r="35" spans="2:14" x14ac:dyDescent="0.25">
      <c r="B35" s="61" t="s">
        <v>55</v>
      </c>
      <c r="C35" s="12" t="s">
        <v>93</v>
      </c>
      <c r="D35" s="12" t="s">
        <v>94</v>
      </c>
      <c r="E35" s="12" t="s">
        <v>95</v>
      </c>
      <c r="F35" s="12" t="s">
        <v>96</v>
      </c>
      <c r="G35" s="12" t="s">
        <v>97</v>
      </c>
      <c r="H35" s="12"/>
    </row>
    <row r="36" spans="2:14" x14ac:dyDescent="0.25">
      <c r="B36" s="27" t="s">
        <v>397</v>
      </c>
    </row>
    <row r="37" spans="2:14" x14ac:dyDescent="0.25">
      <c r="B37" s="4" t="s">
        <v>417</v>
      </c>
    </row>
    <row r="38" spans="2:14" s="9" customFormat="1" x14ac:dyDescent="0.25"/>
    <row r="39" spans="2:14" x14ac:dyDescent="0.25">
      <c r="B39" s="5" t="s">
        <v>419</v>
      </c>
    </row>
    <row r="40" spans="2:14" x14ac:dyDescent="0.25"/>
    <row r="41" spans="2:14" ht="15.75" customHeight="1" x14ac:dyDescent="0.25">
      <c r="K41" s="268" t="s">
        <v>418</v>
      </c>
      <c r="L41" s="269"/>
      <c r="M41" s="269"/>
      <c r="N41" s="270"/>
    </row>
    <row r="42" spans="2:14" x14ac:dyDescent="0.25">
      <c r="K42" s="271"/>
      <c r="L42" s="272"/>
      <c r="M42" s="272"/>
      <c r="N42" s="273"/>
    </row>
    <row r="43" spans="2:14" x14ac:dyDescent="0.25">
      <c r="K43" s="271"/>
      <c r="L43" s="272"/>
      <c r="M43" s="272"/>
      <c r="N43" s="273"/>
    </row>
    <row r="44" spans="2:14" x14ac:dyDescent="0.25">
      <c r="K44" s="271"/>
      <c r="L44" s="272"/>
      <c r="M44" s="272"/>
      <c r="N44" s="273"/>
    </row>
    <row r="45" spans="2:14" x14ac:dyDescent="0.25">
      <c r="K45" s="274"/>
      <c r="L45" s="275"/>
      <c r="M45" s="275"/>
      <c r="N45" s="276"/>
    </row>
    <row r="46" spans="2:14" x14ac:dyDescent="0.25"/>
    <row r="47" spans="2:14" x14ac:dyDescent="0.25"/>
    <row r="48" spans="2: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s="9" customFormat="1" x14ac:dyDescent="0.25"/>
    <row r="65" spans="2:14" x14ac:dyDescent="0.25">
      <c r="B65" s="5" t="s">
        <v>148</v>
      </c>
    </row>
    <row r="66" spans="2:14" ht="15.75" customHeight="1" x14ac:dyDescent="0.25">
      <c r="K66" s="268" t="s">
        <v>422</v>
      </c>
      <c r="L66" s="269"/>
      <c r="M66" s="269"/>
      <c r="N66" s="270"/>
    </row>
    <row r="67" spans="2:14" x14ac:dyDescent="0.25">
      <c r="K67" s="271"/>
      <c r="L67" s="272"/>
      <c r="M67" s="272"/>
      <c r="N67" s="273"/>
    </row>
    <row r="68" spans="2:14" x14ac:dyDescent="0.25">
      <c r="K68" s="271"/>
      <c r="L68" s="272"/>
      <c r="M68" s="272"/>
      <c r="N68" s="273"/>
    </row>
    <row r="69" spans="2:14" x14ac:dyDescent="0.25">
      <c r="K69" s="274"/>
      <c r="L69" s="275"/>
      <c r="M69" s="275"/>
      <c r="N69" s="276"/>
    </row>
    <row r="70" spans="2:14" x14ac:dyDescent="0.25">
      <c r="K70" s="64"/>
      <c r="L70" s="64"/>
      <c r="M70" s="64"/>
      <c r="N70" s="64"/>
    </row>
    <row r="71" spans="2:14" x14ac:dyDescent="0.25">
      <c r="K71" s="63"/>
      <c r="L71" s="63"/>
      <c r="M71" s="63"/>
      <c r="N71" s="63"/>
    </row>
    <row r="72" spans="2:14" x14ac:dyDescent="0.25">
      <c r="K72" s="63"/>
      <c r="L72" s="63"/>
      <c r="M72" s="63"/>
      <c r="N72" s="63"/>
    </row>
    <row r="73" spans="2:14" x14ac:dyDescent="0.25">
      <c r="K73" s="63"/>
      <c r="L73" s="63"/>
      <c r="M73" s="63"/>
      <c r="N73" s="63"/>
    </row>
    <row r="74" spans="2:14" x14ac:dyDescent="0.25">
      <c r="K74" s="63"/>
      <c r="L74" s="63"/>
      <c r="M74" s="63"/>
      <c r="N74" s="63"/>
    </row>
    <row r="75" spans="2:14" x14ac:dyDescent="0.25"/>
    <row r="76" spans="2:14" x14ac:dyDescent="0.25"/>
    <row r="77" spans="2:14" s="9" customFormat="1" x14ac:dyDescent="0.25"/>
    <row r="78" spans="2:14" x14ac:dyDescent="0.25">
      <c r="B78" s="5" t="s">
        <v>420</v>
      </c>
    </row>
    <row r="79" spans="2:14" ht="15.75" customHeight="1" x14ac:dyDescent="0.25">
      <c r="K79" s="268" t="s">
        <v>421</v>
      </c>
      <c r="L79" s="269"/>
      <c r="M79" s="269"/>
      <c r="N79" s="270"/>
    </row>
    <row r="80" spans="2:14" x14ac:dyDescent="0.25">
      <c r="K80" s="271"/>
      <c r="L80" s="272"/>
      <c r="M80" s="272"/>
      <c r="N80" s="273"/>
    </row>
    <row r="81" spans="11:14" x14ac:dyDescent="0.25">
      <c r="K81" s="271"/>
      <c r="L81" s="272"/>
      <c r="M81" s="272"/>
      <c r="N81" s="273"/>
    </row>
    <row r="82" spans="11:14" x14ac:dyDescent="0.25">
      <c r="K82" s="271"/>
      <c r="L82" s="272"/>
      <c r="M82" s="272"/>
      <c r="N82" s="273"/>
    </row>
    <row r="83" spans="11:14" x14ac:dyDescent="0.25">
      <c r="K83" s="271"/>
      <c r="L83" s="272"/>
      <c r="M83" s="272"/>
      <c r="N83" s="273"/>
    </row>
    <row r="84" spans="11:14" x14ac:dyDescent="0.25">
      <c r="K84" s="271"/>
      <c r="L84" s="272"/>
      <c r="M84" s="272"/>
      <c r="N84" s="273"/>
    </row>
    <row r="85" spans="11:14" x14ac:dyDescent="0.25">
      <c r="K85" s="271"/>
      <c r="L85" s="272"/>
      <c r="M85" s="272"/>
      <c r="N85" s="273"/>
    </row>
    <row r="86" spans="11:14" x14ac:dyDescent="0.25">
      <c r="K86" s="274"/>
      <c r="L86" s="275"/>
      <c r="M86" s="275"/>
      <c r="N86" s="276"/>
    </row>
    <row r="87" spans="11:14" x14ac:dyDescent="0.25"/>
    <row r="88" spans="11:14" x14ac:dyDescent="0.25"/>
    <row r="89" spans="11:14" x14ac:dyDescent="0.25"/>
    <row r="90" spans="11:14" x14ac:dyDescent="0.25"/>
    <row r="91" spans="11:14" x14ac:dyDescent="0.25"/>
    <row r="92" spans="11:14" x14ac:dyDescent="0.25"/>
    <row r="93" spans="11:14" x14ac:dyDescent="0.25"/>
    <row r="94" spans="11:14" x14ac:dyDescent="0.25"/>
    <row r="95" spans="11:14" x14ac:dyDescent="0.25"/>
    <row r="96" spans="11:14" x14ac:dyDescent="0.25"/>
    <row r="97" x14ac:dyDescent="0.25"/>
    <row r="98" x14ac:dyDescent="0.25"/>
    <row r="99" x14ac:dyDescent="0.25"/>
    <row r="100" x14ac:dyDescent="0.25"/>
  </sheetData>
  <mergeCells count="7">
    <mergeCell ref="K79:N86"/>
    <mergeCell ref="K66:N69"/>
    <mergeCell ref="K19:P23"/>
    <mergeCell ref="K26:N28"/>
    <mergeCell ref="C5:S7"/>
    <mergeCell ref="C9:S10"/>
    <mergeCell ref="K41:N4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82" zoomScaleNormal="82" workbookViewId="0">
      <selection sqref="A1:XFD1"/>
    </sheetView>
  </sheetViews>
  <sheetFormatPr defaultColWidth="0" defaultRowHeight="15.75" zeroHeight="1" x14ac:dyDescent="0.25"/>
  <cols>
    <col min="1" max="1" width="9.140625" style="4" customWidth="1"/>
    <col min="2" max="2" width="40.5703125" style="4" customWidth="1"/>
    <col min="3" max="3" width="18.85546875" style="4" bestFit="1" customWidth="1"/>
    <col min="4" max="4" width="13.7109375" style="4" bestFit="1" customWidth="1"/>
    <col min="5" max="5" width="22.140625" style="4" bestFit="1" customWidth="1"/>
    <col min="6" max="6" width="25" style="4" customWidth="1"/>
    <col min="7" max="8" width="14.28515625" style="4" bestFit="1" customWidth="1"/>
    <col min="9" max="10" width="13.7109375" style="4" bestFit="1" customWidth="1"/>
    <col min="11" max="12" width="9.140625" style="4" customWidth="1"/>
    <col min="13" max="16384" width="9.140625" style="4" hidden="1"/>
  </cols>
  <sheetData>
    <row r="1" spans="1:6" x14ac:dyDescent="0.25">
      <c r="A1" s="5" t="s">
        <v>641</v>
      </c>
    </row>
    <row r="2" spans="1:6" x14ac:dyDescent="0.25">
      <c r="A2" s="145" t="s">
        <v>592</v>
      </c>
    </row>
    <row r="3" spans="1:6" x14ac:dyDescent="0.25"/>
    <row r="4" spans="1:6" x14ac:dyDescent="0.25">
      <c r="B4" s="5" t="s">
        <v>640</v>
      </c>
    </row>
    <row r="5" spans="1:6" ht="18.75" x14ac:dyDescent="0.25">
      <c r="B5" s="2" t="s">
        <v>639</v>
      </c>
      <c r="C5" s="2" t="s">
        <v>638</v>
      </c>
      <c r="D5" s="2" t="s">
        <v>637</v>
      </c>
      <c r="E5" s="2" t="s">
        <v>636</v>
      </c>
      <c r="F5" s="2" t="s">
        <v>747</v>
      </c>
    </row>
    <row r="6" spans="1:6" x14ac:dyDescent="0.25">
      <c r="B6" s="12" t="s">
        <v>0</v>
      </c>
      <c r="C6" s="188">
        <v>34</v>
      </c>
      <c r="D6" s="232">
        <v>0</v>
      </c>
      <c r="E6" s="232">
        <v>0</v>
      </c>
      <c r="F6" s="16">
        <f t="shared" ref="F6:F17" si="0">SUM(C6:E6)/100</f>
        <v>0.34</v>
      </c>
    </row>
    <row r="7" spans="1:6" x14ac:dyDescent="0.25">
      <c r="B7" s="12" t="s">
        <v>631</v>
      </c>
      <c r="C7" s="188">
        <v>21</v>
      </c>
      <c r="D7" s="232">
        <v>0</v>
      </c>
      <c r="E7" s="232">
        <v>0</v>
      </c>
      <c r="F7" s="16">
        <f t="shared" si="0"/>
        <v>0.21</v>
      </c>
    </row>
    <row r="8" spans="1:6" x14ac:dyDescent="0.25">
      <c r="B8" s="12" t="s">
        <v>2</v>
      </c>
      <c r="C8" s="188">
        <v>48</v>
      </c>
      <c r="D8" s="232">
        <v>0</v>
      </c>
      <c r="E8" s="232">
        <v>0</v>
      </c>
      <c r="F8" s="16">
        <f t="shared" si="0"/>
        <v>0.48</v>
      </c>
    </row>
    <row r="9" spans="1:6" x14ac:dyDescent="0.25">
      <c r="B9" s="12" t="s">
        <v>635</v>
      </c>
      <c r="C9" s="21">
        <v>4.5</v>
      </c>
      <c r="D9" s="188">
        <v>50.5</v>
      </c>
      <c r="E9" s="232">
        <v>0</v>
      </c>
      <c r="F9" s="16">
        <f t="shared" si="0"/>
        <v>0.55000000000000004</v>
      </c>
    </row>
    <row r="10" spans="1:6" x14ac:dyDescent="0.25">
      <c r="B10" s="12" t="s">
        <v>634</v>
      </c>
      <c r="C10" s="188">
        <v>11</v>
      </c>
      <c r="D10" s="188">
        <v>48</v>
      </c>
      <c r="E10" s="232">
        <v>0</v>
      </c>
      <c r="F10" s="16">
        <f t="shared" si="0"/>
        <v>0.59</v>
      </c>
    </row>
    <row r="11" spans="1:6" x14ac:dyDescent="0.25">
      <c r="B11" s="12" t="s">
        <v>633</v>
      </c>
      <c r="C11" s="188">
        <v>11</v>
      </c>
      <c r="D11" s="188">
        <v>48</v>
      </c>
      <c r="E11" s="232">
        <v>0</v>
      </c>
      <c r="F11" s="16">
        <f t="shared" si="0"/>
        <v>0.59</v>
      </c>
    </row>
    <row r="12" spans="1:6" x14ac:dyDescent="0.25">
      <c r="B12" s="12" t="s">
        <v>576</v>
      </c>
      <c r="C12" s="232">
        <v>0</v>
      </c>
      <c r="D12" s="188">
        <f>AVERAGE(18,50)</f>
        <v>34</v>
      </c>
      <c r="E12" s="232">
        <v>0</v>
      </c>
      <c r="F12" s="16">
        <f t="shared" si="0"/>
        <v>0.34</v>
      </c>
    </row>
    <row r="13" spans="1:6" x14ac:dyDescent="0.25">
      <c r="B13" s="12" t="s">
        <v>630</v>
      </c>
      <c r="C13" s="232">
        <v>0</v>
      </c>
      <c r="D13" s="188">
        <v>46</v>
      </c>
      <c r="E13" s="232">
        <v>0</v>
      </c>
      <c r="F13" s="16">
        <f t="shared" si="0"/>
        <v>0.46</v>
      </c>
    </row>
    <row r="14" spans="1:6" x14ac:dyDescent="0.25">
      <c r="B14" s="12" t="s">
        <v>574</v>
      </c>
      <c r="C14" s="232">
        <v>0</v>
      </c>
      <c r="D14" s="232">
        <v>0</v>
      </c>
      <c r="E14" s="188">
        <v>60</v>
      </c>
      <c r="F14" s="16">
        <f t="shared" si="0"/>
        <v>0.6</v>
      </c>
    </row>
    <row r="15" spans="1:6" x14ac:dyDescent="0.25">
      <c r="B15" s="12" t="s">
        <v>1</v>
      </c>
      <c r="C15" s="188">
        <v>13</v>
      </c>
      <c r="D15" s="232">
        <v>0</v>
      </c>
      <c r="E15" s="188">
        <v>44</v>
      </c>
      <c r="F15" s="16">
        <f t="shared" si="0"/>
        <v>0.56999999999999995</v>
      </c>
    </row>
    <row r="16" spans="1:6" x14ac:dyDescent="0.25">
      <c r="B16" s="12" t="s">
        <v>629</v>
      </c>
      <c r="C16" s="232">
        <v>0</v>
      </c>
      <c r="D16" s="232">
        <v>0</v>
      </c>
      <c r="E16" s="188">
        <v>50</v>
      </c>
      <c r="F16" s="16">
        <f t="shared" si="0"/>
        <v>0.5</v>
      </c>
    </row>
    <row r="17" spans="2:10" x14ac:dyDescent="0.25">
      <c r="B17" s="12" t="s">
        <v>628</v>
      </c>
      <c r="C17" s="232">
        <v>0</v>
      </c>
      <c r="D17" s="232">
        <v>0</v>
      </c>
      <c r="E17" s="188">
        <v>22</v>
      </c>
      <c r="F17" s="16">
        <f t="shared" si="0"/>
        <v>0.22</v>
      </c>
    </row>
    <row r="18" spans="2:10" x14ac:dyDescent="0.25">
      <c r="B18" s="162" t="s">
        <v>632</v>
      </c>
    </row>
    <row r="19" spans="2:10" ht="18.75" x14ac:dyDescent="0.25">
      <c r="B19" s="253" t="s">
        <v>746</v>
      </c>
    </row>
    <row r="20" spans="2:10" x14ac:dyDescent="0.25">
      <c r="B20" s="162"/>
    </row>
    <row r="21" spans="2:10" x14ac:dyDescent="0.25">
      <c r="B21" s="74" t="s">
        <v>627</v>
      </c>
      <c r="C21" s="44" t="str">
        <f>"--&gt;input to LCI"</f>
        <v>--&gt;input to LCI</v>
      </c>
    </row>
    <row r="22" spans="2:10" x14ac:dyDescent="0.25">
      <c r="B22" s="2" t="s">
        <v>586</v>
      </c>
      <c r="C22" s="2" t="s">
        <v>585</v>
      </c>
      <c r="D22" s="2" t="s">
        <v>584</v>
      </c>
      <c r="E22" s="2" t="s">
        <v>583</v>
      </c>
      <c r="F22" s="2" t="s">
        <v>14</v>
      </c>
      <c r="G22" s="2" t="s">
        <v>582</v>
      </c>
      <c r="H22" s="2" t="s">
        <v>581</v>
      </c>
    </row>
    <row r="23" spans="2:10" x14ac:dyDescent="0.25">
      <c r="B23" s="12">
        <v>4</v>
      </c>
      <c r="C23" s="12" t="s">
        <v>572</v>
      </c>
      <c r="D23" s="12" t="s">
        <v>532</v>
      </c>
      <c r="E23" s="16">
        <f>'Land App. LCI'!E18</f>
        <v>6.3941872815011028E-2</v>
      </c>
      <c r="F23" s="12" t="s">
        <v>508</v>
      </c>
      <c r="G23" s="16">
        <f>'Land App. LCI'!G18</f>
        <v>0.13519603424966201</v>
      </c>
      <c r="H23" s="16">
        <f>'Land App. LCI'!H18</f>
        <v>1.9108280254777069E-2</v>
      </c>
    </row>
    <row r="24" spans="2:10" x14ac:dyDescent="0.25">
      <c r="B24" s="12">
        <v>4</v>
      </c>
      <c r="C24" s="12" t="s">
        <v>570</v>
      </c>
      <c r="D24" s="12" t="s">
        <v>532</v>
      </c>
      <c r="E24" s="16">
        <f>'Land App. LCI'!E19*(142/62)</f>
        <v>5.6838605083696883E-2</v>
      </c>
      <c r="F24" s="12" t="s">
        <v>748</v>
      </c>
      <c r="G24" s="16">
        <f>'Land App. LCI'!G19*(142/62)</f>
        <v>0.17959266743229294</v>
      </c>
      <c r="H24" s="233">
        <f>'Land App. LCI'!H19*(142/62)</f>
        <v>7.2940209574686686E-3</v>
      </c>
    </row>
    <row r="25" spans="2:10" x14ac:dyDescent="0.25">
      <c r="B25" s="12">
        <v>4</v>
      </c>
      <c r="C25" s="12" t="s">
        <v>569</v>
      </c>
      <c r="D25" s="12" t="s">
        <v>532</v>
      </c>
      <c r="E25" s="16">
        <f>'Land App. LCI'!E20*(71/39)</f>
        <v>8.2969257396390411E-2</v>
      </c>
      <c r="F25" s="12" t="s">
        <v>749</v>
      </c>
      <c r="G25" s="16">
        <f>'Land App. LCI'!G20*(71/39)</f>
        <v>0.17973215743916382</v>
      </c>
      <c r="H25" s="16">
        <f>'Land App. LCI'!H20*(71/39)</f>
        <v>3.1996394772420007E-2</v>
      </c>
    </row>
    <row r="26" spans="2:10" x14ac:dyDescent="0.25">
      <c r="B26" s="6"/>
      <c r="C26" s="12" t="s">
        <v>647</v>
      </c>
      <c r="D26" s="12"/>
      <c r="E26" s="16">
        <f>SUM(E23:E25)</f>
        <v>0.20374973529509832</v>
      </c>
      <c r="F26" s="12" t="s">
        <v>750</v>
      </c>
      <c r="G26" s="16">
        <f>SUM(G23:G25)</f>
        <v>0.49452085912111876</v>
      </c>
      <c r="H26" s="16">
        <f>SUM(H23:H25)</f>
        <v>5.8398695984665745E-2</v>
      </c>
    </row>
    <row r="27" spans="2:10" x14ac:dyDescent="0.25">
      <c r="B27" s="6"/>
      <c r="C27" s="6"/>
      <c r="D27" s="6"/>
      <c r="E27" s="6"/>
      <c r="F27" s="6"/>
      <c r="G27" s="6"/>
      <c r="H27" s="6"/>
      <c r="I27" s="6"/>
      <c r="J27" s="6"/>
    </row>
    <row r="28" spans="2:10" x14ac:dyDescent="0.25"/>
    <row r="29" spans="2:10" x14ac:dyDescent="0.25"/>
    <row r="30" spans="2:10" x14ac:dyDescent="0.25"/>
    <row r="31" spans="2:10" hidden="1" x14ac:dyDescent="0.25"/>
    <row r="32" spans="2:1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x14ac:dyDescent="0.25"/>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TOC</vt:lpstr>
      <vt:lpstr>Land App. LCI</vt:lpstr>
      <vt:lpstr>Land App. LCI Doc.</vt:lpstr>
      <vt:lpstr>Bioslurry Comp.</vt:lpstr>
      <vt:lpstr>Biogas Yield</vt:lpstr>
      <vt:lpstr>Nitrogen Emissions</vt:lpstr>
      <vt:lpstr>Field Emissions</vt:lpstr>
      <vt:lpstr>Yield Effect</vt:lpstr>
      <vt:lpstr>Avoided Fert.</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Morelli</dc:creator>
  <cp:lastModifiedBy>Sarah Cashman</cp:lastModifiedBy>
  <dcterms:created xsi:type="dcterms:W3CDTF">2016-03-04T16:04:31Z</dcterms:created>
  <dcterms:modified xsi:type="dcterms:W3CDTF">2017-04-14T15:52:14Z</dcterms:modified>
</cp:coreProperties>
</file>