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K:\EPA_Cookstove_LCA.sc.LEX\Report\Phase II\EPA QA Review\Supporting Information\SC Reviewed\"/>
    </mc:Choice>
  </mc:AlternateContent>
  <bookViews>
    <workbookView xWindow="0" yWindow="0" windowWidth="28800" windowHeight="12210"/>
  </bookViews>
  <sheets>
    <sheet name="TOC" sheetId="6" r:id="rId1"/>
    <sheet name="Emissions &amp; Yield" sheetId="1" r:id="rId2"/>
    <sheet name="Kenya Kilns" sheetId="5" r:id="rId3"/>
    <sheet name="Ghana Kilns" sheetId="3" r:id="rId4"/>
    <sheet name="References" sheetId="2" r:id="rId5"/>
  </sheet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5" l="1"/>
  <c r="L18" i="5" l="1"/>
  <c r="L17" i="5"/>
  <c r="O13" i="5" l="1"/>
  <c r="P13" i="5"/>
  <c r="Q13" i="5"/>
  <c r="S13" i="5"/>
  <c r="T13" i="5"/>
  <c r="U13" i="5"/>
  <c r="V13" i="5"/>
  <c r="W13" i="5"/>
  <c r="O14" i="5"/>
  <c r="P14" i="5"/>
  <c r="Q14" i="5"/>
  <c r="S14" i="5"/>
  <c r="T14" i="5"/>
  <c r="U14" i="5"/>
  <c r="V14" i="5"/>
  <c r="W14" i="5"/>
  <c r="O15" i="5"/>
  <c r="P15" i="5"/>
  <c r="Q15" i="5"/>
  <c r="S15" i="5"/>
  <c r="T15" i="5"/>
  <c r="U15" i="5"/>
  <c r="V15" i="5"/>
  <c r="W15" i="5"/>
  <c r="N15" i="5"/>
  <c r="N14" i="5"/>
  <c r="N13" i="5"/>
  <c r="F10" i="1"/>
  <c r="C43" i="3" s="1"/>
  <c r="C41" i="3"/>
  <c r="C49" i="3"/>
  <c r="C44" i="3"/>
  <c r="C46" i="3"/>
  <c r="C47" i="3"/>
  <c r="C48" i="3"/>
  <c r="L10" i="5"/>
  <c r="M10" i="5"/>
  <c r="N10" i="5"/>
  <c r="O10" i="5"/>
  <c r="P10" i="5"/>
  <c r="Q10" i="5"/>
  <c r="R10" i="5"/>
  <c r="S10" i="5"/>
  <c r="T10" i="5"/>
  <c r="U10" i="5"/>
  <c r="V10" i="5"/>
  <c r="W10" i="5"/>
  <c r="L11" i="5"/>
  <c r="M11" i="5"/>
  <c r="N11" i="5"/>
  <c r="O11" i="5"/>
  <c r="P11" i="5"/>
  <c r="Q11" i="5"/>
  <c r="R11" i="5"/>
  <c r="S11" i="5"/>
  <c r="T11" i="5"/>
  <c r="U11" i="5"/>
  <c r="V11" i="5"/>
  <c r="W11" i="5"/>
  <c r="L12" i="5"/>
  <c r="M12" i="5"/>
  <c r="N12" i="5"/>
  <c r="O12" i="5"/>
  <c r="P12" i="5"/>
  <c r="Q12" i="5"/>
  <c r="R12" i="5"/>
  <c r="S12" i="5"/>
  <c r="T12" i="5"/>
  <c r="U12" i="5"/>
  <c r="V12" i="5"/>
  <c r="W12" i="5"/>
  <c r="X10" i="5"/>
  <c r="K12" i="5"/>
  <c r="K11" i="5"/>
  <c r="K10" i="5"/>
  <c r="X13" i="5"/>
  <c r="H12" i="5"/>
  <c r="H11" i="5"/>
  <c r="H10" i="5"/>
  <c r="H15" i="5"/>
  <c r="H14" i="5"/>
  <c r="H13" i="5"/>
  <c r="L13" i="5"/>
  <c r="M13" i="5"/>
  <c r="K14" i="5"/>
  <c r="L14" i="5"/>
  <c r="M14" i="5"/>
  <c r="K15" i="5"/>
  <c r="L15" i="5"/>
  <c r="M15" i="5"/>
  <c r="K13" i="5" l="1"/>
  <c r="N13" i="1" l="1"/>
  <c r="N20" i="1" l="1"/>
  <c r="O20" i="1"/>
  <c r="P20" i="1"/>
  <c r="O8" i="1"/>
  <c r="F23" i="3" s="1"/>
  <c r="P8" i="1"/>
  <c r="G23" i="3" s="1"/>
  <c r="O10" i="1"/>
  <c r="F18" i="3" s="1"/>
  <c r="P10" i="1"/>
  <c r="G18" i="3" s="1"/>
  <c r="O14" i="1"/>
  <c r="P14" i="1"/>
  <c r="O15" i="1"/>
  <c r="P15" i="1"/>
  <c r="N10" i="1"/>
  <c r="C18" i="3" s="1"/>
  <c r="N14" i="1"/>
  <c r="N15" i="1"/>
  <c r="N8" i="1"/>
  <c r="C23" i="3" s="1"/>
  <c r="O5" i="5" l="1"/>
  <c r="P5" i="5"/>
  <c r="Q5" i="5"/>
  <c r="R5" i="5"/>
  <c r="S5" i="5"/>
  <c r="T5" i="5"/>
  <c r="U5" i="5"/>
  <c r="V5" i="5"/>
  <c r="W5" i="5"/>
  <c r="O6" i="5"/>
  <c r="P6" i="5"/>
  <c r="Q6" i="5"/>
  <c r="R6" i="5"/>
  <c r="S6" i="5"/>
  <c r="T6" i="5"/>
  <c r="U6" i="5"/>
  <c r="V6" i="5"/>
  <c r="W6" i="5"/>
  <c r="O7" i="5"/>
  <c r="P7" i="5"/>
  <c r="Q7" i="5"/>
  <c r="S7" i="5"/>
  <c r="T7" i="5"/>
  <c r="U7" i="5"/>
  <c r="V7" i="5"/>
  <c r="W7" i="5"/>
  <c r="O8" i="5"/>
  <c r="P8" i="5"/>
  <c r="Q8" i="5"/>
  <c r="S8" i="5"/>
  <c r="T8" i="5"/>
  <c r="U8" i="5"/>
  <c r="V8" i="5"/>
  <c r="W8" i="5"/>
  <c r="O9" i="5"/>
  <c r="P9" i="5"/>
  <c r="Q9" i="5"/>
  <c r="S9" i="5"/>
  <c r="T9" i="5"/>
  <c r="U9" i="5"/>
  <c r="V9" i="5"/>
  <c r="W9" i="5"/>
  <c r="N6" i="5"/>
  <c r="N7" i="5"/>
  <c r="N8" i="5"/>
  <c r="N9" i="5"/>
  <c r="F6" i="5"/>
  <c r="F7" i="5"/>
  <c r="F8" i="5"/>
  <c r="F9" i="5"/>
  <c r="F5" i="5"/>
  <c r="J6" i="5"/>
  <c r="K6" i="5" s="1"/>
  <c r="J7" i="5"/>
  <c r="M7" i="5" s="1"/>
  <c r="J8" i="5"/>
  <c r="K8" i="5" s="1"/>
  <c r="J9" i="5"/>
  <c r="K9" i="5" s="1"/>
  <c r="J5" i="5"/>
  <c r="K5" i="5" s="1"/>
  <c r="M5" i="5" l="1"/>
  <c r="M9" i="5"/>
  <c r="K7" i="5"/>
  <c r="M8" i="5"/>
  <c r="M6" i="5"/>
  <c r="E32" i="1" l="1"/>
  <c r="F32" i="1"/>
  <c r="G32" i="1"/>
  <c r="H32" i="1"/>
  <c r="I32" i="1"/>
  <c r="J32" i="1"/>
  <c r="K32" i="1"/>
  <c r="F7" i="1" l="1"/>
  <c r="C40" i="3" s="1"/>
  <c r="D19" i="1" l="1"/>
  <c r="D32" i="1" s="1"/>
  <c r="D13" i="1"/>
  <c r="C13" i="1"/>
  <c r="D29" i="1"/>
  <c r="D27" i="1"/>
  <c r="D9" i="1"/>
  <c r="D21" i="1"/>
  <c r="D12" i="1"/>
  <c r="D11" i="1"/>
  <c r="D7" i="1"/>
  <c r="C22" i="1"/>
  <c r="N22" i="1" s="1"/>
  <c r="C25" i="3" s="1"/>
  <c r="C29" i="1"/>
  <c r="N29" i="1" s="1"/>
  <c r="C32" i="3" s="1"/>
  <c r="C27" i="1"/>
  <c r="N27" i="1" s="1"/>
  <c r="C30" i="3" s="1"/>
  <c r="C31" i="1"/>
  <c r="N31" i="1" s="1"/>
  <c r="C34" i="3" s="1"/>
  <c r="C30" i="1"/>
  <c r="N30" i="1" s="1"/>
  <c r="C33" i="3" s="1"/>
  <c r="C28" i="1"/>
  <c r="N28" i="1" s="1"/>
  <c r="C31" i="3" s="1"/>
  <c r="C26" i="1"/>
  <c r="N26" i="1" s="1"/>
  <c r="C29" i="3" s="1"/>
  <c r="C25" i="1"/>
  <c r="N25" i="1" s="1"/>
  <c r="C28" i="3" s="1"/>
  <c r="C24" i="1"/>
  <c r="N24" i="1" s="1"/>
  <c r="C27" i="3" s="1"/>
  <c r="C23" i="1"/>
  <c r="N23" i="1" s="1"/>
  <c r="C26" i="3" s="1"/>
  <c r="C19" i="1"/>
  <c r="C21" i="1"/>
  <c r="N21" i="1" s="1"/>
  <c r="C12" i="1"/>
  <c r="C9" i="1"/>
  <c r="C11" i="1"/>
  <c r="C7" i="1"/>
  <c r="P19" i="1" l="1"/>
  <c r="G16" i="3" s="1"/>
  <c r="G17" i="3" s="1"/>
  <c r="O19" i="1"/>
  <c r="F16" i="3" s="1"/>
  <c r="F17" i="3" s="1"/>
  <c r="N19" i="1"/>
  <c r="C16" i="3" s="1"/>
  <c r="O9" i="1"/>
  <c r="F22" i="3" s="1"/>
  <c r="P9" i="1"/>
  <c r="G22" i="3" s="1"/>
  <c r="N9" i="1"/>
  <c r="C22" i="3" s="1"/>
  <c r="O13" i="1"/>
  <c r="F21" i="3" s="1"/>
  <c r="P13" i="1"/>
  <c r="G21" i="3" s="1"/>
  <c r="C21" i="3"/>
  <c r="O12" i="1"/>
  <c r="F19" i="3" s="1"/>
  <c r="P12" i="1"/>
  <c r="G19" i="3" s="1"/>
  <c r="N12" i="1"/>
  <c r="C19" i="3" s="1"/>
  <c r="P7" i="1"/>
  <c r="O7" i="1"/>
  <c r="N11" i="1"/>
  <c r="C20" i="3" s="1"/>
  <c r="O11" i="1"/>
  <c r="F20" i="3" s="1"/>
  <c r="P11" i="1"/>
  <c r="G20" i="3" s="1"/>
  <c r="C32" i="1"/>
  <c r="F12" i="1"/>
  <c r="C45" i="3" s="1"/>
  <c r="C65" i="1"/>
  <c r="D65" i="1" s="1"/>
  <c r="C64" i="1"/>
  <c r="D64" i="1" s="1"/>
  <c r="C63" i="1"/>
  <c r="D63" i="1" s="1"/>
  <c r="C62" i="1"/>
  <c r="D62" i="1" s="1"/>
  <c r="C61" i="1"/>
  <c r="D61" i="1" s="1"/>
  <c r="D42" i="1"/>
  <c r="D43" i="1"/>
  <c r="D44" i="1"/>
  <c r="D45" i="1"/>
  <c r="D46" i="1"/>
  <c r="D47" i="1"/>
  <c r="D48" i="1"/>
  <c r="D49" i="1"/>
  <c r="D50" i="1"/>
  <c r="D41" i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4" i="1"/>
  <c r="D54" i="1" s="1"/>
  <c r="C53" i="1"/>
  <c r="D53" i="1" s="1"/>
  <c r="C52" i="1"/>
  <c r="D52" i="1" s="1"/>
  <c r="C51" i="1"/>
  <c r="D51" i="1" s="1"/>
  <c r="O32" i="1" l="1"/>
  <c r="P32" i="1"/>
  <c r="N32" i="1"/>
  <c r="C10" i="3" s="1"/>
  <c r="C11" i="3" s="1"/>
  <c r="C17" i="3" s="1"/>
  <c r="D66" i="1"/>
  <c r="F9" i="1"/>
  <c r="C42" i="3" s="1"/>
</calcChain>
</file>

<file path=xl/comments1.xml><?xml version="1.0" encoding="utf-8"?>
<comments xmlns="http://schemas.openxmlformats.org/spreadsheetml/2006/main">
  <authors>
    <author>Sarah Cashman</author>
  </authors>
  <commentList>
    <comment ref="F40" authorId="0" shapeId="0">
      <text>
        <r>
          <rPr>
            <b/>
            <sz val="9"/>
            <color indexed="81"/>
            <rFont val="Tahoma"/>
            <charset val="1"/>
          </rPr>
          <t>ERG:</t>
        </r>
        <r>
          <rPr>
            <sz val="9"/>
            <color indexed="81"/>
            <rFont val="Tahoma"/>
            <charset val="1"/>
          </rPr>
          <t xml:space="preserve">
Experiment name from original source</t>
        </r>
      </text>
    </comment>
  </commentList>
</comments>
</file>

<file path=xl/sharedStrings.xml><?xml version="1.0" encoding="utf-8"?>
<sst xmlns="http://schemas.openxmlformats.org/spreadsheetml/2006/main" count="409" uniqueCount="207">
  <si>
    <t>Flow</t>
  </si>
  <si>
    <t>Category</t>
  </si>
  <si>
    <t>air/unspecified</t>
  </si>
  <si>
    <t>Dinitrogen monoxide</t>
  </si>
  <si>
    <t>Nitrogen oxides</t>
  </si>
  <si>
    <t>NMVOC, non-methane volatile organic compounds, unspecified origin</t>
  </si>
  <si>
    <t>Charcoal; production from wood; at earth mound kiln - GH</t>
  </si>
  <si>
    <t>kg/kg Charcoal</t>
  </si>
  <si>
    <t>resource/biotic</t>
  </si>
  <si>
    <t>disposal, wood ash mixture, pure, 0% water, to landfarming - CH</t>
  </si>
  <si>
    <t>Units</t>
  </si>
  <si>
    <t>Carbyne (Methylidyne)- CH</t>
  </si>
  <si>
    <t>Total Suspended Particulates</t>
  </si>
  <si>
    <t>Products of incomplete combustion</t>
  </si>
  <si>
    <t>Uganda</t>
  </si>
  <si>
    <t>Thailand</t>
  </si>
  <si>
    <t>India</t>
  </si>
  <si>
    <t>Ghana</t>
  </si>
  <si>
    <t>Kenya</t>
  </si>
  <si>
    <t>Country</t>
  </si>
  <si>
    <t>Kiln Type</t>
  </si>
  <si>
    <t>Source</t>
  </si>
  <si>
    <t>earth mound kiln</t>
  </si>
  <si>
    <t>Singh et al. 2014</t>
  </si>
  <si>
    <t>Pennise et al. 2001</t>
  </si>
  <si>
    <t>Smith et al. 1999</t>
  </si>
  <si>
    <t>Brazil</t>
  </si>
  <si>
    <t>surface kiln</t>
  </si>
  <si>
    <t>hot tail kiln</t>
  </si>
  <si>
    <t>rectangular w/ tar recovery</t>
  </si>
  <si>
    <t>brick beehive</t>
  </si>
  <si>
    <t>mud beehive</t>
  </si>
  <si>
    <t>single drum</t>
  </si>
  <si>
    <t>Afrane and Ntiamoah 2011</t>
  </si>
  <si>
    <t>Standard Units</t>
  </si>
  <si>
    <t>Citation</t>
  </si>
  <si>
    <t>Full Reference</t>
  </si>
  <si>
    <t>Note</t>
  </si>
  <si>
    <t>Casamance kiln</t>
  </si>
  <si>
    <t>Nturanabo et al. 2011</t>
  </si>
  <si>
    <t>EM1</t>
  </si>
  <si>
    <t>Traditional</t>
  </si>
  <si>
    <t>CK1</t>
  </si>
  <si>
    <t>TK1</t>
  </si>
  <si>
    <t>CK2</t>
  </si>
  <si>
    <t>TK2</t>
  </si>
  <si>
    <t>CK3</t>
  </si>
  <si>
    <t>TK3</t>
  </si>
  <si>
    <t>CK4</t>
  </si>
  <si>
    <t>TK4</t>
  </si>
  <si>
    <t>CK5</t>
  </si>
  <si>
    <t>TK5</t>
  </si>
  <si>
    <t>Dry Yield (kg wood/kg charcoal)</t>
  </si>
  <si>
    <t>EM4</t>
  </si>
  <si>
    <t>EM2</t>
  </si>
  <si>
    <t>EM3</t>
  </si>
  <si>
    <t>EM5</t>
  </si>
  <si>
    <t>Condensables (includes tar, oil &amp; broads)</t>
  </si>
  <si>
    <t>from Bertschi 2003</t>
  </si>
  <si>
    <t>Avg. Casamance Yield</t>
  </si>
  <si>
    <t>Charcoal; production from wood; at casamance kiln</t>
  </si>
  <si>
    <t>Value</t>
  </si>
  <si>
    <t>kg</t>
  </si>
  <si>
    <t>Design Yield</t>
  </si>
  <si>
    <t>Wood Ratio</t>
  </si>
  <si>
    <t>Average</t>
  </si>
  <si>
    <t>Value Description</t>
  </si>
  <si>
    <t>calculated via linear trendline</t>
  </si>
  <si>
    <t>CO2</t>
  </si>
  <si>
    <t>from previous earthen mound unit process, only value associated with yield within +/- 25%</t>
  </si>
  <si>
    <t>single value from Bertschi et al. 2003</t>
  </si>
  <si>
    <t>Dry Yield Efficiency</t>
  </si>
  <si>
    <t>Min</t>
  </si>
  <si>
    <t>Max</t>
  </si>
  <si>
    <t>Wood</t>
  </si>
  <si>
    <t>Nitrogen monoxide</t>
  </si>
  <si>
    <t>Ethane</t>
  </si>
  <si>
    <t>Ethene</t>
  </si>
  <si>
    <t>Propene</t>
  </si>
  <si>
    <t>Acetic acid</t>
  </si>
  <si>
    <t>Methanol</t>
  </si>
  <si>
    <t>Notes:</t>
  </si>
  <si>
    <t>#</t>
  </si>
  <si>
    <t>88% of charcoal producers use live trees (Agyeman et al. 2012)</t>
  </si>
  <si>
    <t>strong preference for Shea and Mahogany  (Agyeman et al. 2012). 80% of producers in upper west region use Shea</t>
  </si>
  <si>
    <t>Charcoal producers are switching to the use of chain saws. It takes about 1 hour to harvest a shea tree, 4 hours for a mahogany tree  (Agyeman et al. 2012)</t>
  </si>
  <si>
    <t>90% of charcoal production is accomplished through the felling of live trees (Mohammed et al. 2013)</t>
  </si>
  <si>
    <t>Mohammed et al. 2013</t>
  </si>
  <si>
    <t>Bertschi et al. 2003</t>
  </si>
  <si>
    <t>Ammonia</t>
  </si>
  <si>
    <t>Formaldehyde</t>
  </si>
  <si>
    <t>Formic Acid</t>
  </si>
  <si>
    <t>Phenol</t>
  </si>
  <si>
    <t>Furan</t>
  </si>
  <si>
    <t>Kiln</t>
  </si>
  <si>
    <t>Wood In (dry mass, kg)</t>
  </si>
  <si>
    <t>Charcoal Produced (wet)</t>
  </si>
  <si>
    <t>Charcoal Produced (dry)</t>
  </si>
  <si>
    <t>Wood Energy (MJ/kg)</t>
  </si>
  <si>
    <t>Charcoal Energy Content (MJ/kg)</t>
  </si>
  <si>
    <t>Wood In (wet mass, kg)</t>
  </si>
  <si>
    <t>Moisture content</t>
  </si>
  <si>
    <t>NA</t>
  </si>
  <si>
    <t>CO</t>
  </si>
  <si>
    <t>CH4</t>
  </si>
  <si>
    <t>TNMHCb</t>
  </si>
  <si>
    <t>NO</t>
  </si>
  <si>
    <t>NOx</t>
  </si>
  <si>
    <t>N20</t>
  </si>
  <si>
    <t>TSPc</t>
  </si>
  <si>
    <t>PIC</t>
  </si>
  <si>
    <t>gases+TSP</t>
  </si>
  <si>
    <t>Kenya Kiln Number</t>
  </si>
  <si>
    <t>Original Emission Values from Pennise 2001 (g/kg charcoal)</t>
  </si>
  <si>
    <t>average of kilns with a dry charcoal yield between 28 and 31%</t>
  </si>
  <si>
    <t>Carbon dioxide</t>
  </si>
  <si>
    <t>Methane</t>
  </si>
  <si>
    <t>Carbon monoxide</t>
  </si>
  <si>
    <t>single value from Bertschi et al. 2004</t>
  </si>
  <si>
    <t>single value from Bertschi et al. 2005</t>
  </si>
  <si>
    <t>single value from Bertschi et al. 2006</t>
  </si>
  <si>
    <t>single value from Bertschi et al. 2007</t>
  </si>
  <si>
    <t>single value from Bertschi et al. 2008</t>
  </si>
  <si>
    <r>
      <t>Zambia, earthen mound</t>
    </r>
    <r>
      <rPr>
        <b/>
        <vertAlign val="superscript"/>
        <sz val="11"/>
        <color theme="0"/>
        <rFont val="Times New Roman"/>
        <family val="1"/>
      </rPr>
      <t>1</t>
    </r>
  </si>
  <si>
    <r>
      <t>Earthen Mound</t>
    </r>
    <r>
      <rPr>
        <b/>
        <vertAlign val="superscript"/>
        <sz val="11"/>
        <color theme="0"/>
        <rFont val="Times New Roman"/>
        <family val="1"/>
      </rPr>
      <t>2</t>
    </r>
  </si>
  <si>
    <t>Lacaux et al. 1994</t>
  </si>
  <si>
    <r>
      <t xml:space="preserve">Nturanabo, F., Byamugisha, G.R., and Preti, G.C. 2011. Performance Appraisal of the Casamance Kiln as a Replacement to the Traditional Charcoal Kilns in Uganda. </t>
    </r>
    <r>
      <rPr>
        <i/>
        <sz val="12"/>
        <color theme="1"/>
        <rFont val="Times New Roman"/>
        <family val="1"/>
      </rPr>
      <t xml:space="preserve">Presented at the Second International Conference on Advances in Engineering and Technology. </t>
    </r>
    <r>
      <rPr>
        <sz val="12"/>
        <color theme="1"/>
        <rFont val="Times New Roman"/>
        <family val="1"/>
      </rPr>
      <t>http://mak.ac.ug/documents/Makfiles/aet2011/Nturanabo.pdf  19 April, 2016.</t>
    </r>
  </si>
  <si>
    <r>
      <t xml:space="preserve">Mohammed, J., Jnr, I.T., and Mills, M. 2013. Fuelwood to Charcoal production in the new juaben municipality of the eastern region of Ghana. Challenges and Opportunites in seeking livelihood. </t>
    </r>
    <r>
      <rPr>
        <i/>
        <sz val="12"/>
        <color theme="1"/>
        <rFont val="Times New Roman"/>
        <family val="1"/>
      </rPr>
      <t xml:space="preserve">Journal of Arts, Science and Commerce. </t>
    </r>
    <r>
      <rPr>
        <sz val="12"/>
        <color theme="1"/>
        <rFont val="Times New Roman"/>
        <family val="1"/>
      </rPr>
      <t xml:space="preserve">4(1): </t>
    </r>
  </si>
  <si>
    <r>
      <t xml:space="preserve">Bertschi, I.T., Yokelson, R.J., Ward, D.E., Christian, T.J., and Hao, W.M. 2003. Trace gas emissions from the production and use of domestic biofuels in Zambia measured by open-path Fourier transform infrared spectroscopy. </t>
    </r>
    <r>
      <rPr>
        <i/>
        <sz val="12"/>
        <color theme="1"/>
        <rFont val="Times New Roman"/>
        <family val="1"/>
      </rPr>
      <t xml:space="preserve">Journal of Geophysical Research. </t>
    </r>
    <r>
      <rPr>
        <sz val="12"/>
        <color theme="1"/>
        <rFont val="Times New Roman"/>
        <family val="1"/>
      </rPr>
      <t xml:space="preserve">108(D13). </t>
    </r>
  </si>
  <si>
    <r>
      <t xml:space="preserve">Lacaux, J. P., D. Brocard, C. Lacaux, R. Delmas, B. Ajoua, V. Yoboue´, and M. Koffi. 1994. Traditional charcoal making: An important source of atmospheric pollution in the African tropics. </t>
    </r>
    <r>
      <rPr>
        <i/>
        <sz val="12"/>
        <color theme="1"/>
        <rFont val="Times New Roman"/>
        <family val="1"/>
      </rPr>
      <t>Atmospheric Research.</t>
    </r>
    <r>
      <rPr>
        <sz val="12"/>
        <color theme="1"/>
        <rFont val="Times New Roman"/>
        <family val="1"/>
      </rPr>
      <t xml:space="preserve"> 35: 71– 76.</t>
    </r>
  </si>
  <si>
    <r>
      <t xml:space="preserve">Pennise, D.M. K.R. Smith, J.P. Kithinji, M.E. Rezende, T.J. Raad, J. Zhang, C. Fan. 2001. Emissions of Greenhouse gases and other Airborne Pollutants from Charcoal Making in Kenya and Brazil. </t>
    </r>
    <r>
      <rPr>
        <i/>
        <sz val="12"/>
        <color theme="1"/>
        <rFont val="Times New Roman"/>
        <family val="1"/>
      </rPr>
      <t xml:space="preserve">Journal of Geophysical Research. </t>
    </r>
    <r>
      <rPr>
        <sz val="12"/>
        <color theme="1"/>
        <rFont val="Times New Roman"/>
        <family val="1"/>
      </rPr>
      <t>106(D20): 23143-24155.</t>
    </r>
  </si>
  <si>
    <r>
      <rPr>
        <b/>
        <i/>
        <sz val="11"/>
        <color theme="1"/>
        <rFont val="Times New Roman"/>
        <family val="1"/>
      </rPr>
      <t>Source:</t>
    </r>
    <r>
      <rPr>
        <i/>
        <sz val="11"/>
        <color theme="1"/>
        <rFont val="Times New Roman"/>
        <family val="1"/>
      </rPr>
      <t xml:space="preserve"> Pennise et al. 2001</t>
    </r>
  </si>
  <si>
    <t xml:space="preserve">Documentation of Kenyan Kiln Emissions </t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</si>
  <si>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(dry charcoal weight out)/(dry wood weight in)</t>
    </r>
  </si>
  <si>
    <r>
      <t>Charcoal Yield (dry)</t>
    </r>
    <r>
      <rPr>
        <b/>
        <vertAlign val="superscript"/>
        <sz val="11"/>
        <color theme="0"/>
        <rFont val="Times New Roman"/>
        <family val="1"/>
      </rPr>
      <t>1</t>
    </r>
  </si>
  <si>
    <r>
      <t>Energy Conversion (%)</t>
    </r>
    <r>
      <rPr>
        <b/>
        <vertAlign val="superscript"/>
        <sz val="11"/>
        <color theme="0"/>
        <rFont val="Times New Roman"/>
        <family val="1"/>
      </rPr>
      <t>2</t>
    </r>
  </si>
  <si>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energy content charcoal/energy content wood input</t>
    </r>
  </si>
  <si>
    <t>kg/kg Charcoal produced</t>
  </si>
  <si>
    <t>kg/kg Charcoal Produced</t>
  </si>
  <si>
    <t>g/kg Charcoal Produced</t>
  </si>
  <si>
    <t>Ghana High-Performing Kiln LCI Summary</t>
  </si>
  <si>
    <r>
      <t>Min</t>
    </r>
    <r>
      <rPr>
        <b/>
        <vertAlign val="superscript"/>
        <sz val="11"/>
        <color theme="1"/>
        <rFont val="Times New Roman"/>
        <family val="1"/>
      </rPr>
      <t>3</t>
    </r>
  </si>
  <si>
    <r>
      <t>Kenya</t>
    </r>
    <r>
      <rPr>
        <vertAlign val="superscript"/>
        <sz val="11"/>
        <color theme="1"/>
        <rFont val="Times New Roman"/>
        <family val="1"/>
      </rPr>
      <t>3</t>
    </r>
  </si>
  <si>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Values not used in high-performing kiln unit process, dry yield is too low.</t>
    </r>
  </si>
  <si>
    <t>-</t>
  </si>
  <si>
    <r>
      <t>IN, Earth Mound</t>
    </r>
    <r>
      <rPr>
        <b/>
        <vertAlign val="superscript"/>
        <sz val="11"/>
        <color theme="0"/>
        <rFont val="Times New Roman"/>
        <family val="1"/>
      </rPr>
      <t>3</t>
    </r>
  </si>
  <si>
    <t>High-Performing Kiln Unit Process LCI Values</t>
  </si>
  <si>
    <t>Average Kiln Unit Process LCI Values</t>
  </si>
  <si>
    <t>Ash</t>
  </si>
  <si>
    <r>
      <t>Ghana, Earth Mound Kiln</t>
    </r>
    <r>
      <rPr>
        <b/>
        <vertAlign val="superscript"/>
        <sz val="11"/>
        <color theme="0"/>
        <rFont val="Times New Roman"/>
        <family val="1"/>
      </rPr>
      <t>4</t>
    </r>
  </si>
  <si>
    <t xml:space="preserve">Units </t>
  </si>
  <si>
    <t>Particulates &lt;2.5</t>
  </si>
  <si>
    <r>
      <t>LCI Ghana High-Performing Kiln</t>
    </r>
    <r>
      <rPr>
        <b/>
        <vertAlign val="superscript"/>
        <sz val="11"/>
        <color theme="1"/>
        <rFont val="Times New Roman"/>
        <family val="1"/>
      </rPr>
      <t>1</t>
    </r>
  </si>
  <si>
    <r>
      <rPr>
        <i/>
        <vertAlign val="superscript"/>
        <sz val="11"/>
        <color theme="1"/>
        <rFont val="Times New Roman"/>
        <family val="1"/>
      </rPr>
      <t>2</t>
    </r>
    <r>
      <rPr>
        <i/>
        <sz val="11"/>
        <color theme="1"/>
        <rFont val="Times New Roman"/>
        <family val="1"/>
      </rPr>
      <t xml:space="preserve"> Non-speciated NMVOC value used instead of speciated VOCs, to remain consistent with the average (lower performing) kiln</t>
    </r>
  </si>
  <si>
    <r>
      <rPr>
        <i/>
        <vertAlign val="superscript"/>
        <sz val="11"/>
        <color theme="1"/>
        <rFont val="Times New Roman"/>
        <family val="1"/>
      </rPr>
      <t>1</t>
    </r>
    <r>
      <rPr>
        <i/>
        <sz val="11"/>
        <color theme="1"/>
        <rFont val="Times New Roman"/>
        <family val="1"/>
      </rPr>
      <t xml:space="preserve"> Average of earthen mound kiln LCI data for all countries with a dry yield efficiency greater than 28%.</t>
    </r>
  </si>
  <si>
    <r>
      <rPr>
        <i/>
        <vertAlign val="superscript"/>
        <sz val="11"/>
        <color theme="1"/>
        <rFont val="Times New Roman"/>
        <family val="1"/>
      </rPr>
      <t>2</t>
    </r>
    <r>
      <rPr>
        <i/>
        <sz val="11"/>
        <color theme="1"/>
        <rFont val="Times New Roman"/>
        <family val="1"/>
      </rPr>
      <t xml:space="preserve"> Proxy Value from EM2, Pennise et al. 2001</t>
    </r>
  </si>
  <si>
    <r>
      <t>Dinitrogen monoxide</t>
    </r>
    <r>
      <rPr>
        <vertAlign val="superscript"/>
        <sz val="11"/>
        <color theme="1"/>
        <rFont val="Times New Roman"/>
        <family val="1"/>
      </rPr>
      <t>2</t>
    </r>
  </si>
  <si>
    <r>
      <t>Particulates &lt;2.5</t>
    </r>
    <r>
      <rPr>
        <vertAlign val="superscript"/>
        <sz val="11"/>
        <color theme="1"/>
        <rFont val="Times New Roman"/>
        <family val="1"/>
      </rPr>
      <t>2</t>
    </r>
  </si>
  <si>
    <r>
      <t>LCI Ghana Average Kiln</t>
    </r>
    <r>
      <rPr>
        <b/>
        <vertAlign val="superscript"/>
        <sz val="11"/>
        <color theme="1"/>
        <rFont val="Times New Roman"/>
        <family val="1"/>
      </rPr>
      <t>1</t>
    </r>
  </si>
  <si>
    <r>
      <rPr>
        <b/>
        <i/>
        <sz val="11"/>
        <color theme="1"/>
        <rFont val="Times New Roman"/>
        <family val="1"/>
      </rPr>
      <t xml:space="preserve">Source: </t>
    </r>
    <r>
      <rPr>
        <i/>
        <vertAlign val="superscript"/>
        <sz val="11"/>
        <color theme="1"/>
        <rFont val="Times New Roman"/>
        <family val="1"/>
      </rPr>
      <t>1</t>
    </r>
    <r>
      <rPr>
        <i/>
        <sz val="11"/>
        <color theme="1"/>
        <rFont val="Times New Roman"/>
        <family val="1"/>
      </rPr>
      <t xml:space="preserve"> Afrane and Ntiamoah 2011</t>
    </r>
  </si>
  <si>
    <r>
      <t xml:space="preserve">Afrane G., and A. Ntiamoah. 2011. Comparative life cycle assessment of charcoal, biogas and LPG as cooking fuels in Ghana. </t>
    </r>
    <r>
      <rPr>
        <i/>
        <sz val="12"/>
        <color theme="1"/>
        <rFont val="Times New Roman"/>
        <family val="1"/>
      </rPr>
      <t>Journal of Industrial Ecology</t>
    </r>
    <r>
      <rPr>
        <sz val="12"/>
        <color theme="1"/>
        <rFont val="Times New Roman"/>
        <family val="1"/>
      </rPr>
      <t>. 15(4): 539-549.</t>
    </r>
  </si>
  <si>
    <t>Smith K R, Pennise D M, et al. (1999) Greenhouse gases from small-scale combustion devices in developing countries: Charcoalmaking kilns in Thailand. EPA-600/R-99-109. Environmental Protection Agency. Washington, D.C.</t>
  </si>
  <si>
    <t>Singh P, Gundimeda H, Stucki M. 2014. Environmental footprint of cooking fuels: a life cycle assessment of ten fuel sources used in Indian households, International Journal of Life Cycle Assessment, 19: 1036-1048.</t>
  </si>
  <si>
    <r>
      <t>Thailand, Earth Mound</t>
    </r>
    <r>
      <rPr>
        <b/>
        <vertAlign val="superscript"/>
        <sz val="11"/>
        <color theme="0"/>
        <rFont val="Times New Roman"/>
        <family val="1"/>
      </rPr>
      <t>6</t>
    </r>
  </si>
  <si>
    <r>
      <t>BR, Hot-tail Kiln</t>
    </r>
    <r>
      <rPr>
        <b/>
        <vertAlign val="superscript"/>
        <sz val="11"/>
        <color theme="0"/>
        <rFont val="Times New Roman"/>
        <family val="1"/>
      </rPr>
      <t>5</t>
    </r>
  </si>
  <si>
    <r>
      <t>TH, Mud Beehive</t>
    </r>
    <r>
      <rPr>
        <b/>
        <vertAlign val="superscript"/>
        <sz val="11"/>
        <color theme="0"/>
        <rFont val="Times New Roman"/>
        <family val="1"/>
      </rPr>
      <t>5</t>
    </r>
  </si>
  <si>
    <r>
      <t>TH, Brick Beehive</t>
    </r>
    <r>
      <rPr>
        <b/>
        <vertAlign val="superscript"/>
        <sz val="11"/>
        <color theme="0"/>
        <rFont val="Times New Roman"/>
        <family val="1"/>
      </rPr>
      <t>5</t>
    </r>
  </si>
  <si>
    <t>Kiln Efficiency Values</t>
  </si>
  <si>
    <t>Dry yield (%)</t>
  </si>
  <si>
    <t>Kiln Emission Data</t>
  </si>
  <si>
    <t>Summary</t>
  </si>
  <si>
    <t>Sheet</t>
  </si>
  <si>
    <t>Description</t>
  </si>
  <si>
    <t>References</t>
  </si>
  <si>
    <t xml:space="preserve">Reference List </t>
  </si>
  <si>
    <t>Emissions &amp; Yield</t>
  </si>
  <si>
    <t>Kenya Kilns</t>
  </si>
  <si>
    <t>Ghana Kilns</t>
  </si>
  <si>
    <t>This workbook documents the available emissions and yield information for charcoal kilns in Kenya and Ghana, and includes the calculations used to generate LCI values.</t>
  </si>
  <si>
    <t>Kiln Emission Profiles</t>
  </si>
  <si>
    <t>Average Kiln Charcoal Heating Value</t>
  </si>
  <si>
    <t>MJ/kg, HHV</t>
  </si>
  <si>
    <t>High-Performing Kiln Charcoal Heating Value</t>
  </si>
  <si>
    <t>Charcoal Kiln Unit Process Documentation: Life Cycle Assessment of Cookstove Fuel Options in India, China, Kenya, and Ghana</t>
  </si>
  <si>
    <t>EPA Contract No. EP-D-011-006, WA 5-10</t>
  </si>
  <si>
    <t>TABLE OF CONTENTS</t>
  </si>
  <si>
    <r>
      <t xml:space="preserve">Agyeman, K.O., O. Amponsah, I. Braimah, S. Lurmuah. 2012. Commercial Charcoal Production and Sustainable Community Development of the Upper West Region, Ghana. </t>
    </r>
    <r>
      <rPr>
        <i/>
        <sz val="11"/>
        <color theme="1"/>
        <rFont val="Times New Roman"/>
        <family val="1"/>
      </rPr>
      <t xml:space="preserve">Journal of Sustainable Development. </t>
    </r>
    <r>
      <rPr>
        <sz val="11"/>
        <color theme="1"/>
        <rFont val="Times New Roman"/>
        <family val="1"/>
      </rPr>
      <t>5(4): 149-164.</t>
    </r>
  </si>
  <si>
    <t>Agyeman et al. 2012</t>
  </si>
  <si>
    <t>Observed Relationships Between Kiln Yield And Emissions:</t>
  </si>
  <si>
    <r>
      <t>Kenya, Earth Mound Kiln</t>
    </r>
    <r>
      <rPr>
        <b/>
        <vertAlign val="superscript"/>
        <sz val="11"/>
        <color theme="0"/>
        <rFont val="Times New Roman"/>
        <family val="1"/>
      </rPr>
      <t>1,7</t>
    </r>
  </si>
  <si>
    <r>
      <rPr>
        <i/>
        <vertAlign val="superscript"/>
        <sz val="11"/>
        <color theme="1"/>
        <rFont val="Times New Roman"/>
        <family val="1"/>
      </rPr>
      <t>7</t>
    </r>
    <r>
      <rPr>
        <i/>
        <sz val="11"/>
        <color theme="1"/>
        <rFont val="Times New Roman"/>
        <family val="1"/>
      </rPr>
      <t xml:space="preserve"> Average of EM2, EM3, EM4 from Phase I</t>
    </r>
  </si>
  <si>
    <r>
      <t xml:space="preserve">Sources and Notes: </t>
    </r>
    <r>
      <rPr>
        <i/>
        <vertAlign val="superscript"/>
        <sz val="11"/>
        <color theme="1"/>
        <rFont val="Times New Roman"/>
        <family val="1"/>
      </rPr>
      <t>1</t>
    </r>
    <r>
      <rPr>
        <i/>
        <sz val="11"/>
        <color theme="1"/>
        <rFont val="Times New Roman"/>
        <family val="1"/>
      </rPr>
      <t xml:space="preserve"> Bertschi et al. 2003, </t>
    </r>
    <r>
      <rPr>
        <i/>
        <vertAlign val="superscript"/>
        <sz val="11"/>
        <color theme="1"/>
        <rFont val="Times New Roman"/>
        <family val="1"/>
      </rPr>
      <t>2</t>
    </r>
    <r>
      <rPr>
        <i/>
        <sz val="11"/>
        <color theme="1"/>
        <rFont val="Times New Roman"/>
        <family val="1"/>
      </rPr>
      <t xml:space="preserve"> Lacaux 1994, </t>
    </r>
    <r>
      <rPr>
        <i/>
        <vertAlign val="superscript"/>
        <sz val="11"/>
        <color theme="1"/>
        <rFont val="Times New Roman"/>
        <family val="1"/>
      </rPr>
      <t>3</t>
    </r>
    <r>
      <rPr>
        <i/>
        <sz val="11"/>
        <color theme="1"/>
        <rFont val="Times New Roman"/>
        <family val="1"/>
      </rPr>
      <t xml:space="preserve"> Singh et al. 2014, </t>
    </r>
    <r>
      <rPr>
        <i/>
        <vertAlign val="superscript"/>
        <sz val="11"/>
        <color theme="1"/>
        <rFont val="Times New Roman"/>
        <family val="1"/>
      </rPr>
      <t>4</t>
    </r>
    <r>
      <rPr>
        <i/>
        <sz val="11"/>
        <color theme="1"/>
        <rFont val="Times New Roman"/>
        <family val="1"/>
      </rPr>
      <t xml:space="preserve"> Afrane and Ntiamoah 2011, </t>
    </r>
    <r>
      <rPr>
        <i/>
        <vertAlign val="superscript"/>
        <sz val="11"/>
        <color theme="1"/>
        <rFont val="Times New Roman"/>
        <family val="1"/>
      </rPr>
      <t>5</t>
    </r>
    <r>
      <rPr>
        <i/>
        <sz val="11"/>
        <color theme="1"/>
        <rFont val="Times New Roman"/>
        <family val="1"/>
      </rPr>
      <t xml:space="preserve"> Pennise et al. 2001, </t>
    </r>
    <r>
      <rPr>
        <i/>
        <vertAlign val="superscript"/>
        <sz val="11"/>
        <color theme="1"/>
        <rFont val="Times New Roman"/>
        <family val="1"/>
      </rPr>
      <t>6</t>
    </r>
    <r>
      <rPr>
        <i/>
        <sz val="11"/>
        <color theme="1"/>
        <rFont val="Times New Roman"/>
        <family val="1"/>
      </rPr>
      <t xml:space="preserve"> Smith et al. 1999</t>
    </r>
  </si>
  <si>
    <t>Average Improved Kiln Emissions</t>
  </si>
  <si>
    <r>
      <rPr>
        <i/>
        <vertAlign val="superscript"/>
        <sz val="11"/>
        <color theme="1"/>
        <rFont val="Times New Roman"/>
        <family val="1"/>
      </rPr>
      <t>8</t>
    </r>
    <r>
      <rPr>
        <i/>
        <sz val="11"/>
        <color theme="1"/>
        <rFont val="Times New Roman"/>
        <family val="1"/>
      </rPr>
      <t xml:space="preserve"> Average emissions for kilns with a dry yield efficiency between 28 and 31%, which is used to approximate the performance of an improved Casamance kiln, which has  a similar efficiency.</t>
    </r>
  </si>
  <si>
    <r>
      <rPr>
        <i/>
        <vertAlign val="superscript"/>
        <sz val="11"/>
        <color theme="1"/>
        <rFont val="Times New Roman"/>
        <family val="1"/>
      </rPr>
      <t>9</t>
    </r>
    <r>
      <rPr>
        <i/>
        <sz val="11"/>
        <color theme="1"/>
        <rFont val="Times New Roman"/>
        <family val="1"/>
      </rPr>
      <t xml:space="preserve"> Used as the basis for the average kiln in Ghana.</t>
    </r>
  </si>
  <si>
    <r>
      <t>regressed</t>
    </r>
    <r>
      <rPr>
        <vertAlign val="superscript"/>
        <sz val="11"/>
        <color theme="1"/>
        <rFont val="Times New Roman"/>
        <family val="1"/>
      </rPr>
      <t>10</t>
    </r>
  </si>
  <si>
    <r>
      <rPr>
        <i/>
        <vertAlign val="superscript"/>
        <sz val="11"/>
        <color theme="1"/>
        <rFont val="Times New Roman"/>
        <family val="1"/>
      </rPr>
      <t>10</t>
    </r>
    <r>
      <rPr>
        <i/>
        <sz val="11"/>
        <color theme="1"/>
        <rFont val="Times New Roman"/>
        <family val="1"/>
      </rPr>
      <t xml:space="preserve"> See sheet: Ghana Kilns</t>
    </r>
  </si>
  <si>
    <r>
      <t>Ammonia</t>
    </r>
    <r>
      <rPr>
        <vertAlign val="superscript"/>
        <sz val="11"/>
        <rFont val="Times New Roman"/>
        <family val="1"/>
      </rPr>
      <t>2</t>
    </r>
  </si>
  <si>
    <t>Kiln Emissions Data as Reported in Pennise et al. 2000</t>
  </si>
  <si>
    <t>Documentation of kiln emissions and dry yield efficiency.</t>
  </si>
  <si>
    <t>Summary of LCI data for average and high-performing kiln unit processes, Kenya.</t>
  </si>
  <si>
    <t>Summary of LCI data for average and high-performing kiln unit processes, Ghana.</t>
  </si>
  <si>
    <t>kg charcoal/kg wood</t>
  </si>
  <si>
    <t>Documentation of literature values for charcoal emissions and yield.</t>
  </si>
  <si>
    <t>Calculation of average and high-performing kiln emissions for Kenya.</t>
  </si>
  <si>
    <t>Calculation of average and high-performing kiln emissions for Ghana.</t>
  </si>
  <si>
    <t>Version 2.0, 4/14/2017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</si>
</sst>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0.0%"/>
    <numFmt numFmtId="165" formatCode="0.0000"/>
    <numFmt numFmtId="166" formatCode="0.00000"/>
    <numFmt numFmtId="167" formatCode="0.000"/>
    <numFmt numFmtId="168" formatCode="0.0"/>
    <numFmt numFmtId="169" formatCode="0;0;&quot;-&quot;"/>
    <numFmt numFmtId="170" formatCode="0.00E+0"/>
    <numFmt numFmtId="171" formatCode="000"/>
    <numFmt numFmtId="172" formatCode="0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b/>
      <vertAlign val="superscript"/>
      <sz val="11"/>
      <color theme="0"/>
      <name val="Times New Roman"/>
      <family val="1"/>
    </font>
    <font>
      <i/>
      <sz val="11"/>
      <color theme="1"/>
      <name val="Times New Roman"/>
      <family val="1"/>
    </font>
    <font>
      <i/>
      <vertAlign val="superscript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2"/>
      <name val="Times New Roman"/>
      <family val="1"/>
    </font>
    <font>
      <u/>
      <sz val="12"/>
      <color theme="1"/>
      <name val="Times New Roman"/>
      <family val="1"/>
    </font>
    <font>
      <b/>
      <sz val="12"/>
      <color theme="0"/>
      <name val="Times New Roman"/>
      <family val="1"/>
    </font>
    <font>
      <i/>
      <sz val="12"/>
      <name val="Times New Roman"/>
      <family val="1"/>
    </font>
    <font>
      <u/>
      <sz val="12"/>
      <color theme="10"/>
      <name val="Times New Roman"/>
      <family val="1"/>
    </font>
    <font>
      <vertAlign val="superscript"/>
      <sz val="1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4" fillId="4" borderId="0" xfId="0" applyFont="1" applyFill="1"/>
    <xf numFmtId="0" fontId="4" fillId="0" borderId="2" xfId="0" applyFont="1" applyBorder="1"/>
    <xf numFmtId="0" fontId="4" fillId="0" borderId="7" xfId="0" applyFont="1" applyBorder="1"/>
    <xf numFmtId="0" fontId="4" fillId="4" borderId="14" xfId="0" applyFont="1" applyFill="1" applyBorder="1"/>
    <xf numFmtId="0" fontId="4" fillId="4" borderId="2" xfId="0" applyFont="1" applyFill="1" applyBorder="1"/>
    <xf numFmtId="0" fontId="4" fillId="4" borderId="7" xfId="0" applyFont="1" applyFill="1" applyBorder="1"/>
    <xf numFmtId="165" fontId="4" fillId="4" borderId="2" xfId="0" applyNumberFormat="1" applyFont="1" applyFill="1" applyBorder="1"/>
    <xf numFmtId="165" fontId="4" fillId="4" borderId="7" xfId="0" applyNumberFormat="1" applyFont="1" applyFill="1" applyBorder="1"/>
    <xf numFmtId="0" fontId="4" fillId="0" borderId="9" xfId="0" applyFont="1" applyBorder="1"/>
    <xf numFmtId="0" fontId="4" fillId="0" borderId="10" xfId="0" applyFont="1" applyBorder="1"/>
    <xf numFmtId="0" fontId="8" fillId="0" borderId="7" xfId="0" applyFont="1" applyBorder="1"/>
    <xf numFmtId="0" fontId="11" fillId="5" borderId="3" xfId="0" applyFont="1" applyFill="1" applyBorder="1"/>
    <xf numFmtId="0" fontId="11" fillId="5" borderId="4" xfId="0" applyFont="1" applyFill="1" applyBorder="1"/>
    <xf numFmtId="0" fontId="11" fillId="5" borderId="5" xfId="0" applyFont="1" applyFill="1" applyBorder="1"/>
    <xf numFmtId="0" fontId="4" fillId="6" borderId="6" xfId="0" applyFont="1" applyFill="1" applyBorder="1"/>
    <xf numFmtId="0" fontId="4" fillId="6" borderId="8" xfId="0" applyFont="1" applyFill="1" applyBorder="1"/>
    <xf numFmtId="0" fontId="9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 applyBorder="1"/>
    <xf numFmtId="11" fontId="4" fillId="2" borderId="0" xfId="0" applyNumberFormat="1" applyFont="1" applyFill="1"/>
    <xf numFmtId="0" fontId="6" fillId="2" borderId="0" xfId="0" applyFont="1" applyFill="1"/>
    <xf numFmtId="0" fontId="8" fillId="2" borderId="0" xfId="0" applyFont="1" applyFill="1"/>
    <xf numFmtId="165" fontId="4" fillId="2" borderId="0" xfId="0" applyNumberFormat="1" applyFont="1" applyFill="1" applyBorder="1"/>
    <xf numFmtId="0" fontId="6" fillId="2" borderId="0" xfId="0" applyFont="1" applyFill="1" applyBorder="1"/>
    <xf numFmtId="0" fontId="5" fillId="2" borderId="0" xfId="0" applyFont="1" applyFill="1"/>
    <xf numFmtId="0" fontId="4" fillId="2" borderId="2" xfId="0" applyFont="1" applyFill="1" applyBorder="1"/>
    <xf numFmtId="164" fontId="4" fillId="2" borderId="2" xfId="1" applyNumberFormat="1" applyFont="1" applyFill="1" applyBorder="1"/>
    <xf numFmtId="9" fontId="4" fillId="2" borderId="2" xfId="1" applyFont="1" applyFill="1" applyBorder="1"/>
    <xf numFmtId="0" fontId="4" fillId="2" borderId="9" xfId="0" applyFont="1" applyFill="1" applyBorder="1"/>
    <xf numFmtId="164" fontId="4" fillId="2" borderId="9" xfId="1" applyNumberFormat="1" applyFont="1" applyFill="1" applyBorder="1"/>
    <xf numFmtId="9" fontId="4" fillId="2" borderId="9" xfId="1" applyFont="1" applyFill="1" applyBorder="1"/>
    <xf numFmtId="0" fontId="4" fillId="2" borderId="4" xfId="0" applyFont="1" applyFill="1" applyBorder="1"/>
    <xf numFmtId="9" fontId="4" fillId="2" borderId="4" xfId="1" applyFont="1" applyFill="1" applyBorder="1"/>
    <xf numFmtId="0" fontId="4" fillId="2" borderId="2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13" fillId="2" borderId="0" xfId="0" applyFont="1" applyFill="1"/>
    <xf numFmtId="0" fontId="5" fillId="6" borderId="3" xfId="0" applyFont="1" applyFill="1" applyBorder="1"/>
    <xf numFmtId="0" fontId="5" fillId="6" borderId="6" xfId="0" applyFont="1" applyFill="1" applyBorder="1"/>
    <xf numFmtId="0" fontId="5" fillId="6" borderId="8" xfId="0" applyFont="1" applyFill="1" applyBorder="1"/>
    <xf numFmtId="0" fontId="10" fillId="2" borderId="0" xfId="0" applyFont="1" applyFill="1"/>
    <xf numFmtId="0" fontId="17" fillId="2" borderId="0" xfId="0" applyFont="1" applyFill="1"/>
    <xf numFmtId="167" fontId="4" fillId="2" borderId="2" xfId="0" applyNumberFormat="1" applyFont="1" applyFill="1" applyBorder="1"/>
    <xf numFmtId="0" fontId="11" fillId="5" borderId="17" xfId="0" applyFont="1" applyFill="1" applyBorder="1"/>
    <xf numFmtId="0" fontId="11" fillId="5" borderId="15" xfId="0" applyFont="1" applyFill="1" applyBorder="1" applyAlignment="1">
      <alignment horizontal="centerContinuous"/>
    </xf>
    <xf numFmtId="0" fontId="11" fillId="5" borderId="18" xfId="0" applyFont="1" applyFill="1" applyBorder="1" applyAlignment="1">
      <alignment horizontal="centerContinuous"/>
    </xf>
    <xf numFmtId="9" fontId="4" fillId="0" borderId="5" xfId="1" applyFont="1" applyBorder="1"/>
    <xf numFmtId="0" fontId="11" fillId="5" borderId="8" xfId="0" applyFont="1" applyFill="1" applyBorder="1"/>
    <xf numFmtId="2" fontId="4" fillId="0" borderId="10" xfId="0" applyNumberFormat="1" applyFont="1" applyBorder="1"/>
    <xf numFmtId="0" fontId="4" fillId="3" borderId="2" xfId="0" applyFont="1" applyFill="1" applyBorder="1" applyAlignment="1">
      <alignment horizontal="fill"/>
    </xf>
    <xf numFmtId="0" fontId="4" fillId="3" borderId="2" xfId="0" applyFont="1" applyFill="1" applyBorder="1"/>
    <xf numFmtId="0" fontId="4" fillId="3" borderId="7" xfId="0" applyFont="1" applyFill="1" applyBorder="1"/>
    <xf numFmtId="0" fontId="4" fillId="0" borderId="2" xfId="0" applyFont="1" applyBorder="1" applyAlignment="1">
      <alignment horizontal="fill"/>
    </xf>
    <xf numFmtId="0" fontId="7" fillId="0" borderId="2" xfId="2" applyFont="1" applyBorder="1" applyAlignment="1">
      <alignment horizontal="fill"/>
    </xf>
    <xf numFmtId="166" fontId="4" fillId="3" borderId="2" xfId="0" applyNumberFormat="1" applyFont="1" applyFill="1" applyBorder="1"/>
    <xf numFmtId="166" fontId="4" fillId="3" borderId="7" xfId="0" applyNumberFormat="1" applyFont="1" applyFill="1" applyBorder="1"/>
    <xf numFmtId="0" fontId="4" fillId="0" borderId="9" xfId="0" applyFont="1" applyBorder="1" applyAlignment="1">
      <alignment horizontal="fill"/>
    </xf>
    <xf numFmtId="166" fontId="4" fillId="3" borderId="9" xfId="0" applyNumberFormat="1" applyFont="1" applyFill="1" applyBorder="1"/>
    <xf numFmtId="166" fontId="4" fillId="3" borderId="10" xfId="0" applyNumberFormat="1" applyFont="1" applyFill="1" applyBorder="1"/>
    <xf numFmtId="0" fontId="4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13" fillId="2" borderId="0" xfId="0" applyFont="1" applyFill="1" applyBorder="1"/>
    <xf numFmtId="164" fontId="4" fillId="2" borderId="4" xfId="1" applyNumberFormat="1" applyFont="1" applyFill="1" applyBorder="1"/>
    <xf numFmtId="0" fontId="11" fillId="5" borderId="19" xfId="0" applyFont="1" applyFill="1" applyBorder="1" applyAlignment="1">
      <alignment horizontal="centerContinuous"/>
    </xf>
    <xf numFmtId="0" fontId="20" fillId="5" borderId="20" xfId="0" applyFont="1" applyFill="1" applyBorder="1" applyAlignment="1">
      <alignment horizontal="centerContinuous"/>
    </xf>
    <xf numFmtId="0" fontId="4" fillId="6" borderId="2" xfId="0" applyFont="1" applyFill="1" applyBorder="1"/>
    <xf numFmtId="0" fontId="11" fillId="5" borderId="2" xfId="0" applyFont="1" applyFill="1" applyBorder="1"/>
    <xf numFmtId="9" fontId="4" fillId="0" borderId="2" xfId="1" applyFont="1" applyBorder="1"/>
    <xf numFmtId="9" fontId="4" fillId="0" borderId="12" xfId="1" applyFont="1" applyBorder="1"/>
    <xf numFmtId="9" fontId="4" fillId="0" borderId="16" xfId="1" applyFont="1" applyBorder="1"/>
    <xf numFmtId="0" fontId="11" fillId="5" borderId="15" xfId="0" applyFont="1" applyFill="1" applyBorder="1"/>
    <xf numFmtId="168" fontId="4" fillId="2" borderId="2" xfId="0" applyNumberFormat="1" applyFont="1" applyFill="1" applyBorder="1"/>
    <xf numFmtId="2" fontId="4" fillId="2" borderId="2" xfId="0" applyNumberFormat="1" applyFont="1" applyFill="1" applyBorder="1"/>
    <xf numFmtId="2" fontId="4" fillId="2" borderId="9" xfId="0" applyNumberFormat="1" applyFont="1" applyFill="1" applyBorder="1"/>
    <xf numFmtId="0" fontId="11" fillId="2" borderId="0" xfId="0" applyFont="1" applyFill="1" applyBorder="1" applyAlignment="1"/>
    <xf numFmtId="0" fontId="4" fillId="5" borderId="2" xfId="0" applyFont="1" applyFill="1" applyBorder="1" applyAlignment="1">
      <alignment horizontal="centerContinuous"/>
    </xf>
    <xf numFmtId="0" fontId="11" fillId="5" borderId="2" xfId="0" applyFont="1" applyFill="1" applyBorder="1" applyAlignment="1">
      <alignment horizontal="centerContinuous"/>
    </xf>
    <xf numFmtId="0" fontId="16" fillId="2" borderId="0" xfId="0" applyFont="1" applyFill="1"/>
    <xf numFmtId="0" fontId="22" fillId="2" borderId="0" xfId="4" applyNumberFormat="1" applyFont="1" applyFill="1" applyBorder="1" applyAlignment="1"/>
    <xf numFmtId="0" fontId="22" fillId="2" borderId="0" xfId="4" applyFont="1" applyFill="1"/>
    <xf numFmtId="0" fontId="15" fillId="2" borderId="0" xfId="0" applyFont="1" applyFill="1"/>
    <xf numFmtId="0" fontId="16" fillId="2" borderId="0" xfId="4" applyFont="1" applyFill="1"/>
    <xf numFmtId="0" fontId="23" fillId="2" borderId="0" xfId="4" applyFont="1" applyFill="1"/>
    <xf numFmtId="0" fontId="24" fillId="5" borderId="2" xfId="4" applyFont="1" applyFill="1" applyBorder="1"/>
    <xf numFmtId="0" fontId="22" fillId="7" borderId="2" xfId="4" applyFont="1" applyFill="1" applyBorder="1"/>
    <xf numFmtId="0" fontId="22" fillId="2" borderId="0" xfId="4" applyFont="1" applyFill="1" applyAlignment="1">
      <alignment vertical="top" wrapText="1"/>
    </xf>
    <xf numFmtId="0" fontId="15" fillId="2" borderId="0" xfId="4" applyFont="1" applyFill="1" applyAlignment="1">
      <alignment wrapText="1"/>
    </xf>
    <xf numFmtId="0" fontId="24" fillId="5" borderId="2" xfId="0" applyFont="1" applyFill="1" applyBorder="1"/>
    <xf numFmtId="0" fontId="8" fillId="2" borderId="2" xfId="0" applyFont="1" applyFill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4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top"/>
    </xf>
    <xf numFmtId="2" fontId="4" fillId="0" borderId="2" xfId="0" applyNumberFormat="1" applyFont="1" applyBorder="1"/>
    <xf numFmtId="167" fontId="4" fillId="0" borderId="2" xfId="0" applyNumberFormat="1" applyFont="1" applyBorder="1"/>
    <xf numFmtId="169" fontId="4" fillId="2" borderId="2" xfId="0" applyNumberFormat="1" applyFont="1" applyFill="1" applyBorder="1"/>
    <xf numFmtId="170" fontId="4" fillId="2" borderId="2" xfId="0" applyNumberFormat="1" applyFont="1" applyFill="1" applyBorder="1"/>
    <xf numFmtId="169" fontId="4" fillId="0" borderId="2" xfId="0" applyNumberFormat="1" applyFont="1" applyBorder="1"/>
    <xf numFmtId="170" fontId="4" fillId="0" borderId="2" xfId="0" applyNumberFormat="1" applyFont="1" applyBorder="1"/>
    <xf numFmtId="167" fontId="4" fillId="2" borderId="9" xfId="0" applyNumberFormat="1" applyFont="1" applyFill="1" applyBorder="1"/>
    <xf numFmtId="167" fontId="4" fillId="0" borderId="9" xfId="0" applyNumberFormat="1" applyFont="1" applyBorder="1"/>
    <xf numFmtId="170" fontId="4" fillId="0" borderId="14" xfId="0" applyNumberFormat="1" applyFont="1" applyBorder="1"/>
    <xf numFmtId="167" fontId="4" fillId="0" borderId="14" xfId="0" applyNumberFormat="1" applyFont="1" applyBorder="1"/>
    <xf numFmtId="2" fontId="4" fillId="0" borderId="14" xfId="0" applyNumberFormat="1" applyFont="1" applyBorder="1"/>
    <xf numFmtId="167" fontId="4" fillId="0" borderId="1" xfId="0" applyNumberFormat="1" applyFont="1" applyBorder="1"/>
    <xf numFmtId="167" fontId="4" fillId="0" borderId="10" xfId="0" applyNumberFormat="1" applyFont="1" applyBorder="1"/>
    <xf numFmtId="2" fontId="4" fillId="0" borderId="7" xfId="0" applyNumberFormat="1" applyFont="1" applyBorder="1"/>
    <xf numFmtId="167" fontId="4" fillId="0" borderId="7" xfId="0" applyNumberFormat="1" applyFont="1" applyBorder="1"/>
    <xf numFmtId="170" fontId="4" fillId="0" borderId="7" xfId="0" applyNumberFormat="1" applyFont="1" applyBorder="1"/>
    <xf numFmtId="2" fontId="4" fillId="0" borderId="12" xfId="0" applyNumberFormat="1" applyFont="1" applyBorder="1"/>
    <xf numFmtId="0" fontId="26" fillId="6" borderId="2" xfId="2" applyFont="1" applyFill="1" applyBorder="1"/>
    <xf numFmtId="0" fontId="13" fillId="2" borderId="0" xfId="0" applyFont="1" applyFill="1" applyBorder="1" applyAlignment="1">
      <alignment horizontal="left"/>
    </xf>
    <xf numFmtId="0" fontId="11" fillId="5" borderId="13" xfId="0" applyFont="1" applyFill="1" applyBorder="1" applyAlignment="1">
      <alignment wrapText="1"/>
    </xf>
    <xf numFmtId="0" fontId="4" fillId="0" borderId="14" xfId="0" applyFont="1" applyBorder="1" applyAlignment="1">
      <alignment horizontal="right"/>
    </xf>
    <xf numFmtId="0" fontId="19" fillId="6" borderId="6" xfId="0" applyFont="1" applyFill="1" applyBorder="1"/>
    <xf numFmtId="170" fontId="19" fillId="0" borderId="2" xfId="0" applyNumberFormat="1" applyFont="1" applyBorder="1"/>
    <xf numFmtId="167" fontId="19" fillId="0" borderId="2" xfId="0" applyNumberFormat="1" applyFont="1" applyBorder="1"/>
    <xf numFmtId="0" fontId="19" fillId="6" borderId="11" xfId="0" applyFont="1" applyFill="1" applyBorder="1"/>
    <xf numFmtId="0" fontId="19" fillId="6" borderId="8" xfId="0" applyFont="1" applyFill="1" applyBorder="1"/>
    <xf numFmtId="170" fontId="19" fillId="0" borderId="9" xfId="0" applyNumberFormat="1" applyFont="1" applyBorder="1"/>
    <xf numFmtId="171" fontId="4" fillId="2" borderId="2" xfId="5" applyNumberFormat="1" applyFont="1" applyFill="1" applyBorder="1"/>
    <xf numFmtId="170" fontId="4" fillId="2" borderId="2" xfId="5" applyNumberFormat="1" applyFont="1" applyFill="1" applyBorder="1"/>
    <xf numFmtId="172" fontId="4" fillId="2" borderId="2" xfId="0" applyNumberFormat="1" applyFont="1" applyFill="1" applyBorder="1"/>
    <xf numFmtId="172" fontId="4" fillId="2" borderId="2" xfId="5" applyNumberFormat="1" applyFont="1" applyFill="1" applyBorder="1"/>
    <xf numFmtId="170" fontId="4" fillId="2" borderId="9" xfId="5" applyNumberFormat="1" applyFont="1" applyFill="1" applyBorder="1"/>
    <xf numFmtId="172" fontId="4" fillId="2" borderId="9" xfId="0" applyNumberFormat="1" applyFont="1" applyFill="1" applyBorder="1"/>
    <xf numFmtId="172" fontId="4" fillId="2" borderId="4" xfId="0" applyNumberFormat="1" applyFont="1" applyFill="1" applyBorder="1"/>
    <xf numFmtId="171" fontId="4" fillId="2" borderId="2" xfId="0" applyNumberFormat="1" applyFont="1" applyFill="1" applyBorder="1"/>
    <xf numFmtId="172" fontId="4" fillId="2" borderId="2" xfId="1" applyNumberFormat="1" applyFont="1" applyFill="1" applyBorder="1"/>
    <xf numFmtId="172" fontId="4" fillId="2" borderId="9" xfId="1" applyNumberFormat="1" applyFont="1" applyFill="1" applyBorder="1"/>
    <xf numFmtId="172" fontId="4" fillId="2" borderId="4" xfId="1" applyNumberFormat="1" applyFont="1" applyFill="1" applyBorder="1"/>
    <xf numFmtId="2" fontId="19" fillId="2" borderId="2" xfId="0" applyNumberFormat="1" applyFont="1" applyFill="1" applyBorder="1"/>
    <xf numFmtId="167" fontId="19" fillId="2" borderId="2" xfId="0" applyNumberFormat="1" applyFont="1" applyFill="1" applyBorder="1"/>
    <xf numFmtId="2" fontId="4" fillId="2" borderId="4" xfId="0" applyNumberFormat="1" applyFont="1" applyFill="1" applyBorder="1"/>
    <xf numFmtId="167" fontId="4" fillId="2" borderId="4" xfId="0" applyNumberFormat="1" applyFont="1" applyFill="1" applyBorder="1"/>
    <xf numFmtId="170" fontId="19" fillId="2" borderId="2" xfId="0" applyNumberFormat="1" applyFont="1" applyFill="1" applyBorder="1"/>
    <xf numFmtId="170" fontId="4" fillId="2" borderId="4" xfId="0" applyNumberFormat="1" applyFont="1" applyFill="1" applyBorder="1"/>
    <xf numFmtId="170" fontId="4" fillId="2" borderId="9" xfId="0" applyNumberFormat="1" applyFont="1" applyFill="1" applyBorder="1"/>
    <xf numFmtId="169" fontId="4" fillId="2" borderId="7" xfId="0" applyNumberFormat="1" applyFont="1" applyFill="1" applyBorder="1"/>
    <xf numFmtId="169" fontId="4" fillId="2" borderId="10" xfId="0" applyNumberFormat="1" applyFont="1" applyFill="1" applyBorder="1"/>
    <xf numFmtId="167" fontId="4" fillId="2" borderId="5" xfId="0" applyNumberFormat="1" applyFont="1" applyFill="1" applyBorder="1"/>
    <xf numFmtId="167" fontId="19" fillId="2" borderId="9" xfId="0" applyNumberFormat="1" applyFont="1" applyFill="1" applyBorder="1"/>
    <xf numFmtId="2" fontId="19" fillId="2" borderId="9" xfId="0" applyNumberFormat="1" applyFont="1" applyFill="1" applyBorder="1"/>
    <xf numFmtId="167" fontId="19" fillId="2" borderId="4" xfId="0" applyNumberFormat="1" applyFont="1" applyFill="1" applyBorder="1"/>
    <xf numFmtId="2" fontId="19" fillId="2" borderId="4" xfId="0" applyNumberFormat="1" applyFont="1" applyFill="1" applyBorder="1"/>
    <xf numFmtId="0" fontId="24" fillId="5" borderId="2" xfId="0" applyFont="1" applyFill="1" applyBorder="1" applyAlignment="1">
      <alignment horizontal="left"/>
    </xf>
    <xf numFmtId="0" fontId="25" fillId="2" borderId="0" xfId="4" applyFont="1" applyFill="1" applyAlignment="1">
      <alignment horizontal="left" vertical="top" wrapText="1"/>
    </xf>
    <xf numFmtId="0" fontId="25" fillId="2" borderId="21" xfId="4" applyFont="1" applyFill="1" applyBorder="1" applyAlignment="1">
      <alignment horizontal="left" vertical="top" wrapText="1"/>
    </xf>
    <xf numFmtId="0" fontId="15" fillId="2" borderId="0" xfId="4" applyFont="1" applyFill="1" applyAlignment="1">
      <alignment horizontal="left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</cellXfs>
  <cellStyles count="6">
    <cellStyle name="Comma" xfId="5" builtinId="3"/>
    <cellStyle name="Hyperlink" xfId="2" builtinId="8"/>
    <cellStyle name="Normal" xfId="0" builtinId="0"/>
    <cellStyle name="Normal 11" xfId="3"/>
    <cellStyle name="Normal 2" xfId="4"/>
    <cellStyle name="Percent" xfId="1" builtinId="5"/>
  </cellStyles>
  <dxfs count="0"/>
  <tableStyles count="0" defaultTableStyle="TableStyleMedium2" defaultPivotStyle="PivotStyleLight16"/>
  <colors>
    <mruColors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N2O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'Emissions &amp; Yield'!$E$19:$K$19</c:f>
              <c:numCache>
                <c:formatCode>0.00</c:formatCode>
                <c:ptCount val="7"/>
                <c:pt idx="0">
                  <c:v>3.2149999999999999</c:v>
                </c:pt>
                <c:pt idx="1">
                  <c:v>4.9090999999999996</c:v>
                </c:pt>
                <c:pt idx="2">
                  <c:v>3.3</c:v>
                </c:pt>
                <c:pt idx="3">
                  <c:v>3.3557046979865772</c:v>
                </c:pt>
                <c:pt idx="4">
                  <c:v>2.9325513196480935</c:v>
                </c:pt>
                <c:pt idx="5">
                  <c:v>3.2467532467532467</c:v>
                </c:pt>
                <c:pt idx="6">
                  <c:v>3.0030030030030028</c:v>
                </c:pt>
              </c:numCache>
            </c:numRef>
          </c:xVal>
          <c:yVal>
            <c:numRef>
              <c:f>'Emissions &amp; Yield'!$E$8:$K$8</c:f>
              <c:numCache>
                <c:formatCode>0;0;"-"</c:formatCode>
                <c:ptCount val="7"/>
                <c:pt idx="0" formatCode="0.00E+0">
                  <c:v>1.0399999999999999E-4</c:v>
                </c:pt>
                <c:pt idx="2" formatCode="0.00E+0">
                  <c:v>4.8008640000000003E-5</c:v>
                </c:pt>
                <c:pt idx="3" formatCode="0.00E+0">
                  <c:v>4.6E-5</c:v>
                </c:pt>
                <c:pt idx="5" formatCode="0.00E+0">
                  <c:v>2.1000000000000002E-5</c:v>
                </c:pt>
                <c:pt idx="6" formatCode="0.00E+0">
                  <c:v>1.7E-5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7A-423C-B573-A7A469C9B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116719"/>
        <c:axId val="1367095919"/>
      </c:scatterChart>
      <c:valAx>
        <c:axId val="13671167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095919"/>
        <c:crosses val="autoZero"/>
        <c:crossBetween val="midCat"/>
      </c:valAx>
      <c:valAx>
        <c:axId val="1367095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1671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'Emissions &amp; Yield'!$C$19:$K$19</c:f>
              <c:numCache>
                <c:formatCode>0.00</c:formatCode>
                <c:ptCount val="9"/>
                <c:pt idx="0">
                  <c:v>3.5714285714285712</c:v>
                </c:pt>
                <c:pt idx="1">
                  <c:v>3.6231884057971011</c:v>
                </c:pt>
                <c:pt idx="2">
                  <c:v>3.2149999999999999</c:v>
                </c:pt>
                <c:pt idx="3">
                  <c:v>4.9090999999999996</c:v>
                </c:pt>
                <c:pt idx="4">
                  <c:v>3.3</c:v>
                </c:pt>
                <c:pt idx="5">
                  <c:v>3.3557046979865772</c:v>
                </c:pt>
                <c:pt idx="6">
                  <c:v>2.9325513196480935</c:v>
                </c:pt>
                <c:pt idx="7">
                  <c:v>3.2467532467532467</c:v>
                </c:pt>
                <c:pt idx="8">
                  <c:v>3.0030030030030028</c:v>
                </c:pt>
              </c:numCache>
            </c:numRef>
          </c:xVal>
          <c:yVal>
            <c:numRef>
              <c:f>'Emissions &amp; Yield'!$C$11:$K$11</c:f>
              <c:numCache>
                <c:formatCode>0.000</c:formatCode>
                <c:ptCount val="9"/>
                <c:pt idx="0">
                  <c:v>0.34599999999999997</c:v>
                </c:pt>
                <c:pt idx="1">
                  <c:v>0.25</c:v>
                </c:pt>
                <c:pt idx="2">
                  <c:v>0.28899999999999998</c:v>
                </c:pt>
                <c:pt idx="3">
                  <c:v>0.31819999999999998</c:v>
                </c:pt>
                <c:pt idx="4">
                  <c:v>0.27528154175999997</c:v>
                </c:pt>
                <c:pt idx="5">
                  <c:v>0.22600000000000001</c:v>
                </c:pt>
                <c:pt idx="6">
                  <c:v>0.32400000000000001</c:v>
                </c:pt>
                <c:pt idx="7">
                  <c:v>0.158</c:v>
                </c:pt>
                <c:pt idx="8">
                  <c:v>0.16200000000000001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6F-4EF9-A801-3209DDDDC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119215"/>
        <c:axId val="1367095087"/>
      </c:scatterChart>
      <c:valAx>
        <c:axId val="13671192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095087"/>
        <c:crosses val="autoZero"/>
        <c:crossBetween val="midCat"/>
      </c:valAx>
      <c:valAx>
        <c:axId val="1367095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1921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'Emissions &amp; Yield'!$E$10:$G$10</c:f>
              <c:numCache>
                <c:formatCode>0.000</c:formatCode>
                <c:ptCount val="3"/>
                <c:pt idx="0">
                  <c:v>2.5499999999999998E-2</c:v>
                </c:pt>
                <c:pt idx="1">
                  <c:v>3.4099999999999998E-2</c:v>
                </c:pt>
                <c:pt idx="2">
                  <c:v>9.0064208640000004E-2</c:v>
                </c:pt>
              </c:numCache>
            </c:numRef>
          </c:xVal>
          <c:yVal>
            <c:numRef>
              <c:f>'Emissions &amp; Yield'!$E$19:$G$19</c:f>
              <c:numCache>
                <c:formatCode>0.00</c:formatCode>
                <c:ptCount val="3"/>
                <c:pt idx="0">
                  <c:v>3.2149999999999999</c:v>
                </c:pt>
                <c:pt idx="1">
                  <c:v>4.9090999999999996</c:v>
                </c:pt>
                <c:pt idx="2">
                  <c:v>3.3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93-4460-80A8-5F15692AD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869167"/>
        <c:axId val="1537869999"/>
      </c:scatterChart>
      <c:valAx>
        <c:axId val="15378691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869999"/>
        <c:crosses val="autoZero"/>
        <c:crossBetween val="midCat"/>
      </c:valAx>
      <c:valAx>
        <c:axId val="1537869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8691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'Emissions &amp; Yield'!$C$19:$K$19</c:f>
              <c:numCache>
                <c:formatCode>0.00</c:formatCode>
                <c:ptCount val="9"/>
                <c:pt idx="0">
                  <c:v>3.5714285714285712</c:v>
                </c:pt>
                <c:pt idx="1">
                  <c:v>3.6231884057971011</c:v>
                </c:pt>
                <c:pt idx="2">
                  <c:v>3.2149999999999999</c:v>
                </c:pt>
                <c:pt idx="3">
                  <c:v>4.9090999999999996</c:v>
                </c:pt>
                <c:pt idx="4">
                  <c:v>3.3</c:v>
                </c:pt>
                <c:pt idx="5">
                  <c:v>3.3557046979865772</c:v>
                </c:pt>
                <c:pt idx="6">
                  <c:v>2.9325513196480935</c:v>
                </c:pt>
                <c:pt idx="7">
                  <c:v>3.2467532467532467</c:v>
                </c:pt>
                <c:pt idx="8">
                  <c:v>3.0030030030030028</c:v>
                </c:pt>
              </c:numCache>
            </c:numRef>
          </c:xVal>
          <c:yVal>
            <c:numRef>
              <c:f>'Emissions &amp; Yield'!$C$12:$K$12</c:f>
              <c:numCache>
                <c:formatCode>0.000</c:formatCode>
                <c:ptCount val="9"/>
                <c:pt idx="0">
                  <c:v>4.7700000000000006E-2</c:v>
                </c:pt>
                <c:pt idx="1">
                  <c:v>3.7999999999999999E-2</c:v>
                </c:pt>
                <c:pt idx="2">
                  <c:v>4.727E-2</c:v>
                </c:pt>
                <c:pt idx="3">
                  <c:v>4.5499999999999999E-2</c:v>
                </c:pt>
                <c:pt idx="4">
                  <c:v>3.0005399999999998E-2</c:v>
                </c:pt>
                <c:pt idx="5">
                  <c:v>2.7699999999999999E-2</c:v>
                </c:pt>
                <c:pt idx="6">
                  <c:v>4.7600000000000003E-2</c:v>
                </c:pt>
                <c:pt idx="7">
                  <c:v>2.1700000000000001E-2</c:v>
                </c:pt>
                <c:pt idx="8">
                  <c:v>3.1800000000000002E-2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13-4911-B8DB-D904D3A3D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4103679"/>
        <c:axId val="1294104511"/>
      </c:scatterChart>
      <c:valAx>
        <c:axId val="1294103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104511"/>
        <c:crosses val="autoZero"/>
        <c:crossBetween val="midCat"/>
      </c:valAx>
      <c:valAx>
        <c:axId val="1294104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1036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NMVOCs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593791573988902E-2"/>
          <c:y val="0.17634259259259263"/>
          <c:w val="0.89356229135902965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'Emissions &amp; Yield'!$C$19:$K$19</c:f>
              <c:numCache>
                <c:formatCode>0.00</c:formatCode>
                <c:ptCount val="9"/>
                <c:pt idx="0">
                  <c:v>3.5714285714285712</c:v>
                </c:pt>
                <c:pt idx="1">
                  <c:v>3.6231884057971011</c:v>
                </c:pt>
                <c:pt idx="2">
                  <c:v>3.2149999999999999</c:v>
                </c:pt>
                <c:pt idx="3">
                  <c:v>4.9090999999999996</c:v>
                </c:pt>
                <c:pt idx="4">
                  <c:v>3.3</c:v>
                </c:pt>
                <c:pt idx="5">
                  <c:v>3.3557046979865772</c:v>
                </c:pt>
                <c:pt idx="6">
                  <c:v>2.9325513196480935</c:v>
                </c:pt>
                <c:pt idx="7">
                  <c:v>3.2467532467532467</c:v>
                </c:pt>
                <c:pt idx="8">
                  <c:v>3.0030030030030028</c:v>
                </c:pt>
              </c:numCache>
            </c:numRef>
          </c:xVal>
          <c:yVal>
            <c:numRef>
              <c:f>'Emissions &amp; Yield'!$C$13:$K$13</c:f>
              <c:numCache>
                <c:formatCode>0.00E+0</c:formatCode>
                <c:ptCount val="9"/>
                <c:pt idx="0" formatCode="0.000">
                  <c:v>5.9900000000000002E-2</c:v>
                </c:pt>
                <c:pt idx="1">
                  <c:v>8.5500000000000003E-3</c:v>
                </c:pt>
                <c:pt idx="2" formatCode="0.000">
                  <c:v>9.2600000000000002E-2</c:v>
                </c:pt>
                <c:pt idx="3" formatCode="0.000">
                  <c:v>9.0899999999999995E-2</c:v>
                </c:pt>
                <c:pt idx="4" formatCode="0.000">
                  <c:v>1.2530255039999999E-2</c:v>
                </c:pt>
                <c:pt idx="5" formatCode="0.000">
                  <c:v>9.5299999999999996E-2</c:v>
                </c:pt>
                <c:pt idx="6" formatCode="0.000">
                  <c:v>8.0909999999999996E-2</c:v>
                </c:pt>
                <c:pt idx="7" formatCode="0.000">
                  <c:v>1.9899999999999998E-2</c:v>
                </c:pt>
                <c:pt idx="8" formatCode="0.000">
                  <c:v>2.9700000000000001E-2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44-41B0-8C64-FB3C488DA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137935"/>
        <c:axId val="1367127119"/>
      </c:scatterChart>
      <c:valAx>
        <c:axId val="13671379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27119"/>
        <c:crosses val="autoZero"/>
        <c:crossBetween val="midCat"/>
      </c:valAx>
      <c:valAx>
        <c:axId val="1367127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379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'Emissions &amp; Yield'!$C$19:$K$19</c:f>
              <c:numCache>
                <c:formatCode>0.00</c:formatCode>
                <c:ptCount val="9"/>
                <c:pt idx="0">
                  <c:v>3.5714285714285712</c:v>
                </c:pt>
                <c:pt idx="1">
                  <c:v>3.6231884057971011</c:v>
                </c:pt>
                <c:pt idx="2">
                  <c:v>3.2149999999999999</c:v>
                </c:pt>
                <c:pt idx="3">
                  <c:v>4.9090999999999996</c:v>
                </c:pt>
                <c:pt idx="4">
                  <c:v>3.3</c:v>
                </c:pt>
                <c:pt idx="5">
                  <c:v>3.3557046979865772</c:v>
                </c:pt>
                <c:pt idx="6">
                  <c:v>2.9325513196480935</c:v>
                </c:pt>
                <c:pt idx="7">
                  <c:v>3.2467532467532467</c:v>
                </c:pt>
                <c:pt idx="8">
                  <c:v>3.0030030030030028</c:v>
                </c:pt>
              </c:numCache>
            </c:numRef>
          </c:xVal>
          <c:yVal>
            <c:numRef>
              <c:f>'Emissions &amp; Yield'!$C$9:$K$9</c:f>
              <c:numCache>
                <c:formatCode>0.00E+0</c:formatCode>
                <c:ptCount val="9"/>
                <c:pt idx="0">
                  <c:v>4.4999999999999999E-4</c:v>
                </c:pt>
                <c:pt idx="1">
                  <c:v>1.4999999999999999E-4</c:v>
                </c:pt>
                <c:pt idx="2">
                  <c:v>3.4E-5</c:v>
                </c:pt>
                <c:pt idx="3">
                  <c:v>3.9999999999999996E-4</c:v>
                </c:pt>
                <c:pt idx="4">
                  <c:v>3.8406911999999993E-5</c:v>
                </c:pt>
                <c:pt idx="6">
                  <c:v>2.8E-5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49-4130-A3EB-7796269C7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7142927"/>
        <c:axId val="1367122127"/>
      </c:scatterChart>
      <c:valAx>
        <c:axId val="1367142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22127"/>
        <c:crosses val="autoZero"/>
        <c:crossBetween val="midCat"/>
      </c:valAx>
      <c:valAx>
        <c:axId val="1367122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71429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3337627753523069"/>
                  <c:y val="-9.181503353747448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('Emissions &amp; Yield'!$C$19:$E$19,'Emissions &amp; Yield'!$G$19:$K$19)</c:f>
              <c:numCache>
                <c:formatCode>0.00</c:formatCode>
                <c:ptCount val="8"/>
                <c:pt idx="0">
                  <c:v>3.5714285714285712</c:v>
                </c:pt>
                <c:pt idx="1">
                  <c:v>3.6231884057971011</c:v>
                </c:pt>
                <c:pt idx="2">
                  <c:v>3.2149999999999999</c:v>
                </c:pt>
                <c:pt idx="3">
                  <c:v>3.3</c:v>
                </c:pt>
                <c:pt idx="4">
                  <c:v>3.3557046979865772</c:v>
                </c:pt>
                <c:pt idx="5">
                  <c:v>2.9325513196480935</c:v>
                </c:pt>
                <c:pt idx="6">
                  <c:v>3.2467532467532467</c:v>
                </c:pt>
                <c:pt idx="7">
                  <c:v>3.0030030030030028</c:v>
                </c:pt>
              </c:numCache>
            </c:numRef>
          </c:xVal>
          <c:yVal>
            <c:numRef>
              <c:f>('Emissions &amp; Yield'!$C$7:$E$7,'Emissions &amp; Yield'!$G$7:$K$7)</c:f>
              <c:numCache>
                <c:formatCode>0.00</c:formatCode>
                <c:ptCount val="8"/>
                <c:pt idx="0">
                  <c:v>1.9350000000000001</c:v>
                </c:pt>
                <c:pt idx="1">
                  <c:v>1.571</c:v>
                </c:pt>
                <c:pt idx="2">
                  <c:v>1.331</c:v>
                </c:pt>
                <c:pt idx="3">
                  <c:v>1.253025504</c:v>
                </c:pt>
                <c:pt idx="4">
                  <c:v>1.1399999999999999</c:v>
                </c:pt>
                <c:pt idx="5">
                  <c:v>1.3819999999999999</c:v>
                </c:pt>
                <c:pt idx="6">
                  <c:v>1.2350000000000001</c:v>
                </c:pt>
                <c:pt idx="7" formatCode="0.000">
                  <c:v>0.96599999999999997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1E-4CCF-B93F-E485FBF89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620432"/>
        <c:axId val="339626256"/>
      </c:scatterChart>
      <c:valAx>
        <c:axId val="339620432"/>
        <c:scaling>
          <c:orientation val="minMax"/>
          <c:min val="2.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Wood to Charcoal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626256"/>
        <c:crosses val="autoZero"/>
        <c:crossBetween val="midCat"/>
      </c:valAx>
      <c:valAx>
        <c:axId val="339626256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 CO2/kg Charcoal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620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3337627753523069"/>
                  <c:y val="-9.181503353747448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('Emissions &amp; Yield'!$C$19:$E$19,'Emissions &amp; Yield'!$G$19:$K$19)</c:f>
              <c:numCache>
                <c:formatCode>0.00</c:formatCode>
                <c:ptCount val="8"/>
                <c:pt idx="0">
                  <c:v>3.5714285714285712</c:v>
                </c:pt>
                <c:pt idx="1">
                  <c:v>3.6231884057971011</c:v>
                </c:pt>
                <c:pt idx="2">
                  <c:v>3.2149999999999999</c:v>
                </c:pt>
                <c:pt idx="3">
                  <c:v>3.3</c:v>
                </c:pt>
                <c:pt idx="4">
                  <c:v>3.3557046979865772</c:v>
                </c:pt>
                <c:pt idx="5">
                  <c:v>2.9325513196480935</c:v>
                </c:pt>
                <c:pt idx="6">
                  <c:v>3.2467532467532467</c:v>
                </c:pt>
                <c:pt idx="7">
                  <c:v>3.0030030030030028</c:v>
                </c:pt>
              </c:numCache>
            </c:numRef>
          </c:xVal>
          <c:yVal>
            <c:numRef>
              <c:f>('Emissions &amp; Yield'!$C$7:$E$7,'Emissions &amp; Yield'!$G$7:$K$7)</c:f>
              <c:numCache>
                <c:formatCode>0.00</c:formatCode>
                <c:ptCount val="8"/>
                <c:pt idx="0">
                  <c:v>1.9350000000000001</c:v>
                </c:pt>
                <c:pt idx="1">
                  <c:v>1.571</c:v>
                </c:pt>
                <c:pt idx="2">
                  <c:v>1.331</c:v>
                </c:pt>
                <c:pt idx="3">
                  <c:v>1.253025504</c:v>
                </c:pt>
                <c:pt idx="4">
                  <c:v>1.1399999999999999</c:v>
                </c:pt>
                <c:pt idx="5">
                  <c:v>1.3819999999999999</c:v>
                </c:pt>
                <c:pt idx="6">
                  <c:v>1.2350000000000001</c:v>
                </c:pt>
                <c:pt idx="7" formatCode="0.000">
                  <c:v>0.96599999999999997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7C-44EA-941D-CE5076BC1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620432"/>
        <c:axId val="339626256"/>
      </c:scatterChart>
      <c:valAx>
        <c:axId val="339620432"/>
        <c:scaling>
          <c:orientation val="minMax"/>
          <c:min val="2.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Wood to Charcoal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626256"/>
        <c:crosses val="autoZero"/>
        <c:crossBetween val="midCat"/>
      </c:valAx>
      <c:valAx>
        <c:axId val="339626256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 CO2/kg Charcoal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620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95250</xdr:rowOff>
    </xdr:from>
    <xdr:ext cx="1895475" cy="884263"/>
    <xdr:pic>
      <xdr:nvPicPr>
        <xdr:cNvPr id="2" name="Picture 1" descr="K:\ERG Proposals.gs.lex\EPA_ORD_STREAMS III.rs.cha\Tech proposal input for RTI prime\ERG-Quals-to-RTI_082715\ERG 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57175"/>
          <a:ext cx="1895475" cy="884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37</xdr:row>
      <xdr:rowOff>190499</xdr:rowOff>
    </xdr:from>
    <xdr:to>
      <xdr:col>11</xdr:col>
      <xdr:colOff>11905</xdr:colOff>
      <xdr:row>50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283105</xdr:colOff>
      <xdr:row>37</xdr:row>
      <xdr:rowOff>198701</xdr:rowOff>
    </xdr:from>
    <xdr:to>
      <xdr:col>14</xdr:col>
      <xdr:colOff>1071562</xdr:colOff>
      <xdr:row>50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2647</xdr:colOff>
      <xdr:row>50</xdr:row>
      <xdr:rowOff>100807</xdr:rowOff>
    </xdr:from>
    <xdr:to>
      <xdr:col>10</xdr:col>
      <xdr:colOff>1524000</xdr:colOff>
      <xdr:row>60</xdr:row>
      <xdr:rowOff>178593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297656</xdr:colOff>
      <xdr:row>50</xdr:row>
      <xdr:rowOff>80963</xdr:rowOff>
    </xdr:from>
    <xdr:to>
      <xdr:col>14</xdr:col>
      <xdr:colOff>1047750</xdr:colOff>
      <xdr:row>60</xdr:row>
      <xdr:rowOff>178593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7939</xdr:colOff>
      <xdr:row>61</xdr:row>
      <xdr:rowOff>145784</xdr:rowOff>
    </xdr:from>
    <xdr:to>
      <xdr:col>10</xdr:col>
      <xdr:colOff>1488281</xdr:colOff>
      <xdr:row>73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292365</xdr:colOff>
      <xdr:row>61</xdr:row>
      <xdr:rowOff>116683</xdr:rowOff>
    </xdr:from>
    <xdr:to>
      <xdr:col>14</xdr:col>
      <xdr:colOff>1035845</xdr:colOff>
      <xdr:row>73</xdr:row>
      <xdr:rowOff>23813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16</xdr:col>
      <xdr:colOff>50006</xdr:colOff>
      <xdr:row>43</xdr:row>
      <xdr:rowOff>57149</xdr:rowOff>
    </xdr:from>
    <xdr:to>
      <xdr:col>19</xdr:col>
      <xdr:colOff>4209065</xdr:colOff>
      <xdr:row>77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624381" y="7165180"/>
          <a:ext cx="6683184" cy="6562727"/>
        </a:xfrm>
        <a:prstGeom prst="rect">
          <a:avLst/>
        </a:prstGeom>
      </xdr:spPr>
    </xdr:pic>
    <xdr:clientData/>
  </xdr:twoCellAnchor>
  <xdr:twoCellAnchor>
    <xdr:from>
      <xdr:col>9</xdr:col>
      <xdr:colOff>635000</xdr:colOff>
      <xdr:row>74</xdr:row>
      <xdr:rowOff>69056</xdr:rowOff>
    </xdr:from>
    <xdr:to>
      <xdr:col>12</xdr:col>
      <xdr:colOff>555625</xdr:colOff>
      <xdr:row>88</xdr:row>
      <xdr:rowOff>145256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11</xdr:row>
      <xdr:rowOff>0</xdr:rowOff>
    </xdr:from>
    <xdr:to>
      <xdr:col>15</xdr:col>
      <xdr:colOff>334962</xdr:colOff>
      <xdr:row>24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84" zoomScaleNormal="84" workbookViewId="0">
      <selection activeCell="B19" sqref="B19"/>
    </sheetView>
  </sheetViews>
  <sheetFormatPr defaultColWidth="0" defaultRowHeight="15.75" zeroHeight="1" x14ac:dyDescent="0.25"/>
  <cols>
    <col min="1" max="1" width="3.42578125" style="80" customWidth="1"/>
    <col min="2" max="2" width="42.85546875" style="80" bestFit="1" customWidth="1"/>
    <col min="3" max="3" width="95" style="80" customWidth="1"/>
    <col min="4" max="4" width="9.7109375" style="80" customWidth="1"/>
    <col min="5" max="7" width="9.140625" style="80" customWidth="1"/>
    <col min="8" max="15" width="0" style="80" hidden="1" customWidth="1"/>
    <col min="16" max="16384" width="9.140625" style="80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49" t="s">
        <v>183</v>
      </c>
      <c r="C8" s="149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2:15" x14ac:dyDescent="0.25">
      <c r="B9" s="82" t="s">
        <v>184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2:15" x14ac:dyDescent="0.25">
      <c r="B10" s="79" t="s">
        <v>206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2:15" x14ac:dyDescent="0.25">
      <c r="B11" s="83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2:15" x14ac:dyDescent="0.25">
      <c r="B12" s="84" t="s">
        <v>170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2:15" ht="15.75" customHeight="1" x14ac:dyDescent="0.25">
      <c r="B13" s="147" t="s">
        <v>178</v>
      </c>
      <c r="C13" s="147"/>
      <c r="D13" s="87"/>
      <c r="E13" s="87"/>
      <c r="F13" s="87"/>
      <c r="G13" s="87"/>
      <c r="H13" s="87"/>
      <c r="I13" s="87"/>
      <c r="J13" s="87"/>
      <c r="K13" s="81"/>
      <c r="L13" s="81"/>
      <c r="M13" s="81"/>
      <c r="N13" s="81"/>
      <c r="O13" s="81"/>
    </row>
    <row r="14" spans="2:15" x14ac:dyDescent="0.25">
      <c r="B14" s="148"/>
      <c r="C14" s="148"/>
      <c r="D14" s="87"/>
      <c r="E14" s="87"/>
      <c r="F14" s="87"/>
      <c r="G14" s="87"/>
      <c r="H14" s="87"/>
      <c r="I14" s="87"/>
      <c r="J14" s="87"/>
      <c r="K14" s="81"/>
      <c r="L14" s="81"/>
      <c r="M14" s="81"/>
      <c r="N14" s="81"/>
      <c r="O14" s="81"/>
    </row>
    <row r="15" spans="2:15" x14ac:dyDescent="0.25">
      <c r="B15" s="146" t="s">
        <v>185</v>
      </c>
      <c r="C15" s="146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2:15" x14ac:dyDescent="0.25">
      <c r="B16" s="85" t="s">
        <v>171</v>
      </c>
      <c r="C16" s="85" t="s">
        <v>172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2:14" x14ac:dyDescent="0.25">
      <c r="B17" s="111" t="s">
        <v>175</v>
      </c>
      <c r="C17" s="86" t="s">
        <v>199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2:14" x14ac:dyDescent="0.25">
      <c r="B18" s="111" t="s">
        <v>176</v>
      </c>
      <c r="C18" s="86" t="s">
        <v>200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</row>
    <row r="19" spans="2:14" x14ac:dyDescent="0.25">
      <c r="B19" s="111" t="s">
        <v>177</v>
      </c>
      <c r="C19" s="86" t="s">
        <v>201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</row>
    <row r="20" spans="2:14" x14ac:dyDescent="0.25">
      <c r="B20" s="111" t="s">
        <v>173</v>
      </c>
      <c r="C20" s="86" t="s">
        <v>174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2:14" x14ac:dyDescent="0.25"/>
    <row r="22" spans="2:14" x14ac:dyDescent="0.25"/>
    <row r="23" spans="2:14" x14ac:dyDescent="0.25"/>
    <row r="24" spans="2:14" x14ac:dyDescent="0.25"/>
    <row r="25" spans="2:14" x14ac:dyDescent="0.25"/>
    <row r="26" spans="2:14" x14ac:dyDescent="0.25"/>
    <row r="27" spans="2:14" x14ac:dyDescent="0.25"/>
  </sheetData>
  <mergeCells count="3">
    <mergeCell ref="B15:C15"/>
    <mergeCell ref="B13:C14"/>
    <mergeCell ref="B8:C8"/>
  </mergeCells>
  <hyperlinks>
    <hyperlink ref="B17" location="'Emissions &amp; Yield'!A1" display="Emissions &amp; Yield"/>
    <hyperlink ref="B18" location="'Kenya Kilns'!A1" display="Kenya Kilns"/>
    <hyperlink ref="B19" location="'Ghana Kilns'!A1" display="Ghana Kilns"/>
    <hyperlink ref="B20" location="References!A1" display="Referenc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15"/>
  <sheetViews>
    <sheetView zoomScale="80" zoomScaleNormal="80" zoomScaleSheetLayoutView="30" workbookViewId="0"/>
  </sheetViews>
  <sheetFormatPr defaultColWidth="0" defaultRowHeight="15" zeroHeight="1" x14ac:dyDescent="0.25"/>
  <cols>
    <col min="1" max="1" width="13.7109375" style="18" customWidth="1"/>
    <col min="2" max="2" width="58.5703125" style="1" customWidth="1"/>
    <col min="3" max="3" width="41.85546875" style="1" bestFit="1" customWidth="1"/>
    <col min="4" max="4" width="22" style="1" bestFit="1" customWidth="1"/>
    <col min="5" max="5" width="34.85546875" style="1" bestFit="1" customWidth="1"/>
    <col min="6" max="6" width="34" style="1" bestFit="1" customWidth="1"/>
    <col min="7" max="7" width="27.5703125" style="1" bestFit="1" customWidth="1"/>
    <col min="8" max="8" width="42.28515625" style="1" customWidth="1"/>
    <col min="9" max="9" width="27.85546875" style="1" customWidth="1"/>
    <col min="10" max="12" width="23.140625" style="1" customWidth="1"/>
    <col min="13" max="13" width="14" style="1" bestFit="1" customWidth="1"/>
    <col min="14" max="14" width="23.7109375" style="1" bestFit="1" customWidth="1"/>
    <col min="15" max="15" width="30.5703125" style="1" bestFit="1" customWidth="1"/>
    <col min="16" max="16" width="16.5703125" style="1" bestFit="1" customWidth="1"/>
    <col min="17" max="18" width="13.140625" style="1" bestFit="1" customWidth="1"/>
    <col min="19" max="19" width="11.42578125" style="18" bestFit="1" customWidth="1"/>
    <col min="20" max="20" width="71.28515625" style="18" bestFit="1" customWidth="1"/>
    <col min="21" max="21" width="22.7109375" style="18" bestFit="1" customWidth="1"/>
    <col min="22" max="22" width="13" style="18" hidden="1" customWidth="1"/>
    <col min="23" max="23" width="23.5703125" style="18" hidden="1" customWidth="1"/>
    <col min="24" max="24" width="23.7109375" style="18" hidden="1" customWidth="1"/>
    <col min="25" max="25" width="15.7109375" style="18" hidden="1" customWidth="1"/>
    <col min="26" max="26" width="21.42578125" style="18" hidden="1" customWidth="1"/>
    <col min="27" max="27" width="15.7109375" style="18" hidden="1" customWidth="1"/>
    <col min="28" max="28" width="16.5703125" style="18" hidden="1" customWidth="1"/>
    <col min="29" max="29" width="17.140625" style="18" hidden="1" customWidth="1"/>
    <col min="30" max="16384" width="9.140625" style="18" hidden="1"/>
  </cols>
  <sheetData>
    <row r="1" spans="1:29" ht="18.75" x14ac:dyDescent="0.3">
      <c r="A1" s="17" t="s">
        <v>179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9" x14ac:dyDescent="0.25">
      <c r="A2" s="37" t="s">
        <v>203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29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1:29" x14ac:dyDescent="0.25">
      <c r="B4" s="26" t="s">
        <v>169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15.75" thickBot="1" x14ac:dyDescent="0.3">
      <c r="B5" s="2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29.25" x14ac:dyDescent="0.25">
      <c r="B6" s="12" t="s">
        <v>0</v>
      </c>
      <c r="C6" s="13" t="s">
        <v>123</v>
      </c>
      <c r="D6" s="13" t="s">
        <v>124</v>
      </c>
      <c r="E6" s="13" t="s">
        <v>189</v>
      </c>
      <c r="F6" s="13" t="s">
        <v>149</v>
      </c>
      <c r="G6" s="13" t="s">
        <v>145</v>
      </c>
      <c r="H6" s="13" t="s">
        <v>163</v>
      </c>
      <c r="I6" s="13" t="s">
        <v>164</v>
      </c>
      <c r="J6" s="13" t="s">
        <v>165</v>
      </c>
      <c r="K6" s="13" t="s">
        <v>166</v>
      </c>
      <c r="L6" s="13" t="s">
        <v>34</v>
      </c>
      <c r="M6" s="14" t="s">
        <v>1</v>
      </c>
      <c r="N6" s="113" t="s">
        <v>192</v>
      </c>
      <c r="O6" s="13" t="s">
        <v>72</v>
      </c>
      <c r="P6" s="14" t="s">
        <v>73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9" ht="18" x14ac:dyDescent="0.25">
      <c r="A7" s="19"/>
      <c r="B7" s="15" t="s">
        <v>115</v>
      </c>
      <c r="C7" s="74">
        <f>1935/1000</f>
        <v>1.9350000000000001</v>
      </c>
      <c r="D7" s="74">
        <f>1571/1000</f>
        <v>1.571</v>
      </c>
      <c r="E7" s="74">
        <v>1.331</v>
      </c>
      <c r="F7" s="74">
        <f>2.9545*1</f>
        <v>2.9544999999999999</v>
      </c>
      <c r="G7" s="74">
        <v>1.253025504</v>
      </c>
      <c r="H7" s="74">
        <v>1.1399999999999999</v>
      </c>
      <c r="I7" s="94">
        <v>1.3819999999999999</v>
      </c>
      <c r="J7" s="94">
        <v>1.2350000000000001</v>
      </c>
      <c r="K7" s="95">
        <v>0.96599999999999997</v>
      </c>
      <c r="L7" s="2" t="s">
        <v>7</v>
      </c>
      <c r="M7" s="3" t="s">
        <v>2</v>
      </c>
      <c r="N7" s="114" t="s">
        <v>195</v>
      </c>
      <c r="O7" s="94">
        <f>MIN(H7,G7,E7,C7)</f>
        <v>1.1399999999999999</v>
      </c>
      <c r="P7" s="107">
        <f>MAX(H7,G7,E7,C7)</f>
        <v>1.9350000000000001</v>
      </c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9" x14ac:dyDescent="0.25">
      <c r="A8" s="19"/>
      <c r="B8" s="15" t="s">
        <v>3</v>
      </c>
      <c r="C8" s="96"/>
      <c r="D8" s="96"/>
      <c r="E8" s="97">
        <v>1.0399999999999999E-4</v>
      </c>
      <c r="F8" s="96"/>
      <c r="G8" s="97">
        <v>4.8008640000000003E-5</v>
      </c>
      <c r="H8" s="97">
        <v>4.6E-5</v>
      </c>
      <c r="I8" s="98"/>
      <c r="J8" s="99">
        <v>2.1000000000000002E-5</v>
      </c>
      <c r="K8" s="99">
        <v>1.7E-5</v>
      </c>
      <c r="L8" s="2" t="s">
        <v>7</v>
      </c>
      <c r="M8" s="3" t="s">
        <v>2</v>
      </c>
      <c r="N8" s="102">
        <f>AVERAGE(H8,G8,E8,C8)</f>
        <v>6.6002880000000003E-5</v>
      </c>
      <c r="O8" s="99">
        <f t="shared" ref="O8:O15" si="0">MIN(H8,G8,E8,C8)</f>
        <v>4.6E-5</v>
      </c>
      <c r="P8" s="109">
        <f t="shared" ref="P8:P15" si="1">MAX(H8,G8,E8,C8)</f>
        <v>1.0399999999999999E-4</v>
      </c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9" x14ac:dyDescent="0.25">
      <c r="A9" s="19"/>
      <c r="B9" s="15" t="s">
        <v>4</v>
      </c>
      <c r="C9" s="97">
        <f>0.45/1000</f>
        <v>4.4999999999999999E-4</v>
      </c>
      <c r="D9" s="97">
        <f>0.15/1000</f>
        <v>1.4999999999999999E-4</v>
      </c>
      <c r="E9" s="97">
        <v>3.4E-5</v>
      </c>
      <c r="F9" s="97">
        <f>0.0003+0.0001</f>
        <v>3.9999999999999996E-4</v>
      </c>
      <c r="G9" s="97">
        <v>3.8406911999999993E-5</v>
      </c>
      <c r="H9" s="96"/>
      <c r="I9" s="99">
        <v>2.8E-5</v>
      </c>
      <c r="J9" s="98"/>
      <c r="K9" s="98"/>
      <c r="L9" s="2" t="s">
        <v>7</v>
      </c>
      <c r="M9" s="3" t="s">
        <v>2</v>
      </c>
      <c r="N9" s="102">
        <f t="shared" ref="N9:N15" si="2">AVERAGE(H9,G9,E9,C9)</f>
        <v>1.7413563733333334E-4</v>
      </c>
      <c r="O9" s="99">
        <f t="shared" si="0"/>
        <v>3.4E-5</v>
      </c>
      <c r="P9" s="109">
        <f t="shared" si="1"/>
        <v>4.4999999999999999E-4</v>
      </c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9" x14ac:dyDescent="0.25">
      <c r="A10" s="19"/>
      <c r="B10" s="15" t="s">
        <v>151</v>
      </c>
      <c r="C10" s="96"/>
      <c r="D10" s="96"/>
      <c r="E10" s="43">
        <v>2.5499999999999998E-2</v>
      </c>
      <c r="F10" s="43">
        <f>'Kenya Kilns'!U6</f>
        <v>3.4099999999999998E-2</v>
      </c>
      <c r="G10" s="43">
        <v>9.0064208640000004E-2</v>
      </c>
      <c r="H10" s="96"/>
      <c r="I10" s="98"/>
      <c r="J10" s="98"/>
      <c r="K10" s="98"/>
      <c r="L10" s="2" t="s">
        <v>7</v>
      </c>
      <c r="M10" s="3" t="s">
        <v>2</v>
      </c>
      <c r="N10" s="103">
        <f t="shared" si="2"/>
        <v>5.778210432E-2</v>
      </c>
      <c r="O10" s="95">
        <f t="shared" si="0"/>
        <v>2.5499999999999998E-2</v>
      </c>
      <c r="P10" s="108">
        <f t="shared" si="1"/>
        <v>9.0064208640000004E-2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9" x14ac:dyDescent="0.25">
      <c r="A11" s="19"/>
      <c r="B11" s="15" t="s">
        <v>117</v>
      </c>
      <c r="C11" s="43">
        <f>346/1000</f>
        <v>0.34599999999999997</v>
      </c>
      <c r="D11" s="43">
        <f>250/1000</f>
        <v>0.25</v>
      </c>
      <c r="E11" s="43">
        <v>0.28899999999999998</v>
      </c>
      <c r="F11" s="43">
        <v>0.31819999999999998</v>
      </c>
      <c r="G11" s="43">
        <v>0.27528154175999997</v>
      </c>
      <c r="H11" s="43">
        <v>0.22600000000000001</v>
      </c>
      <c r="I11" s="95">
        <v>0.32400000000000001</v>
      </c>
      <c r="J11" s="95">
        <v>0.158</v>
      </c>
      <c r="K11" s="95">
        <v>0.16200000000000001</v>
      </c>
      <c r="L11" s="2" t="s">
        <v>7</v>
      </c>
      <c r="M11" s="3" t="s">
        <v>2</v>
      </c>
      <c r="N11" s="103">
        <f t="shared" si="2"/>
        <v>0.28407038543999996</v>
      </c>
      <c r="O11" s="95">
        <f t="shared" si="0"/>
        <v>0.22600000000000001</v>
      </c>
      <c r="P11" s="108">
        <f t="shared" si="1"/>
        <v>0.34599999999999997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9" x14ac:dyDescent="0.25">
      <c r="A12" s="19"/>
      <c r="B12" s="15" t="s">
        <v>116</v>
      </c>
      <c r="C12" s="43">
        <f>47.7/1000</f>
        <v>4.7700000000000006E-2</v>
      </c>
      <c r="D12" s="43">
        <f>38/1000</f>
        <v>3.7999999999999999E-2</v>
      </c>
      <c r="E12" s="43">
        <v>4.727E-2</v>
      </c>
      <c r="F12" s="43">
        <f>0.0455*1</f>
        <v>4.5499999999999999E-2</v>
      </c>
      <c r="G12" s="43">
        <v>3.0005399999999998E-2</v>
      </c>
      <c r="H12" s="43">
        <v>2.7699999999999999E-2</v>
      </c>
      <c r="I12" s="95">
        <v>4.7600000000000003E-2</v>
      </c>
      <c r="J12" s="95">
        <v>2.1700000000000001E-2</v>
      </c>
      <c r="K12" s="95">
        <v>3.1800000000000002E-2</v>
      </c>
      <c r="L12" s="2" t="s">
        <v>7</v>
      </c>
      <c r="M12" s="3" t="s">
        <v>2</v>
      </c>
      <c r="N12" s="103">
        <f t="shared" si="2"/>
        <v>3.8168850000000004E-2</v>
      </c>
      <c r="O12" s="95">
        <f t="shared" si="0"/>
        <v>2.7699999999999999E-2</v>
      </c>
      <c r="P12" s="108">
        <f t="shared" si="1"/>
        <v>4.7700000000000006E-2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9" x14ac:dyDescent="0.25">
      <c r="A13" s="19"/>
      <c r="B13" s="15" t="s">
        <v>5</v>
      </c>
      <c r="C13" s="43">
        <f>59.9/1000</f>
        <v>5.9900000000000002E-2</v>
      </c>
      <c r="D13" s="97">
        <f>8.55/1000</f>
        <v>8.5500000000000003E-3</v>
      </c>
      <c r="E13" s="43">
        <v>9.2600000000000002E-2</v>
      </c>
      <c r="F13" s="43">
        <v>9.0899999999999995E-2</v>
      </c>
      <c r="G13" s="43">
        <v>1.2530255039999999E-2</v>
      </c>
      <c r="H13" s="43">
        <v>9.5299999999999996E-2</v>
      </c>
      <c r="I13" s="95">
        <v>8.0909999999999996E-2</v>
      </c>
      <c r="J13" s="95">
        <v>1.9899999999999998E-2</v>
      </c>
      <c r="K13" s="95">
        <v>2.9700000000000001E-2</v>
      </c>
      <c r="L13" s="2" t="s">
        <v>7</v>
      </c>
      <c r="M13" s="3" t="s">
        <v>2</v>
      </c>
      <c r="N13" s="103">
        <f>AVERAGE(H13,G13,E13)</f>
        <v>6.681008501333334E-2</v>
      </c>
      <c r="O13" s="95">
        <f t="shared" si="0"/>
        <v>1.2530255039999999E-2</v>
      </c>
      <c r="P13" s="108">
        <f t="shared" si="1"/>
        <v>9.5299999999999996E-2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9" x14ac:dyDescent="0.25">
      <c r="A14" s="19"/>
      <c r="B14" s="15" t="s">
        <v>6</v>
      </c>
      <c r="C14" s="96"/>
      <c r="D14" s="96"/>
      <c r="E14" s="74">
        <v>1</v>
      </c>
      <c r="F14" s="74">
        <v>1</v>
      </c>
      <c r="G14" s="74">
        <v>1</v>
      </c>
      <c r="H14" s="74">
        <v>1</v>
      </c>
      <c r="I14" s="94">
        <v>1</v>
      </c>
      <c r="J14" s="94">
        <v>1</v>
      </c>
      <c r="K14" s="94">
        <v>1</v>
      </c>
      <c r="L14" s="2" t="s">
        <v>7</v>
      </c>
      <c r="M14" s="3"/>
      <c r="N14" s="104">
        <f t="shared" si="2"/>
        <v>1</v>
      </c>
      <c r="O14" s="94">
        <f t="shared" si="0"/>
        <v>1</v>
      </c>
      <c r="P14" s="107">
        <f t="shared" si="1"/>
        <v>1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9" x14ac:dyDescent="0.25">
      <c r="A15" s="19"/>
      <c r="B15" s="15" t="s">
        <v>9</v>
      </c>
      <c r="C15" s="96"/>
      <c r="D15" s="96"/>
      <c r="E15" s="43">
        <v>2.7400000000000001E-2</v>
      </c>
      <c r="F15" s="43">
        <v>3.1800000000000002E-2</v>
      </c>
      <c r="G15" s="96"/>
      <c r="H15" s="96"/>
      <c r="I15" s="98"/>
      <c r="J15" s="98"/>
      <c r="K15" s="98"/>
      <c r="L15" s="2" t="s">
        <v>7</v>
      </c>
      <c r="M15" s="3"/>
      <c r="N15" s="103">
        <f t="shared" si="2"/>
        <v>2.7400000000000001E-2</v>
      </c>
      <c r="O15" s="95">
        <f t="shared" si="0"/>
        <v>2.7400000000000001E-2</v>
      </c>
      <c r="P15" s="108">
        <f t="shared" si="1"/>
        <v>2.7400000000000001E-2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9" x14ac:dyDescent="0.25">
      <c r="A16" s="19"/>
      <c r="B16" s="15" t="s">
        <v>11</v>
      </c>
      <c r="C16" s="96"/>
      <c r="D16" s="96"/>
      <c r="E16" s="96"/>
      <c r="F16" s="96"/>
      <c r="G16" s="96"/>
      <c r="H16" s="96"/>
      <c r="I16" s="98"/>
      <c r="J16" s="98"/>
      <c r="K16" s="98"/>
      <c r="L16" s="2" t="s">
        <v>7</v>
      </c>
      <c r="M16" s="3" t="s">
        <v>2</v>
      </c>
      <c r="N16" s="4"/>
      <c r="O16" s="5"/>
      <c r="P16" s="6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x14ac:dyDescent="0.25">
      <c r="A17" s="19"/>
      <c r="B17" s="15" t="s">
        <v>12</v>
      </c>
      <c r="C17" s="96"/>
      <c r="D17" s="96"/>
      <c r="E17" s="96"/>
      <c r="F17" s="96"/>
      <c r="G17" s="96"/>
      <c r="H17" s="96"/>
      <c r="I17" s="98"/>
      <c r="J17" s="98"/>
      <c r="K17" s="98"/>
      <c r="L17" s="2" t="s">
        <v>7</v>
      </c>
      <c r="M17" s="3" t="s">
        <v>2</v>
      </c>
      <c r="N17" s="4"/>
      <c r="O17" s="5"/>
      <c r="P17" s="6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x14ac:dyDescent="0.25">
      <c r="A18" s="19"/>
      <c r="B18" s="15" t="s">
        <v>13</v>
      </c>
      <c r="C18" s="96"/>
      <c r="D18" s="96"/>
      <c r="E18" s="96"/>
      <c r="F18" s="96"/>
      <c r="G18" s="96"/>
      <c r="H18" s="96"/>
      <c r="I18" s="98"/>
      <c r="J18" s="98"/>
      <c r="K18" s="98"/>
      <c r="L18" s="2" t="s">
        <v>7</v>
      </c>
      <c r="M18" s="3" t="s">
        <v>2</v>
      </c>
      <c r="N18" s="4"/>
      <c r="O18" s="5"/>
      <c r="P18" s="6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x14ac:dyDescent="0.25">
      <c r="A19" s="19"/>
      <c r="B19" s="15" t="s">
        <v>74</v>
      </c>
      <c r="C19" s="74">
        <f>1/0.28</f>
        <v>3.5714285714285712</v>
      </c>
      <c r="D19" s="74">
        <f>1/0.276</f>
        <v>3.6231884057971011</v>
      </c>
      <c r="E19" s="74">
        <v>3.2149999999999999</v>
      </c>
      <c r="F19" s="74">
        <v>4.9090999999999996</v>
      </c>
      <c r="G19" s="74">
        <v>3.3</v>
      </c>
      <c r="H19" s="74">
        <v>3.3557046979865772</v>
      </c>
      <c r="I19" s="94">
        <v>2.9325513196480935</v>
      </c>
      <c r="J19" s="94">
        <v>3.2467532467532467</v>
      </c>
      <c r="K19" s="94">
        <v>3.0030030030030028</v>
      </c>
      <c r="L19" s="2" t="s">
        <v>7</v>
      </c>
      <c r="M19" s="3" t="s">
        <v>8</v>
      </c>
      <c r="N19" s="104">
        <f t="shared" ref="N19:N32" si="3">AVERAGE($H19,$G19,$E19,$C19)</f>
        <v>3.360533317353787</v>
      </c>
      <c r="O19" s="94">
        <f>MIN($H19,$G19,$E19,$C19)</f>
        <v>3.2149999999999999</v>
      </c>
      <c r="P19" s="107">
        <f>MAX($H19,$G19,$E19,$C19)</f>
        <v>3.5714285714285712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x14ac:dyDescent="0.25">
      <c r="A20" s="19"/>
      <c r="B20" s="15" t="s">
        <v>57</v>
      </c>
      <c r="C20" s="96"/>
      <c r="D20" s="96"/>
      <c r="E20" s="96"/>
      <c r="F20" s="96"/>
      <c r="G20" s="43">
        <v>6.207517152E-2</v>
      </c>
      <c r="H20" s="43">
        <v>6.5000000000000002E-2</v>
      </c>
      <c r="I20" s="98"/>
      <c r="J20" s="95">
        <v>6.3E-2</v>
      </c>
      <c r="K20" s="95">
        <v>5.8000000000000003E-2</v>
      </c>
      <c r="L20" s="2" t="s">
        <v>7</v>
      </c>
      <c r="M20" s="3"/>
      <c r="N20" s="103">
        <f t="shared" si="3"/>
        <v>6.3537585760000001E-2</v>
      </c>
      <c r="O20" s="95">
        <f>MIN($H20,$G20,$E20,$C20)</f>
        <v>6.207517152E-2</v>
      </c>
      <c r="P20" s="108">
        <f>MAX($H20,$G20,$E20,$C20)</f>
        <v>6.5000000000000002E-2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x14ac:dyDescent="0.25">
      <c r="A21" s="19"/>
      <c r="B21" s="15" t="s">
        <v>89</v>
      </c>
      <c r="C21" s="97">
        <f>1.32/1000</f>
        <v>1.32E-3</v>
      </c>
      <c r="D21" s="97">
        <f>0.3/1000</f>
        <v>2.9999999999999997E-4</v>
      </c>
      <c r="E21" s="96"/>
      <c r="F21" s="96"/>
      <c r="G21" s="96"/>
      <c r="H21" s="96"/>
      <c r="I21" s="98"/>
      <c r="J21" s="98"/>
      <c r="K21" s="98"/>
      <c r="L21" s="2" t="s">
        <v>7</v>
      </c>
      <c r="M21" s="3"/>
      <c r="N21" s="102">
        <f t="shared" si="3"/>
        <v>1.32E-3</v>
      </c>
      <c r="O21" s="7"/>
      <c r="P21" s="8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x14ac:dyDescent="0.25">
      <c r="A22" s="19"/>
      <c r="B22" s="15" t="s">
        <v>90</v>
      </c>
      <c r="C22" s="97">
        <f>3.8/1000</f>
        <v>3.8E-3</v>
      </c>
      <c r="D22" s="96"/>
      <c r="E22" s="96"/>
      <c r="F22" s="96"/>
      <c r="G22" s="96"/>
      <c r="H22" s="96"/>
      <c r="I22" s="98"/>
      <c r="J22" s="98"/>
      <c r="K22" s="98"/>
      <c r="L22" s="2" t="s">
        <v>7</v>
      </c>
      <c r="M22" s="3"/>
      <c r="N22" s="102">
        <f t="shared" si="3"/>
        <v>3.8E-3</v>
      </c>
      <c r="O22" s="7"/>
      <c r="P22" s="8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x14ac:dyDescent="0.25">
      <c r="B23" s="15" t="s">
        <v>76</v>
      </c>
      <c r="C23" s="43">
        <f>12.2/1000</f>
        <v>1.2199999999999999E-2</v>
      </c>
      <c r="D23" s="96"/>
      <c r="E23" s="96"/>
      <c r="F23" s="96"/>
      <c r="G23" s="96"/>
      <c r="H23" s="96"/>
      <c r="I23" s="98"/>
      <c r="J23" s="98"/>
      <c r="K23" s="98"/>
      <c r="L23" s="2" t="s">
        <v>7</v>
      </c>
      <c r="M23" s="3"/>
      <c r="N23" s="103">
        <f t="shared" si="3"/>
        <v>1.2199999999999999E-2</v>
      </c>
      <c r="O23" s="7"/>
      <c r="P23" s="8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x14ac:dyDescent="0.25">
      <c r="B24" s="15" t="s">
        <v>75</v>
      </c>
      <c r="C24" s="97">
        <f>0.45/1000</f>
        <v>4.4999999999999999E-4</v>
      </c>
      <c r="D24" s="96"/>
      <c r="E24" s="96"/>
      <c r="F24" s="96"/>
      <c r="G24" s="96"/>
      <c r="H24" s="96"/>
      <c r="I24" s="98"/>
      <c r="J24" s="98"/>
      <c r="K24" s="98"/>
      <c r="L24" s="2" t="s">
        <v>7</v>
      </c>
      <c r="M24" s="3"/>
      <c r="N24" s="102">
        <f t="shared" si="3"/>
        <v>4.4999999999999999E-4</v>
      </c>
      <c r="O24" s="7"/>
      <c r="P24" s="8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x14ac:dyDescent="0.25">
      <c r="B25" s="15" t="s">
        <v>77</v>
      </c>
      <c r="C25" s="97">
        <f>4.66/1000</f>
        <v>4.6600000000000001E-3</v>
      </c>
      <c r="D25" s="96"/>
      <c r="E25" s="96"/>
      <c r="F25" s="96"/>
      <c r="G25" s="96"/>
      <c r="H25" s="96"/>
      <c r="I25" s="98"/>
      <c r="J25" s="98"/>
      <c r="K25" s="98"/>
      <c r="L25" s="2" t="s">
        <v>7</v>
      </c>
      <c r="M25" s="3"/>
      <c r="N25" s="102">
        <f t="shared" si="3"/>
        <v>4.6600000000000001E-3</v>
      </c>
      <c r="O25" s="7"/>
      <c r="P25" s="8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x14ac:dyDescent="0.25">
      <c r="B26" s="15" t="s">
        <v>78</v>
      </c>
      <c r="C26" s="97">
        <f>5.35/1000</f>
        <v>5.3499999999999997E-3</v>
      </c>
      <c r="D26" s="96"/>
      <c r="E26" s="96"/>
      <c r="F26" s="96"/>
      <c r="G26" s="96"/>
      <c r="H26" s="96"/>
      <c r="I26" s="98"/>
      <c r="J26" s="98"/>
      <c r="K26" s="98"/>
      <c r="L26" s="2" t="s">
        <v>7</v>
      </c>
      <c r="M26" s="3"/>
      <c r="N26" s="102">
        <f t="shared" si="3"/>
        <v>5.3499999999999997E-3</v>
      </c>
      <c r="O26" s="7"/>
      <c r="P26" s="8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x14ac:dyDescent="0.25">
      <c r="B27" s="15" t="s">
        <v>79</v>
      </c>
      <c r="C27" s="43">
        <f>31.9/1000</f>
        <v>3.1899999999999998E-2</v>
      </c>
      <c r="D27" s="97">
        <f>3.43/1000</f>
        <v>3.4300000000000003E-3</v>
      </c>
      <c r="E27" s="96"/>
      <c r="F27" s="96"/>
      <c r="G27" s="96"/>
      <c r="H27" s="96"/>
      <c r="I27" s="98"/>
      <c r="J27" s="98"/>
      <c r="K27" s="98"/>
      <c r="L27" s="2" t="s">
        <v>7</v>
      </c>
      <c r="M27" s="3"/>
      <c r="N27" s="103">
        <f t="shared" si="3"/>
        <v>3.1899999999999998E-2</v>
      </c>
      <c r="O27" s="7"/>
      <c r="P27" s="8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x14ac:dyDescent="0.25">
      <c r="B28" s="15" t="s">
        <v>80</v>
      </c>
      <c r="C28" s="43">
        <f>43.8/1000</f>
        <v>4.3799999999999999E-2</v>
      </c>
      <c r="D28" s="96"/>
      <c r="E28" s="96"/>
      <c r="F28" s="96"/>
      <c r="G28" s="96"/>
      <c r="H28" s="96"/>
      <c r="I28" s="98"/>
      <c r="J28" s="98"/>
      <c r="K28" s="98"/>
      <c r="L28" s="2" t="s">
        <v>7</v>
      </c>
      <c r="M28" s="3"/>
      <c r="N28" s="103">
        <f t="shared" si="3"/>
        <v>4.3799999999999999E-2</v>
      </c>
      <c r="O28" s="7"/>
      <c r="P28" s="8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x14ac:dyDescent="0.25">
      <c r="B29" s="15" t="s">
        <v>91</v>
      </c>
      <c r="C29" s="97">
        <f>1.62/1000</f>
        <v>1.6200000000000001E-3</v>
      </c>
      <c r="D29" s="97">
        <f>0.16/1000</f>
        <v>1.6000000000000001E-4</v>
      </c>
      <c r="E29" s="96"/>
      <c r="F29" s="96"/>
      <c r="G29" s="96"/>
      <c r="H29" s="96"/>
      <c r="I29" s="98"/>
      <c r="J29" s="98"/>
      <c r="K29" s="98"/>
      <c r="L29" s="2" t="s">
        <v>7</v>
      </c>
      <c r="M29" s="3"/>
      <c r="N29" s="102">
        <f t="shared" si="3"/>
        <v>1.6200000000000001E-3</v>
      </c>
      <c r="O29" s="7"/>
      <c r="P29" s="8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x14ac:dyDescent="0.25">
      <c r="B30" s="15" t="s">
        <v>92</v>
      </c>
      <c r="C30" s="97">
        <f>9.83/1000</f>
        <v>9.8300000000000002E-3</v>
      </c>
      <c r="D30" s="96"/>
      <c r="E30" s="96"/>
      <c r="F30" s="96"/>
      <c r="G30" s="96"/>
      <c r="H30" s="96"/>
      <c r="I30" s="98"/>
      <c r="J30" s="98"/>
      <c r="K30" s="98"/>
      <c r="L30" s="2" t="s">
        <v>7</v>
      </c>
      <c r="M30" s="3"/>
      <c r="N30" s="102">
        <f t="shared" si="3"/>
        <v>9.8300000000000002E-3</v>
      </c>
      <c r="O30" s="7"/>
      <c r="P30" s="8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x14ac:dyDescent="0.25">
      <c r="B31" s="15" t="s">
        <v>93</v>
      </c>
      <c r="C31" s="97">
        <f>4.11/1000</f>
        <v>4.1099999999999999E-3</v>
      </c>
      <c r="D31" s="96"/>
      <c r="E31" s="96"/>
      <c r="F31" s="96"/>
      <c r="G31" s="96"/>
      <c r="H31" s="96"/>
      <c r="I31" s="98"/>
      <c r="J31" s="98"/>
      <c r="K31" s="98"/>
      <c r="L31" s="2" t="s">
        <v>7</v>
      </c>
      <c r="M31" s="3"/>
      <c r="N31" s="102">
        <f t="shared" si="3"/>
        <v>4.1099999999999999E-3</v>
      </c>
      <c r="O31" s="7"/>
      <c r="P31" s="8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thickBot="1" x14ac:dyDescent="0.3">
      <c r="B32" s="16" t="s">
        <v>71</v>
      </c>
      <c r="C32" s="100">
        <f t="shared" ref="C32:K32" si="4">1/C19</f>
        <v>0.28000000000000003</v>
      </c>
      <c r="D32" s="100">
        <f t="shared" si="4"/>
        <v>0.27600000000000002</v>
      </c>
      <c r="E32" s="100">
        <f t="shared" si="4"/>
        <v>0.31104199066874028</v>
      </c>
      <c r="F32" s="100">
        <f t="shared" si="4"/>
        <v>0.20370332647532136</v>
      </c>
      <c r="G32" s="100">
        <f t="shared" si="4"/>
        <v>0.30303030303030304</v>
      </c>
      <c r="H32" s="100">
        <f t="shared" si="4"/>
        <v>0.29799999999999999</v>
      </c>
      <c r="I32" s="101">
        <f t="shared" si="4"/>
        <v>0.34100000000000003</v>
      </c>
      <c r="J32" s="101">
        <f t="shared" si="4"/>
        <v>0.308</v>
      </c>
      <c r="K32" s="101">
        <f t="shared" si="4"/>
        <v>0.33300000000000002</v>
      </c>
      <c r="L32" s="9" t="s">
        <v>202</v>
      </c>
      <c r="M32" s="10"/>
      <c r="N32" s="105">
        <f t="shared" si="3"/>
        <v>0.29801807342476083</v>
      </c>
      <c r="O32" s="101">
        <f>MIN($H32,$G32,$E32,$C32)</f>
        <v>0.28000000000000003</v>
      </c>
      <c r="P32" s="106">
        <f>MAX($H32,$G32,$E32,$C32)</f>
        <v>0.31104199066874028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2:29" ht="18" x14ac:dyDescent="0.25">
      <c r="B33" s="25" t="s">
        <v>191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4"/>
      <c r="R33" s="24"/>
      <c r="S33" s="24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2:29" ht="18" x14ac:dyDescent="0.25">
      <c r="B34" s="63" t="s">
        <v>190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4"/>
      <c r="R34" s="24"/>
      <c r="S34" s="24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2:29" ht="18" x14ac:dyDescent="0.25">
      <c r="B35" s="112" t="s">
        <v>193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4"/>
      <c r="R35" s="24"/>
      <c r="S35" s="24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2:29" ht="18" x14ac:dyDescent="0.25">
      <c r="B36" s="112" t="s">
        <v>194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4"/>
      <c r="R36" s="24"/>
      <c r="S36" s="24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2:29" ht="18" x14ac:dyDescent="0.25">
      <c r="B37" s="112" t="s">
        <v>196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4"/>
      <c r="R37" s="24"/>
      <c r="S37" s="24"/>
      <c r="T37" s="19"/>
      <c r="U37" s="19"/>
      <c r="V37" s="19"/>
      <c r="W37" s="19"/>
      <c r="X37" s="19"/>
      <c r="Y37" s="19"/>
      <c r="Z37" s="19"/>
      <c r="AA37" s="19"/>
      <c r="AB37" s="19"/>
      <c r="AC37" s="19"/>
    </row>
    <row r="38" spans="2:29" x14ac:dyDescent="0.25">
      <c r="B38" s="18"/>
      <c r="C38" s="18"/>
      <c r="D38" s="18"/>
      <c r="E38" s="18"/>
      <c r="F38" s="18"/>
      <c r="G38" s="18"/>
      <c r="H38" s="18"/>
      <c r="I38" s="26" t="s">
        <v>188</v>
      </c>
      <c r="J38" s="18"/>
      <c r="K38" s="18"/>
      <c r="L38" s="18"/>
      <c r="M38" s="18"/>
      <c r="N38" s="18"/>
      <c r="O38" s="18"/>
      <c r="P38" s="18"/>
      <c r="Q38" s="18"/>
      <c r="R38" s="18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2:29" ht="15.75" thickBot="1" x14ac:dyDescent="0.3">
      <c r="B39" s="26" t="s">
        <v>167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2:29" x14ac:dyDescent="0.25">
      <c r="B40" s="12" t="s">
        <v>19</v>
      </c>
      <c r="C40" s="13" t="s">
        <v>52</v>
      </c>
      <c r="D40" s="13" t="s">
        <v>168</v>
      </c>
      <c r="E40" s="13" t="s">
        <v>20</v>
      </c>
      <c r="F40" s="13" t="s">
        <v>37</v>
      </c>
      <c r="G40" s="14" t="s">
        <v>21</v>
      </c>
      <c r="H40" s="20"/>
      <c r="I40" s="20"/>
      <c r="J40" s="20"/>
      <c r="K40" s="20"/>
      <c r="L40" s="20"/>
      <c r="M40" s="18"/>
      <c r="N40" s="18"/>
      <c r="O40" s="18"/>
      <c r="P40" s="18"/>
      <c r="Q40" s="18"/>
      <c r="R40" s="18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2:29" x14ac:dyDescent="0.25">
      <c r="B41" s="15" t="s">
        <v>15</v>
      </c>
      <c r="C41" s="94">
        <v>3.3559999999999999</v>
      </c>
      <c r="D41" s="69">
        <f>1/C41</f>
        <v>0.29797377830750893</v>
      </c>
      <c r="E41" s="2" t="s">
        <v>22</v>
      </c>
      <c r="F41" s="2"/>
      <c r="G41" s="3" t="s">
        <v>25</v>
      </c>
      <c r="H41" s="18"/>
      <c r="I41" s="18"/>
      <c r="J41" s="18"/>
      <c r="K41" s="18"/>
      <c r="L41" s="18"/>
      <c r="M41" s="18"/>
      <c r="N41" s="18"/>
      <c r="O41" s="18"/>
      <c r="P41" s="21"/>
      <c r="Q41" s="18"/>
      <c r="R41" s="18"/>
    </row>
    <row r="42" spans="2:29" x14ac:dyDescent="0.25">
      <c r="B42" s="15" t="s">
        <v>16</v>
      </c>
      <c r="C42" s="94">
        <v>3.3</v>
      </c>
      <c r="D42" s="69">
        <f t="shared" ref="D42:D60" si="5">1/C42</f>
        <v>0.30303030303030304</v>
      </c>
      <c r="E42" s="2" t="s">
        <v>22</v>
      </c>
      <c r="F42" s="2"/>
      <c r="G42" s="3" t="s">
        <v>23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2:29" x14ac:dyDescent="0.25">
      <c r="B43" s="15" t="s">
        <v>18</v>
      </c>
      <c r="C43" s="94">
        <v>3.2149999999999999</v>
      </c>
      <c r="D43" s="69">
        <f t="shared" si="5"/>
        <v>0.31104199066874028</v>
      </c>
      <c r="E43" s="2" t="s">
        <v>22</v>
      </c>
      <c r="F43" s="2"/>
      <c r="G43" s="3" t="s">
        <v>24</v>
      </c>
      <c r="H43" s="18"/>
      <c r="I43" s="18"/>
      <c r="J43" s="18"/>
      <c r="K43" s="18"/>
      <c r="L43" s="18"/>
      <c r="M43" s="18"/>
      <c r="N43" s="18"/>
      <c r="O43" s="18"/>
      <c r="P43" s="21"/>
      <c r="Q43" s="22" t="s">
        <v>58</v>
      </c>
      <c r="R43" s="18"/>
    </row>
    <row r="44" spans="2:29" x14ac:dyDescent="0.25">
      <c r="B44" s="15" t="s">
        <v>26</v>
      </c>
      <c r="C44" s="94">
        <v>2.9329999999999998</v>
      </c>
      <c r="D44" s="69">
        <f t="shared" si="5"/>
        <v>0.34094783498124787</v>
      </c>
      <c r="E44" s="2" t="s">
        <v>28</v>
      </c>
      <c r="F44" s="2"/>
      <c r="G44" s="3" t="s">
        <v>24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2:29" x14ac:dyDescent="0.25">
      <c r="B45" s="15" t="s">
        <v>26</v>
      </c>
      <c r="C45" s="94">
        <v>3.484</v>
      </c>
      <c r="D45" s="69">
        <f t="shared" si="5"/>
        <v>0.28702640642939148</v>
      </c>
      <c r="E45" s="2" t="s">
        <v>27</v>
      </c>
      <c r="F45" s="2"/>
      <c r="G45" s="3" t="s">
        <v>24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2:29" x14ac:dyDescent="0.25">
      <c r="B46" s="15" t="s">
        <v>26</v>
      </c>
      <c r="C46" s="94">
        <v>2.7469999999999999</v>
      </c>
      <c r="D46" s="69">
        <f t="shared" si="5"/>
        <v>0.36403349108117949</v>
      </c>
      <c r="E46" s="2" t="s">
        <v>29</v>
      </c>
      <c r="F46" s="2"/>
      <c r="G46" s="3" t="s">
        <v>24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2:29" x14ac:dyDescent="0.25">
      <c r="B47" s="15" t="s">
        <v>15</v>
      </c>
      <c r="C47" s="94">
        <v>3.0030000000000001</v>
      </c>
      <c r="D47" s="69">
        <f t="shared" si="5"/>
        <v>0.33300033300033299</v>
      </c>
      <c r="E47" s="2" t="s">
        <v>30</v>
      </c>
      <c r="F47" s="2"/>
      <c r="G47" s="3" t="s">
        <v>25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2:29" x14ac:dyDescent="0.25">
      <c r="B48" s="15" t="s">
        <v>15</v>
      </c>
      <c r="C48" s="94">
        <v>3.2469999999999999</v>
      </c>
      <c r="D48" s="69">
        <f t="shared" si="5"/>
        <v>0.30797659377887282</v>
      </c>
      <c r="E48" s="2" t="s">
        <v>31</v>
      </c>
      <c r="F48" s="2"/>
      <c r="G48" s="3" t="s">
        <v>25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2:18" x14ac:dyDescent="0.25">
      <c r="B49" s="15" t="s">
        <v>15</v>
      </c>
      <c r="C49" s="94">
        <v>3.4009999999999998</v>
      </c>
      <c r="D49" s="69">
        <f t="shared" si="5"/>
        <v>0.29403116730373419</v>
      </c>
      <c r="E49" s="2" t="s">
        <v>32</v>
      </c>
      <c r="F49" s="2"/>
      <c r="G49" s="3" t="s">
        <v>25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2:18" x14ac:dyDescent="0.25">
      <c r="B50" s="15" t="s">
        <v>17</v>
      </c>
      <c r="C50" s="94">
        <v>4.9090999999999996</v>
      </c>
      <c r="D50" s="69">
        <f t="shared" si="5"/>
        <v>0.20370332647532136</v>
      </c>
      <c r="E50" s="2" t="s">
        <v>22</v>
      </c>
      <c r="F50" s="2"/>
      <c r="G50" s="3" t="s">
        <v>33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2:18" ht="15.75" x14ac:dyDescent="0.25">
      <c r="B51" s="15" t="s">
        <v>14</v>
      </c>
      <c r="C51" s="94">
        <f>1/0.287</f>
        <v>3.4843205574912894</v>
      </c>
      <c r="D51" s="69">
        <f t="shared" si="5"/>
        <v>0.28699999999999998</v>
      </c>
      <c r="E51" s="2" t="s">
        <v>38</v>
      </c>
      <c r="F51" s="2" t="s">
        <v>42</v>
      </c>
      <c r="G51" s="11" t="s">
        <v>39</v>
      </c>
      <c r="H51" s="23"/>
      <c r="I51" s="23"/>
      <c r="J51" s="23"/>
      <c r="K51" s="23"/>
      <c r="L51" s="23"/>
      <c r="M51" s="18"/>
      <c r="N51" s="18"/>
      <c r="O51" s="18"/>
      <c r="P51" s="18"/>
      <c r="Q51" s="18"/>
      <c r="R51" s="18"/>
    </row>
    <row r="52" spans="2:18" ht="15.75" x14ac:dyDescent="0.25">
      <c r="B52" s="15" t="s">
        <v>14</v>
      </c>
      <c r="C52" s="94">
        <f>1/0.156</f>
        <v>6.4102564102564106</v>
      </c>
      <c r="D52" s="69">
        <f t="shared" si="5"/>
        <v>0.156</v>
      </c>
      <c r="E52" s="2" t="s">
        <v>41</v>
      </c>
      <c r="F52" s="2" t="s">
        <v>43</v>
      </c>
      <c r="G52" s="11" t="s">
        <v>39</v>
      </c>
      <c r="H52" s="23"/>
      <c r="I52" s="23"/>
      <c r="J52" s="23"/>
      <c r="K52" s="23"/>
      <c r="L52" s="23"/>
      <c r="M52" s="18"/>
      <c r="N52" s="18"/>
      <c r="O52" s="18"/>
      <c r="P52" s="18"/>
      <c r="Q52" s="18"/>
      <c r="R52" s="18"/>
    </row>
    <row r="53" spans="2:18" ht="15.75" x14ac:dyDescent="0.25">
      <c r="B53" s="15" t="s">
        <v>14</v>
      </c>
      <c r="C53" s="94">
        <f>1/0.294</f>
        <v>3.4013605442176873</v>
      </c>
      <c r="D53" s="69">
        <f t="shared" si="5"/>
        <v>0.29399999999999998</v>
      </c>
      <c r="E53" s="2" t="s">
        <v>38</v>
      </c>
      <c r="F53" s="2" t="s">
        <v>44</v>
      </c>
      <c r="G53" s="11" t="s">
        <v>39</v>
      </c>
      <c r="H53" s="23"/>
      <c r="I53" s="23"/>
      <c r="J53" s="23"/>
      <c r="K53" s="23"/>
      <c r="L53" s="23"/>
      <c r="M53" s="18"/>
      <c r="N53" s="18"/>
      <c r="O53" s="18"/>
      <c r="P53" s="18"/>
      <c r="Q53" s="18"/>
      <c r="R53" s="18"/>
    </row>
    <row r="54" spans="2:18" ht="15.75" x14ac:dyDescent="0.25">
      <c r="B54" s="15" t="s">
        <v>14</v>
      </c>
      <c r="C54" s="94">
        <f>1/0.152</f>
        <v>6.5789473684210531</v>
      </c>
      <c r="D54" s="69">
        <f t="shared" si="5"/>
        <v>0.152</v>
      </c>
      <c r="E54" s="2" t="s">
        <v>41</v>
      </c>
      <c r="F54" s="2" t="s">
        <v>45</v>
      </c>
      <c r="G54" s="11" t="s">
        <v>39</v>
      </c>
      <c r="H54" s="23"/>
      <c r="I54" s="23"/>
      <c r="J54" s="23"/>
      <c r="K54" s="23"/>
      <c r="L54" s="23"/>
      <c r="M54" s="18"/>
      <c r="N54" s="18"/>
      <c r="O54" s="18"/>
      <c r="P54" s="18"/>
      <c r="Q54" s="18"/>
      <c r="R54" s="18"/>
    </row>
    <row r="55" spans="2:18" ht="15.75" x14ac:dyDescent="0.25">
      <c r="B55" s="15" t="s">
        <v>14</v>
      </c>
      <c r="C55" s="94">
        <f>1/0.305</f>
        <v>3.278688524590164</v>
      </c>
      <c r="D55" s="69">
        <f t="shared" si="5"/>
        <v>0.30499999999999999</v>
      </c>
      <c r="E55" s="2" t="s">
        <v>38</v>
      </c>
      <c r="F55" s="2" t="s">
        <v>46</v>
      </c>
      <c r="G55" s="11" t="s">
        <v>39</v>
      </c>
      <c r="H55" s="23"/>
      <c r="I55" s="23"/>
      <c r="J55" s="23"/>
      <c r="K55" s="23"/>
      <c r="L55" s="23"/>
      <c r="M55" s="18"/>
      <c r="N55" s="18"/>
      <c r="O55" s="18"/>
      <c r="P55" s="18"/>
      <c r="Q55" s="18"/>
      <c r="R55" s="18"/>
    </row>
    <row r="56" spans="2:18" ht="15.75" x14ac:dyDescent="0.25">
      <c r="B56" s="15" t="s">
        <v>14</v>
      </c>
      <c r="C56" s="94">
        <f>1/0.162</f>
        <v>6.1728395061728394</v>
      </c>
      <c r="D56" s="69">
        <f t="shared" si="5"/>
        <v>0.16200000000000001</v>
      </c>
      <c r="E56" s="2" t="s">
        <v>41</v>
      </c>
      <c r="F56" s="2" t="s">
        <v>47</v>
      </c>
      <c r="G56" s="11" t="s">
        <v>39</v>
      </c>
      <c r="H56" s="23"/>
      <c r="I56" s="23"/>
      <c r="J56" s="23"/>
      <c r="K56" s="23"/>
      <c r="L56" s="23"/>
      <c r="M56" s="18"/>
      <c r="N56" s="18"/>
      <c r="O56" s="18"/>
      <c r="P56" s="18"/>
      <c r="Q56" s="18"/>
      <c r="R56" s="18"/>
    </row>
    <row r="57" spans="2:18" ht="15.75" x14ac:dyDescent="0.25">
      <c r="B57" s="15" t="s">
        <v>14</v>
      </c>
      <c r="C57" s="94">
        <f>1/0.301</f>
        <v>3.3222591362126246</v>
      </c>
      <c r="D57" s="69">
        <f t="shared" si="5"/>
        <v>0.30099999999999999</v>
      </c>
      <c r="E57" s="2" t="s">
        <v>38</v>
      </c>
      <c r="F57" s="2" t="s">
        <v>48</v>
      </c>
      <c r="G57" s="11" t="s">
        <v>39</v>
      </c>
      <c r="H57" s="23"/>
      <c r="I57" s="23"/>
      <c r="J57" s="23"/>
      <c r="K57" s="23"/>
      <c r="L57" s="23"/>
      <c r="M57" s="18"/>
      <c r="N57" s="18"/>
      <c r="O57" s="18"/>
      <c r="P57" s="18"/>
      <c r="Q57" s="18"/>
      <c r="R57" s="18"/>
    </row>
    <row r="58" spans="2:18" ht="15.75" x14ac:dyDescent="0.25">
      <c r="B58" s="15" t="s">
        <v>14</v>
      </c>
      <c r="C58" s="94">
        <f>1/0.157</f>
        <v>6.369426751592357</v>
      </c>
      <c r="D58" s="69">
        <f t="shared" si="5"/>
        <v>0.157</v>
      </c>
      <c r="E58" s="2" t="s">
        <v>41</v>
      </c>
      <c r="F58" s="2" t="s">
        <v>49</v>
      </c>
      <c r="G58" s="11" t="s">
        <v>39</v>
      </c>
      <c r="H58" s="23"/>
      <c r="I58" s="23"/>
      <c r="J58" s="23"/>
      <c r="K58" s="23"/>
      <c r="L58" s="23"/>
      <c r="M58" s="18"/>
      <c r="N58" s="18"/>
      <c r="O58" s="18"/>
      <c r="P58" s="18"/>
      <c r="Q58" s="18"/>
      <c r="R58" s="18"/>
    </row>
    <row r="59" spans="2:18" ht="15.75" x14ac:dyDescent="0.25">
      <c r="B59" s="15" t="s">
        <v>14</v>
      </c>
      <c r="C59" s="94">
        <f>1/0.298</f>
        <v>3.3557046979865772</v>
      </c>
      <c r="D59" s="69">
        <f t="shared" si="5"/>
        <v>0.29799999999999999</v>
      </c>
      <c r="E59" s="2" t="s">
        <v>38</v>
      </c>
      <c r="F59" s="2" t="s">
        <v>50</v>
      </c>
      <c r="G59" s="11" t="s">
        <v>39</v>
      </c>
      <c r="H59" s="23"/>
      <c r="I59" s="23"/>
      <c r="J59" s="23"/>
      <c r="K59" s="23"/>
      <c r="L59" s="23"/>
      <c r="M59" s="18"/>
      <c r="N59" s="18"/>
      <c r="O59" s="18"/>
      <c r="P59" s="18"/>
      <c r="Q59" s="18"/>
      <c r="R59" s="18"/>
    </row>
    <row r="60" spans="2:18" ht="15.75" x14ac:dyDescent="0.25">
      <c r="B60" s="15" t="s">
        <v>14</v>
      </c>
      <c r="C60" s="94">
        <f>1/0.153</f>
        <v>6.5359477124183005</v>
      </c>
      <c r="D60" s="69">
        <f t="shared" si="5"/>
        <v>0.153</v>
      </c>
      <c r="E60" s="2" t="s">
        <v>41</v>
      </c>
      <c r="F60" s="2" t="s">
        <v>51</v>
      </c>
      <c r="G60" s="11" t="s">
        <v>39</v>
      </c>
      <c r="H60" s="23"/>
      <c r="I60" s="23"/>
      <c r="J60" s="23"/>
      <c r="K60" s="23"/>
      <c r="L60" s="23"/>
      <c r="M60" s="18"/>
      <c r="N60" s="18"/>
      <c r="O60" s="18"/>
      <c r="P60" s="18"/>
      <c r="Q60" s="18"/>
      <c r="R60" s="18"/>
    </row>
    <row r="61" spans="2:18" x14ac:dyDescent="0.25">
      <c r="B61" s="15" t="s">
        <v>18</v>
      </c>
      <c r="C61" s="94">
        <f>1/0.226</f>
        <v>4.4247787610619467</v>
      </c>
      <c r="D61" s="69">
        <f>1/C61</f>
        <v>0.22600000000000001</v>
      </c>
      <c r="E61" s="2" t="s">
        <v>22</v>
      </c>
      <c r="F61" s="2" t="s">
        <v>40</v>
      </c>
      <c r="G61" s="3" t="s">
        <v>24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2:18" x14ac:dyDescent="0.25">
      <c r="B62" s="15" t="s">
        <v>18</v>
      </c>
      <c r="C62" s="94">
        <f>1/0.216</f>
        <v>4.6296296296296298</v>
      </c>
      <c r="D62" s="69">
        <f t="shared" ref="D62:D65" si="6">1/C62</f>
        <v>0.216</v>
      </c>
      <c r="E62" s="2" t="s">
        <v>22</v>
      </c>
      <c r="F62" s="2" t="s">
        <v>54</v>
      </c>
      <c r="G62" s="3" t="s">
        <v>24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2:18" x14ac:dyDescent="0.25">
      <c r="B63" s="15" t="s">
        <v>18</v>
      </c>
      <c r="C63" s="94">
        <f>1/0.28</f>
        <v>3.5714285714285712</v>
      </c>
      <c r="D63" s="69">
        <f t="shared" si="6"/>
        <v>0.28000000000000003</v>
      </c>
      <c r="E63" s="2" t="s">
        <v>22</v>
      </c>
      <c r="F63" s="2" t="s">
        <v>55</v>
      </c>
      <c r="G63" s="3" t="s">
        <v>24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2:18" x14ac:dyDescent="0.25">
      <c r="B64" s="15" t="s">
        <v>18</v>
      </c>
      <c r="C64" s="94">
        <f>1/0.311</f>
        <v>3.215434083601286</v>
      </c>
      <c r="D64" s="69">
        <f t="shared" si="6"/>
        <v>0.311</v>
      </c>
      <c r="E64" s="2" t="s">
        <v>22</v>
      </c>
      <c r="F64" s="2" t="s">
        <v>53</v>
      </c>
      <c r="G64" s="3" t="s">
        <v>24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2:18" ht="15.75" thickBot="1" x14ac:dyDescent="0.3">
      <c r="B65" s="16" t="s">
        <v>18</v>
      </c>
      <c r="C65" s="110">
        <f>1/0.342</f>
        <v>2.9239766081871341</v>
      </c>
      <c r="D65" s="70">
        <f t="shared" si="6"/>
        <v>0.34200000000000003</v>
      </c>
      <c r="E65" s="9" t="s">
        <v>22</v>
      </c>
      <c r="F65" s="9" t="s">
        <v>56</v>
      </c>
      <c r="G65" s="10" t="s">
        <v>24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2:18" ht="15.75" thickBot="1" x14ac:dyDescent="0.3">
      <c r="B66" s="18"/>
      <c r="C66" s="72" t="s">
        <v>59</v>
      </c>
      <c r="D66" s="71">
        <f>AVERAGE(D51,D53,D55,D57,D59)</f>
        <v>0.29699999999999999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2:18" x14ac:dyDescent="0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2:18" x14ac:dyDescent="0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2:18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2:18" x14ac:dyDescent="0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2:18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2:18" x14ac:dyDescent="0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2:18" x14ac:dyDescent="0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2:18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2:18" x14ac:dyDescent="0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2:18" x14ac:dyDescent="0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2:18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2:18" x14ac:dyDescent="0.2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2:18" x14ac:dyDescent="0.2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2:18" x14ac:dyDescent="0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2:18" x14ac:dyDescent="0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2:18" x14ac:dyDescent="0.2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2:18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2:18" x14ac:dyDescent="0.2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2:18" x14ac:dyDescent="0.2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2:18" x14ac:dyDescent="0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2:18" x14ac:dyDescent="0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2:18" x14ac:dyDescent="0.2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2:18" x14ac:dyDescent="0.2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2:18" x14ac:dyDescent="0.2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2:18" x14ac:dyDescent="0.2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2:18" x14ac:dyDescent="0.2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2:18" x14ac:dyDescent="0.2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2:18" x14ac:dyDescent="0.2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2:18" x14ac:dyDescent="0.2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2:18" x14ac:dyDescent="0.2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2:18" x14ac:dyDescent="0.2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2:18" x14ac:dyDescent="0.2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2:18" x14ac:dyDescent="0.2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2:18" x14ac:dyDescent="0.2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2:18" x14ac:dyDescent="0.2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2:18" x14ac:dyDescent="0.2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2:18" x14ac:dyDescent="0.2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2:18" x14ac:dyDescent="0.2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2:18" x14ac:dyDescent="0.2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2:18" x14ac:dyDescent="0.2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2:18" x14ac:dyDescent="0.2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2:18" x14ac:dyDescent="0.2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2:18" x14ac:dyDescent="0.2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</row>
    <row r="110" spans="2:18" x14ac:dyDescent="0.2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</row>
    <row r="111" spans="2:18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</row>
    <row r="112" spans="2:18" x14ac:dyDescent="0.2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2:18" x14ac:dyDescent="0.2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2:18" x14ac:dyDescent="0.25"/>
    <row r="115" spans="2:18" x14ac:dyDescent="0.25"/>
  </sheetData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90" zoomScaleNormal="90" workbookViewId="0">
      <selection activeCell="A2" sqref="A2"/>
    </sheetView>
  </sheetViews>
  <sheetFormatPr defaultColWidth="0" defaultRowHeight="15" zeroHeight="1" x14ac:dyDescent="0.25"/>
  <cols>
    <col min="1" max="1" width="9.140625" style="18" customWidth="1"/>
    <col min="2" max="2" width="25" style="18" customWidth="1"/>
    <col min="3" max="3" width="56" style="18" bestFit="1" customWidth="1"/>
    <col min="4" max="4" width="9.140625" style="18" customWidth="1"/>
    <col min="5" max="5" width="21.42578125" style="18" bestFit="1" customWidth="1"/>
    <col min="6" max="8" width="21.42578125" style="18" customWidth="1"/>
    <col min="9" max="9" width="23.28515625" style="18" bestFit="1" customWidth="1"/>
    <col min="10" max="10" width="22.7109375" style="18" bestFit="1" customWidth="1"/>
    <col min="11" max="11" width="58.42578125" style="18" bestFit="1" customWidth="1"/>
    <col min="12" max="12" width="30.5703125" style="18" bestFit="1" customWidth="1"/>
    <col min="13" max="13" width="23.85546875" style="18" bestFit="1" customWidth="1"/>
    <col min="14" max="14" width="7" style="18" customWidth="1"/>
    <col min="15" max="15" width="7.140625" style="18" bestFit="1" customWidth="1"/>
    <col min="16" max="16" width="8.140625" style="18" bestFit="1" customWidth="1"/>
    <col min="17" max="17" width="10.7109375" style="18" bestFit="1" customWidth="1"/>
    <col min="18" max="18" width="12.28515625" style="18" bestFit="1" customWidth="1"/>
    <col min="19" max="19" width="14.7109375" style="18" bestFit="1" customWidth="1"/>
    <col min="20" max="20" width="11.140625" style="18" bestFit="1" customWidth="1"/>
    <col min="21" max="21" width="8.140625" style="18" bestFit="1" customWidth="1"/>
    <col min="22" max="22" width="6.85546875" style="18" bestFit="1" customWidth="1"/>
    <col min="23" max="23" width="15.5703125" style="18" bestFit="1" customWidth="1"/>
    <col min="24" max="25" width="9.140625" style="18" customWidth="1"/>
    <col min="26" max="16384" width="9.140625" style="18" hidden="1"/>
  </cols>
  <sheetData>
    <row r="1" spans="1:24" x14ac:dyDescent="0.25">
      <c r="A1" s="41" t="s">
        <v>132</v>
      </c>
      <c r="B1" s="41"/>
    </row>
    <row r="2" spans="1:24" ht="15.75" thickBot="1" x14ac:dyDescent="0.3">
      <c r="A2" s="42" t="s">
        <v>204</v>
      </c>
      <c r="B2" s="42"/>
    </row>
    <row r="3" spans="1:24" ht="15.75" thickBot="1" x14ac:dyDescent="0.3">
      <c r="N3" s="45" t="s">
        <v>138</v>
      </c>
      <c r="O3" s="46"/>
      <c r="P3" s="46"/>
      <c r="Q3" s="46"/>
      <c r="R3" s="46"/>
      <c r="S3" s="46"/>
      <c r="T3" s="46"/>
      <c r="U3" s="46"/>
      <c r="V3" s="46"/>
      <c r="W3" s="65"/>
      <c r="X3" s="66"/>
    </row>
    <row r="4" spans="1:24" s="26" customFormat="1" ht="16.5" x14ac:dyDescent="0.2">
      <c r="C4" s="12" t="s">
        <v>19</v>
      </c>
      <c r="D4" s="13" t="s">
        <v>94</v>
      </c>
      <c r="E4" s="13" t="s">
        <v>95</v>
      </c>
      <c r="F4" s="13" t="s">
        <v>100</v>
      </c>
      <c r="G4" s="13" t="s">
        <v>101</v>
      </c>
      <c r="H4" s="13" t="s">
        <v>98</v>
      </c>
      <c r="I4" s="13" t="s">
        <v>96</v>
      </c>
      <c r="J4" s="13" t="s">
        <v>97</v>
      </c>
      <c r="K4" s="13" t="s">
        <v>134</v>
      </c>
      <c r="L4" s="13" t="s">
        <v>99</v>
      </c>
      <c r="M4" s="13" t="s">
        <v>135</v>
      </c>
      <c r="N4" s="44" t="s">
        <v>68</v>
      </c>
      <c r="O4" s="44" t="s">
        <v>103</v>
      </c>
      <c r="P4" s="44" t="s">
        <v>104</v>
      </c>
      <c r="Q4" s="44" t="s">
        <v>105</v>
      </c>
      <c r="R4" s="44" t="s">
        <v>106</v>
      </c>
      <c r="S4" s="44" t="s">
        <v>107</v>
      </c>
      <c r="T4" s="44" t="s">
        <v>108</v>
      </c>
      <c r="U4" s="44" t="s">
        <v>109</v>
      </c>
      <c r="V4" s="44" t="s">
        <v>110</v>
      </c>
      <c r="W4" s="13" t="s">
        <v>111</v>
      </c>
      <c r="X4" s="14" t="s">
        <v>148</v>
      </c>
    </row>
    <row r="5" spans="1:24" ht="18" x14ac:dyDescent="0.25">
      <c r="C5" s="15" t="s">
        <v>142</v>
      </c>
      <c r="D5" s="27" t="s">
        <v>40</v>
      </c>
      <c r="E5" s="121">
        <v>782</v>
      </c>
      <c r="F5" s="122">
        <f>E5/(1-G5)</f>
        <v>1303.3333333333335</v>
      </c>
      <c r="G5" s="43">
        <v>0.4</v>
      </c>
      <c r="H5" s="123">
        <v>15.12</v>
      </c>
      <c r="I5" s="121">
        <v>186</v>
      </c>
      <c r="J5" s="121">
        <f>0.95*I5</f>
        <v>176.7</v>
      </c>
      <c r="K5" s="28">
        <f>J5/E5</f>
        <v>0.22595907928388745</v>
      </c>
      <c r="L5" s="129">
        <v>30.68</v>
      </c>
      <c r="M5" s="29">
        <f>(J5*L5)/(E5*H5)</f>
        <v>0.45849368733000445</v>
      </c>
      <c r="N5" s="132">
        <f>D23/1000</f>
        <v>1.992</v>
      </c>
      <c r="O5" s="133">
        <f t="shared" ref="O5:W5" si="0">E23/1000</f>
        <v>0.20699999999999999</v>
      </c>
      <c r="P5" s="133">
        <f t="shared" si="0"/>
        <v>3.5200000000000002E-2</v>
      </c>
      <c r="Q5" s="133">
        <f t="shared" si="0"/>
        <v>9.0299999999999991E-2</v>
      </c>
      <c r="R5" s="136">
        <f t="shared" si="0"/>
        <v>5.8E-5</v>
      </c>
      <c r="S5" s="136">
        <f t="shared" si="0"/>
        <v>8.7000000000000001E-5</v>
      </c>
      <c r="T5" s="136">
        <f t="shared" si="0"/>
        <v>1.1999999999999999E-4</v>
      </c>
      <c r="U5" s="133">
        <f t="shared" si="0"/>
        <v>4.1200000000000001E-2</v>
      </c>
      <c r="V5" s="133">
        <f t="shared" si="0"/>
        <v>0.373</v>
      </c>
      <c r="W5" s="132">
        <f t="shared" si="0"/>
        <v>2.3650000000000002</v>
      </c>
      <c r="X5" s="139"/>
    </row>
    <row r="6" spans="1:24" ht="18" x14ac:dyDescent="0.25">
      <c r="C6" s="15" t="s">
        <v>142</v>
      </c>
      <c r="D6" s="27" t="s">
        <v>54</v>
      </c>
      <c r="E6" s="121">
        <v>350</v>
      </c>
      <c r="F6" s="121">
        <f t="shared" ref="F6:F9" si="1">E6/(1-G6)</f>
        <v>566.34304207119737</v>
      </c>
      <c r="G6" s="43">
        <v>0.38200000000000001</v>
      </c>
      <c r="H6" s="123">
        <v>19.100000000000001</v>
      </c>
      <c r="I6" s="124">
        <v>79.5</v>
      </c>
      <c r="J6" s="124">
        <f t="shared" ref="J6:J9" si="2">0.95*I6</f>
        <v>75.524999999999991</v>
      </c>
      <c r="K6" s="28">
        <f t="shared" ref="K6:K9" si="3">J6/E6</f>
        <v>0.21578571428571428</v>
      </c>
      <c r="L6" s="129">
        <v>30.02</v>
      </c>
      <c r="M6" s="29">
        <f t="shared" ref="M6:M9" si="4">(J6*L6)/(E6*H6)</f>
        <v>0.33915639491398647</v>
      </c>
      <c r="N6" s="132">
        <f t="shared" ref="N6:N9" si="5">D24/1000</f>
        <v>3.0270000000000001</v>
      </c>
      <c r="O6" s="133">
        <f t="shared" ref="O6:W6" si="6">E24/1000</f>
        <v>0.33300000000000002</v>
      </c>
      <c r="P6" s="133">
        <f t="shared" si="6"/>
        <v>4.6200000000000005E-2</v>
      </c>
      <c r="Q6" s="133">
        <f t="shared" si="6"/>
        <v>9.4900000000000012E-2</v>
      </c>
      <c r="R6" s="136">
        <f t="shared" si="6"/>
        <v>5.5000000000000002E-5</v>
      </c>
      <c r="S6" s="136">
        <f t="shared" si="6"/>
        <v>1.3000000000000002E-4</v>
      </c>
      <c r="T6" s="136">
        <f t="shared" si="6"/>
        <v>2.9999999999999997E-4</v>
      </c>
      <c r="U6" s="133">
        <f t="shared" si="6"/>
        <v>3.4099999999999998E-2</v>
      </c>
      <c r="V6" s="133">
        <f t="shared" si="6"/>
        <v>0.50800000000000001</v>
      </c>
      <c r="W6" s="132">
        <f t="shared" si="6"/>
        <v>3.5350000000000001</v>
      </c>
      <c r="X6" s="139"/>
    </row>
    <row r="7" spans="1:24" x14ac:dyDescent="0.25">
      <c r="C7" s="15" t="s">
        <v>18</v>
      </c>
      <c r="D7" s="27" t="s">
        <v>55</v>
      </c>
      <c r="E7" s="122">
        <v>25250</v>
      </c>
      <c r="F7" s="122">
        <f t="shared" si="1"/>
        <v>30717.761557177611</v>
      </c>
      <c r="G7" s="43">
        <v>0.17799999999999999</v>
      </c>
      <c r="H7" s="123">
        <v>18.55</v>
      </c>
      <c r="I7" s="122">
        <v>7452</v>
      </c>
      <c r="J7" s="122">
        <f t="shared" si="2"/>
        <v>7079.4</v>
      </c>
      <c r="K7" s="28">
        <f t="shared" si="3"/>
        <v>0.28037227722772273</v>
      </c>
      <c r="L7" s="129">
        <v>31.11</v>
      </c>
      <c r="M7" s="29">
        <f t="shared" si="4"/>
        <v>0.47020924768487626</v>
      </c>
      <c r="N7" s="74">
        <f t="shared" si="5"/>
        <v>1.7869999999999999</v>
      </c>
      <c r="O7" s="43">
        <f t="shared" ref="O7:Q9" si="7">E25/1000</f>
        <v>0.24</v>
      </c>
      <c r="P7" s="43">
        <f t="shared" si="7"/>
        <v>4.7899999999999998E-2</v>
      </c>
      <c r="Q7" s="43">
        <f t="shared" si="7"/>
        <v>9.3799999999999994E-2</v>
      </c>
      <c r="R7" s="27" t="s">
        <v>102</v>
      </c>
      <c r="S7" s="97">
        <f t="shared" ref="S7:W9" si="8">I25/1000</f>
        <v>3.5000000000000004E-5</v>
      </c>
      <c r="T7" s="97">
        <f t="shared" si="8"/>
        <v>1.6000000000000001E-4</v>
      </c>
      <c r="U7" s="43">
        <f t="shared" si="8"/>
        <v>2.5000000000000001E-2</v>
      </c>
      <c r="V7" s="133">
        <f t="shared" si="8"/>
        <v>0.40600000000000003</v>
      </c>
      <c r="W7" s="132">
        <f t="shared" si="8"/>
        <v>2.1930000000000001</v>
      </c>
      <c r="X7" s="139"/>
    </row>
    <row r="8" spans="1:24" x14ac:dyDescent="0.25">
      <c r="C8" s="15" t="s">
        <v>18</v>
      </c>
      <c r="D8" s="27" t="s">
        <v>53</v>
      </c>
      <c r="E8" s="122">
        <v>16080</v>
      </c>
      <c r="F8" s="122">
        <f t="shared" si="1"/>
        <v>19562.043795620437</v>
      </c>
      <c r="G8" s="43">
        <v>0.17799999999999999</v>
      </c>
      <c r="H8" s="123">
        <v>18.55</v>
      </c>
      <c r="I8" s="122">
        <v>5267</v>
      </c>
      <c r="J8" s="122">
        <f t="shared" si="2"/>
        <v>5003.6499999999996</v>
      </c>
      <c r="K8" s="28">
        <f t="shared" si="3"/>
        <v>0.31117226368159201</v>
      </c>
      <c r="L8" s="129">
        <v>31.11</v>
      </c>
      <c r="M8" s="29">
        <f t="shared" si="4"/>
        <v>0.5218635645894516</v>
      </c>
      <c r="N8" s="74">
        <f t="shared" si="5"/>
        <v>1.147</v>
      </c>
      <c r="O8" s="43">
        <f t="shared" si="7"/>
        <v>0.19500000000000001</v>
      </c>
      <c r="P8" s="43">
        <f t="shared" si="7"/>
        <v>6.1700000000000005E-2</v>
      </c>
      <c r="Q8" s="43">
        <f t="shared" si="7"/>
        <v>0.124</v>
      </c>
      <c r="R8" s="27" t="s">
        <v>102</v>
      </c>
      <c r="S8" s="97">
        <f t="shared" si="8"/>
        <v>4.4999999999999996E-5</v>
      </c>
      <c r="T8" s="97">
        <f t="shared" si="8"/>
        <v>8.4000000000000009E-5</v>
      </c>
      <c r="U8" s="43">
        <f t="shared" si="8"/>
        <v>3.8700000000000005E-2</v>
      </c>
      <c r="V8" s="133">
        <f t="shared" si="8"/>
        <v>0.42</v>
      </c>
      <c r="W8" s="132">
        <f t="shared" si="8"/>
        <v>1.5669999999999999</v>
      </c>
      <c r="X8" s="139"/>
    </row>
    <row r="9" spans="1:24" ht="15.75" thickBot="1" x14ac:dyDescent="0.3">
      <c r="C9" s="16" t="s">
        <v>18</v>
      </c>
      <c r="D9" s="30" t="s">
        <v>56</v>
      </c>
      <c r="E9" s="125">
        <v>14600</v>
      </c>
      <c r="F9" s="125">
        <f t="shared" si="1"/>
        <v>17761.55717761557</v>
      </c>
      <c r="G9" s="100">
        <v>0.17799999999999999</v>
      </c>
      <c r="H9" s="126">
        <v>18.55</v>
      </c>
      <c r="I9" s="125">
        <v>5258</v>
      </c>
      <c r="J9" s="125">
        <f t="shared" si="2"/>
        <v>4995.0999999999995</v>
      </c>
      <c r="K9" s="31">
        <f t="shared" si="3"/>
        <v>0.34213013698630135</v>
      </c>
      <c r="L9" s="130">
        <v>31.11</v>
      </c>
      <c r="M9" s="32">
        <f t="shared" si="4"/>
        <v>0.57378267178672959</v>
      </c>
      <c r="N9" s="75">
        <f t="shared" si="5"/>
        <v>1.0580000000000001</v>
      </c>
      <c r="O9" s="100">
        <f t="shared" si="7"/>
        <v>0.14299999999999999</v>
      </c>
      <c r="P9" s="100">
        <f t="shared" si="7"/>
        <v>3.2199999999999999E-2</v>
      </c>
      <c r="Q9" s="100">
        <f t="shared" si="7"/>
        <v>6.0100000000000001E-2</v>
      </c>
      <c r="R9" s="30" t="s">
        <v>102</v>
      </c>
      <c r="S9" s="138">
        <f t="shared" si="8"/>
        <v>2.1000000000000002E-5</v>
      </c>
      <c r="T9" s="138">
        <f t="shared" si="8"/>
        <v>6.7999999999999999E-5</v>
      </c>
      <c r="U9" s="100">
        <f t="shared" si="8"/>
        <v>1.2800000000000001E-2</v>
      </c>
      <c r="V9" s="142">
        <f t="shared" si="8"/>
        <v>0.248</v>
      </c>
      <c r="W9" s="143">
        <f t="shared" si="8"/>
        <v>1.306</v>
      </c>
      <c r="X9" s="140"/>
    </row>
    <row r="10" spans="1:24" x14ac:dyDescent="0.25">
      <c r="B10" s="150" t="s">
        <v>147</v>
      </c>
      <c r="C10" s="38" t="s">
        <v>65</v>
      </c>
      <c r="D10" s="33"/>
      <c r="E10" s="33"/>
      <c r="F10" s="33"/>
      <c r="G10" s="33"/>
      <c r="H10" s="127">
        <f>AVERAGE(H5:H9)</f>
        <v>17.973999999999997</v>
      </c>
      <c r="I10" s="33"/>
      <c r="J10" s="33"/>
      <c r="K10" s="64">
        <f>AVERAGE(K5:K6)</f>
        <v>0.22087239678480086</v>
      </c>
      <c r="L10" s="131">
        <f t="shared" ref="L10:W10" si="9">AVERAGE(L5:L6)</f>
        <v>30.35</v>
      </c>
      <c r="M10" s="34">
        <f t="shared" si="9"/>
        <v>0.39882504112199546</v>
      </c>
      <c r="N10" s="134">
        <f t="shared" si="9"/>
        <v>2.5095000000000001</v>
      </c>
      <c r="O10" s="135">
        <f t="shared" si="9"/>
        <v>0.27</v>
      </c>
      <c r="P10" s="135">
        <f t="shared" si="9"/>
        <v>4.07E-2</v>
      </c>
      <c r="Q10" s="135">
        <f t="shared" si="9"/>
        <v>9.2600000000000002E-2</v>
      </c>
      <c r="R10" s="137">
        <f t="shared" si="9"/>
        <v>5.6500000000000005E-5</v>
      </c>
      <c r="S10" s="137">
        <f t="shared" si="9"/>
        <v>1.0850000000000001E-4</v>
      </c>
      <c r="T10" s="137">
        <f t="shared" si="9"/>
        <v>2.0999999999999998E-4</v>
      </c>
      <c r="U10" s="135">
        <f t="shared" si="9"/>
        <v>3.7650000000000003E-2</v>
      </c>
      <c r="V10" s="144">
        <f t="shared" si="9"/>
        <v>0.4405</v>
      </c>
      <c r="W10" s="145">
        <f t="shared" si="9"/>
        <v>2.95</v>
      </c>
      <c r="X10" s="141">
        <f>'Emissions &amp; Yield'!E15</f>
        <v>2.7400000000000001E-2</v>
      </c>
    </row>
    <row r="11" spans="1:24" ht="17.25" x14ac:dyDescent="0.25">
      <c r="B11" s="151"/>
      <c r="C11" s="39" t="s">
        <v>141</v>
      </c>
      <c r="D11" s="27"/>
      <c r="E11" s="27"/>
      <c r="F11" s="27"/>
      <c r="G11" s="27"/>
      <c r="H11" s="123">
        <f>MIN(H5:H9)</f>
        <v>15.12</v>
      </c>
      <c r="I11" s="27"/>
      <c r="J11" s="27"/>
      <c r="K11" s="28">
        <f>MIN(K5:K6)</f>
        <v>0.21578571428571428</v>
      </c>
      <c r="L11" s="129">
        <f t="shared" ref="L11:W11" si="10">MIN(L5:L6)</f>
        <v>30.02</v>
      </c>
      <c r="M11" s="29">
        <f t="shared" si="10"/>
        <v>0.33915639491398647</v>
      </c>
      <c r="N11" s="74">
        <f t="shared" si="10"/>
        <v>1.992</v>
      </c>
      <c r="O11" s="43">
        <f t="shared" si="10"/>
        <v>0.20699999999999999</v>
      </c>
      <c r="P11" s="43">
        <f t="shared" si="10"/>
        <v>3.5200000000000002E-2</v>
      </c>
      <c r="Q11" s="43">
        <f t="shared" si="10"/>
        <v>9.0299999999999991E-2</v>
      </c>
      <c r="R11" s="97">
        <f t="shared" si="10"/>
        <v>5.5000000000000002E-5</v>
      </c>
      <c r="S11" s="97">
        <f t="shared" si="10"/>
        <v>8.7000000000000001E-5</v>
      </c>
      <c r="T11" s="97">
        <f t="shared" si="10"/>
        <v>1.1999999999999999E-4</v>
      </c>
      <c r="U11" s="43">
        <f t="shared" si="10"/>
        <v>3.4099999999999998E-2</v>
      </c>
      <c r="V11" s="133">
        <f t="shared" si="10"/>
        <v>0.373</v>
      </c>
      <c r="W11" s="132">
        <f t="shared" si="10"/>
        <v>2.3650000000000002</v>
      </c>
      <c r="X11" s="139"/>
    </row>
    <row r="12" spans="1:24" ht="15.75" thickBot="1" x14ac:dyDescent="0.3">
      <c r="B12" s="152"/>
      <c r="C12" s="40" t="s">
        <v>73</v>
      </c>
      <c r="D12" s="30"/>
      <c r="E12" s="30"/>
      <c r="F12" s="30"/>
      <c r="G12" s="30"/>
      <c r="H12" s="126">
        <f>MAX(H5:H9)</f>
        <v>19.100000000000001</v>
      </c>
      <c r="I12" s="30"/>
      <c r="J12" s="30"/>
      <c r="K12" s="31">
        <f>MAX(K5:K6)</f>
        <v>0.22595907928388745</v>
      </c>
      <c r="L12" s="130">
        <f t="shared" ref="L12:W12" si="11">MAX(L5:L6)</f>
        <v>30.68</v>
      </c>
      <c r="M12" s="32">
        <f t="shared" si="11"/>
        <v>0.45849368733000445</v>
      </c>
      <c r="N12" s="75">
        <f t="shared" si="11"/>
        <v>3.0270000000000001</v>
      </c>
      <c r="O12" s="100">
        <f t="shared" si="11"/>
        <v>0.33300000000000002</v>
      </c>
      <c r="P12" s="100">
        <f t="shared" si="11"/>
        <v>4.6200000000000005E-2</v>
      </c>
      <c r="Q12" s="100">
        <f t="shared" si="11"/>
        <v>9.4900000000000012E-2</v>
      </c>
      <c r="R12" s="138">
        <f t="shared" si="11"/>
        <v>5.8E-5</v>
      </c>
      <c r="S12" s="138">
        <f t="shared" si="11"/>
        <v>1.3000000000000002E-4</v>
      </c>
      <c r="T12" s="138">
        <f t="shared" si="11"/>
        <v>2.9999999999999997E-4</v>
      </c>
      <c r="U12" s="100">
        <f t="shared" si="11"/>
        <v>4.1200000000000001E-2</v>
      </c>
      <c r="V12" s="142">
        <f t="shared" si="11"/>
        <v>0.50800000000000001</v>
      </c>
      <c r="W12" s="143">
        <f t="shared" si="11"/>
        <v>3.5350000000000001</v>
      </c>
      <c r="X12" s="140"/>
    </row>
    <row r="13" spans="1:24" x14ac:dyDescent="0.25">
      <c r="B13" s="150" t="s">
        <v>146</v>
      </c>
      <c r="C13" s="38" t="s">
        <v>65</v>
      </c>
      <c r="D13" s="33"/>
      <c r="E13" s="33"/>
      <c r="F13" s="33"/>
      <c r="G13" s="33"/>
      <c r="H13" s="127">
        <f>AVERAGE(H7:H9)</f>
        <v>18.55</v>
      </c>
      <c r="I13" s="33"/>
      <c r="J13" s="33"/>
      <c r="K13" s="34">
        <f>AVERAGE(K5:K11)</f>
        <v>0.25886822607653331</v>
      </c>
      <c r="L13" s="127">
        <f t="shared" ref="L13:M13" si="12">AVERAGE(L5:L9)</f>
        <v>30.806000000000001</v>
      </c>
      <c r="M13" s="34">
        <f t="shared" si="12"/>
        <v>0.47270111326100961</v>
      </c>
      <c r="N13" s="134">
        <f>AVERAGE(N7:N9)</f>
        <v>1.3306666666666667</v>
      </c>
      <c r="O13" s="135">
        <f t="shared" ref="O13:W13" si="13">AVERAGE(O7:O9)</f>
        <v>0.19266666666666665</v>
      </c>
      <c r="P13" s="135">
        <f t="shared" si="13"/>
        <v>4.7266666666666672E-2</v>
      </c>
      <c r="Q13" s="135">
        <f t="shared" si="13"/>
        <v>9.2633333333333331E-2</v>
      </c>
      <c r="R13" s="62" t="s">
        <v>144</v>
      </c>
      <c r="S13" s="137">
        <f t="shared" si="13"/>
        <v>3.3666666666666661E-5</v>
      </c>
      <c r="T13" s="137">
        <f t="shared" si="13"/>
        <v>1.0399999999999999E-4</v>
      </c>
      <c r="U13" s="135">
        <f t="shared" si="13"/>
        <v>2.5500000000000005E-2</v>
      </c>
      <c r="V13" s="144">
        <f t="shared" si="13"/>
        <v>0.35800000000000004</v>
      </c>
      <c r="W13" s="145">
        <f t="shared" si="13"/>
        <v>1.6886666666666665</v>
      </c>
      <c r="X13" s="141">
        <f>'Emissions &amp; Yield'!E15</f>
        <v>2.7400000000000001E-2</v>
      </c>
    </row>
    <row r="14" spans="1:24" ht="17.25" x14ac:dyDescent="0.25">
      <c r="B14" s="151"/>
      <c r="C14" s="39" t="s">
        <v>141</v>
      </c>
      <c r="D14" s="27"/>
      <c r="E14" s="27"/>
      <c r="F14" s="27"/>
      <c r="G14" s="27"/>
      <c r="H14" s="123">
        <f>MIN(H7:H9)</f>
        <v>18.55</v>
      </c>
      <c r="I14" s="27"/>
      <c r="J14" s="27"/>
      <c r="K14" s="29">
        <f t="shared" ref="K14:M14" si="14">MIN(K7:K9)</f>
        <v>0.28037227722772273</v>
      </c>
      <c r="L14" s="123">
        <f t="shared" si="14"/>
        <v>31.11</v>
      </c>
      <c r="M14" s="29">
        <f t="shared" si="14"/>
        <v>0.47020924768487626</v>
      </c>
      <c r="N14" s="74">
        <f>MIN(N7:N9)</f>
        <v>1.0580000000000001</v>
      </c>
      <c r="O14" s="43">
        <f t="shared" ref="O14:W14" si="15">MIN(O7:O9)</f>
        <v>0.14299999999999999</v>
      </c>
      <c r="P14" s="43">
        <f t="shared" si="15"/>
        <v>3.2199999999999999E-2</v>
      </c>
      <c r="Q14" s="43">
        <f t="shared" si="15"/>
        <v>6.0100000000000001E-2</v>
      </c>
      <c r="R14" s="35" t="s">
        <v>144</v>
      </c>
      <c r="S14" s="97">
        <f t="shared" si="15"/>
        <v>2.1000000000000002E-5</v>
      </c>
      <c r="T14" s="97">
        <f t="shared" si="15"/>
        <v>6.7999999999999999E-5</v>
      </c>
      <c r="U14" s="43">
        <f t="shared" si="15"/>
        <v>1.2800000000000001E-2</v>
      </c>
      <c r="V14" s="133">
        <f t="shared" si="15"/>
        <v>0.248</v>
      </c>
      <c r="W14" s="132">
        <f t="shared" si="15"/>
        <v>1.306</v>
      </c>
      <c r="X14" s="139"/>
    </row>
    <row r="15" spans="1:24" ht="15.75" thickBot="1" x14ac:dyDescent="0.3">
      <c r="B15" s="152"/>
      <c r="C15" s="40" t="s">
        <v>73</v>
      </c>
      <c r="D15" s="30"/>
      <c r="E15" s="30"/>
      <c r="F15" s="30"/>
      <c r="G15" s="30"/>
      <c r="H15" s="126">
        <f>MAX(H7:H9)</f>
        <v>18.55</v>
      </c>
      <c r="I15" s="30"/>
      <c r="J15" s="30"/>
      <c r="K15" s="32">
        <f t="shared" ref="K15:M15" si="16">MAX(K7:K9)</f>
        <v>0.34213013698630135</v>
      </c>
      <c r="L15" s="126">
        <f t="shared" si="16"/>
        <v>31.11</v>
      </c>
      <c r="M15" s="32">
        <f t="shared" si="16"/>
        <v>0.57378267178672959</v>
      </c>
      <c r="N15" s="75">
        <f>MAX(N7:N9)</f>
        <v>1.7869999999999999</v>
      </c>
      <c r="O15" s="100">
        <f t="shared" ref="O15:W15" si="17">MAX(O7:O9)</f>
        <v>0.24</v>
      </c>
      <c r="P15" s="100">
        <f t="shared" si="17"/>
        <v>6.1700000000000005E-2</v>
      </c>
      <c r="Q15" s="100">
        <f t="shared" si="17"/>
        <v>0.124</v>
      </c>
      <c r="R15" s="36" t="s">
        <v>144</v>
      </c>
      <c r="S15" s="138">
        <f t="shared" si="17"/>
        <v>4.4999999999999996E-5</v>
      </c>
      <c r="T15" s="138">
        <f t="shared" si="17"/>
        <v>1.6000000000000001E-4</v>
      </c>
      <c r="U15" s="100">
        <f t="shared" si="17"/>
        <v>3.8700000000000005E-2</v>
      </c>
      <c r="V15" s="142">
        <f t="shared" si="17"/>
        <v>0.42</v>
      </c>
      <c r="W15" s="143">
        <f t="shared" si="17"/>
        <v>2.1930000000000001</v>
      </c>
      <c r="X15" s="140"/>
    </row>
    <row r="16" spans="1:24" ht="18" x14ac:dyDescent="0.25">
      <c r="C16" s="18" t="s">
        <v>133</v>
      </c>
    </row>
    <row r="17" spans="3:13" ht="18" x14ac:dyDescent="0.25">
      <c r="C17" s="18" t="s">
        <v>136</v>
      </c>
      <c r="K17" s="68" t="s">
        <v>180</v>
      </c>
      <c r="L17" s="73">
        <f>AVERAGE(L10:L12)</f>
        <v>30.350000000000005</v>
      </c>
      <c r="M17" s="27" t="s">
        <v>181</v>
      </c>
    </row>
    <row r="18" spans="3:13" ht="18" x14ac:dyDescent="0.25">
      <c r="C18" s="18" t="s">
        <v>143</v>
      </c>
      <c r="K18" s="68" t="s">
        <v>182</v>
      </c>
      <c r="L18" s="73">
        <f>AVERAGE(L13:L15)</f>
        <v>31.008666666666667</v>
      </c>
      <c r="M18" s="27" t="s">
        <v>181</v>
      </c>
    </row>
    <row r="19" spans="3:13" x14ac:dyDescent="0.25"/>
    <row r="20" spans="3:13" x14ac:dyDescent="0.25">
      <c r="C20" s="26" t="s">
        <v>198</v>
      </c>
    </row>
    <row r="21" spans="3:13" x14ac:dyDescent="0.25">
      <c r="C21" s="76" t="s">
        <v>113</v>
      </c>
      <c r="D21" s="78" t="s">
        <v>139</v>
      </c>
      <c r="E21" s="77"/>
      <c r="F21" s="77"/>
      <c r="G21" s="77"/>
      <c r="H21" s="77"/>
      <c r="I21" s="77"/>
      <c r="J21" s="77"/>
      <c r="K21" s="77"/>
      <c r="L21" s="77"/>
      <c r="M21" s="77"/>
    </row>
    <row r="22" spans="3:13" s="26" customFormat="1" ht="14.25" x14ac:dyDescent="0.2">
      <c r="C22" s="68" t="s">
        <v>112</v>
      </c>
      <c r="D22" s="68" t="s">
        <v>68</v>
      </c>
      <c r="E22" s="68" t="s">
        <v>103</v>
      </c>
      <c r="F22" s="68" t="s">
        <v>104</v>
      </c>
      <c r="G22" s="68" t="s">
        <v>105</v>
      </c>
      <c r="H22" s="68" t="s">
        <v>106</v>
      </c>
      <c r="I22" s="68" t="s">
        <v>107</v>
      </c>
      <c r="J22" s="68" t="s">
        <v>108</v>
      </c>
      <c r="K22" s="68" t="s">
        <v>109</v>
      </c>
      <c r="L22" s="68" t="s">
        <v>110</v>
      </c>
      <c r="M22" s="68" t="s">
        <v>111</v>
      </c>
    </row>
    <row r="23" spans="3:13" x14ac:dyDescent="0.25">
      <c r="C23" s="67" t="s">
        <v>40</v>
      </c>
      <c r="D23" s="97">
        <v>1992</v>
      </c>
      <c r="E23" s="128">
        <v>207</v>
      </c>
      <c r="F23" s="123">
        <v>35.200000000000003</v>
      </c>
      <c r="G23" s="123">
        <v>90.3</v>
      </c>
      <c r="H23" s="43">
        <v>5.8000000000000003E-2</v>
      </c>
      <c r="I23" s="43">
        <v>8.6999999999999994E-2</v>
      </c>
      <c r="J23" s="43">
        <v>0.12</v>
      </c>
      <c r="K23" s="123">
        <v>41.2</v>
      </c>
      <c r="L23" s="128">
        <v>373</v>
      </c>
      <c r="M23" s="97">
        <v>2365</v>
      </c>
    </row>
    <row r="24" spans="3:13" x14ac:dyDescent="0.25">
      <c r="C24" s="67" t="s">
        <v>54</v>
      </c>
      <c r="D24" s="97">
        <v>3027</v>
      </c>
      <c r="E24" s="128">
        <v>333</v>
      </c>
      <c r="F24" s="123">
        <v>46.2</v>
      </c>
      <c r="G24" s="123">
        <v>94.9</v>
      </c>
      <c r="H24" s="43">
        <v>5.5E-2</v>
      </c>
      <c r="I24" s="43">
        <v>0.13</v>
      </c>
      <c r="J24" s="43">
        <v>0.3</v>
      </c>
      <c r="K24" s="123">
        <v>34.1</v>
      </c>
      <c r="L24" s="128">
        <v>508</v>
      </c>
      <c r="M24" s="97">
        <v>3535</v>
      </c>
    </row>
    <row r="25" spans="3:13" x14ac:dyDescent="0.25">
      <c r="C25" s="67" t="s">
        <v>55</v>
      </c>
      <c r="D25" s="97">
        <v>1787</v>
      </c>
      <c r="E25" s="128">
        <v>240</v>
      </c>
      <c r="F25" s="123">
        <v>47.9</v>
      </c>
      <c r="G25" s="123">
        <v>93.8</v>
      </c>
      <c r="H25" s="35" t="s">
        <v>102</v>
      </c>
      <c r="I25" s="43">
        <v>3.5000000000000003E-2</v>
      </c>
      <c r="J25" s="43">
        <v>0.16</v>
      </c>
      <c r="K25" s="123">
        <v>25</v>
      </c>
      <c r="L25" s="128">
        <v>406</v>
      </c>
      <c r="M25" s="97">
        <v>2193</v>
      </c>
    </row>
    <row r="26" spans="3:13" x14ac:dyDescent="0.25">
      <c r="C26" s="67" t="s">
        <v>53</v>
      </c>
      <c r="D26" s="97">
        <v>1147</v>
      </c>
      <c r="E26" s="128">
        <v>195</v>
      </c>
      <c r="F26" s="123">
        <v>61.7</v>
      </c>
      <c r="G26" s="128">
        <v>124</v>
      </c>
      <c r="H26" s="35" t="s">
        <v>102</v>
      </c>
      <c r="I26" s="43">
        <v>4.4999999999999998E-2</v>
      </c>
      <c r="J26" s="43">
        <v>8.4000000000000005E-2</v>
      </c>
      <c r="K26" s="123">
        <v>38.700000000000003</v>
      </c>
      <c r="L26" s="128">
        <v>420</v>
      </c>
      <c r="M26" s="97">
        <v>1567</v>
      </c>
    </row>
    <row r="27" spans="3:13" x14ac:dyDescent="0.25">
      <c r="C27" s="67" t="s">
        <v>56</v>
      </c>
      <c r="D27" s="97">
        <v>1058</v>
      </c>
      <c r="E27" s="128">
        <v>143</v>
      </c>
      <c r="F27" s="123">
        <v>32.200000000000003</v>
      </c>
      <c r="G27" s="123">
        <v>60.1</v>
      </c>
      <c r="H27" s="35" t="s">
        <v>102</v>
      </c>
      <c r="I27" s="43">
        <v>2.1000000000000001E-2</v>
      </c>
      <c r="J27" s="43">
        <v>6.8000000000000005E-2</v>
      </c>
      <c r="K27" s="123">
        <v>12.8</v>
      </c>
      <c r="L27" s="128">
        <v>248</v>
      </c>
      <c r="M27" s="97">
        <v>1306</v>
      </c>
    </row>
    <row r="28" spans="3:13" x14ac:dyDescent="0.25">
      <c r="C28" s="37" t="s">
        <v>131</v>
      </c>
    </row>
    <row r="29" spans="3:13" x14ac:dyDescent="0.25"/>
    <row r="30" spans="3:13" x14ac:dyDescent="0.25"/>
    <row r="31" spans="3:13" x14ac:dyDescent="0.25"/>
    <row r="32" spans="3:13" x14ac:dyDescent="0.25"/>
    <row r="33" x14ac:dyDescent="0.25"/>
  </sheetData>
  <mergeCells count="2">
    <mergeCell ref="B13:B15"/>
    <mergeCell ref="B10:B1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="90" zoomScaleNormal="90" workbookViewId="0"/>
  </sheetViews>
  <sheetFormatPr defaultColWidth="0" defaultRowHeight="15" zeroHeight="1" x14ac:dyDescent="0.25"/>
  <cols>
    <col min="1" max="1" width="9.140625" style="18" customWidth="1"/>
    <col min="2" max="2" width="64.7109375" style="18" bestFit="1" customWidth="1"/>
    <col min="3" max="3" width="12" style="18" bestFit="1" customWidth="1"/>
    <col min="4" max="4" width="22.7109375" style="18" bestFit="1" customWidth="1"/>
    <col min="5" max="5" width="41.140625" style="18" customWidth="1"/>
    <col min="6" max="18" width="9.140625" style="18" customWidth="1"/>
    <col min="19" max="16384" width="9.140625" style="18" hidden="1"/>
  </cols>
  <sheetData>
    <row r="1" spans="1:18" x14ac:dyDescent="0.25">
      <c r="A1" s="26" t="s">
        <v>140</v>
      </c>
    </row>
    <row r="2" spans="1:18" x14ac:dyDescent="0.25">
      <c r="A2" s="42" t="s">
        <v>205</v>
      </c>
    </row>
    <row r="3" spans="1:18" x14ac:dyDescent="0.25">
      <c r="A3" s="26"/>
    </row>
    <row r="4" spans="1:18" x14ac:dyDescent="0.25">
      <c r="A4" s="26"/>
      <c r="B4" s="61" t="s">
        <v>81</v>
      </c>
      <c r="C4" s="19"/>
    </row>
    <row r="5" spans="1:18" x14ac:dyDescent="0.25">
      <c r="A5" s="26"/>
      <c r="B5" s="60" t="s">
        <v>82</v>
      </c>
      <c r="C5" s="18" t="s">
        <v>83</v>
      </c>
    </row>
    <row r="6" spans="1:18" x14ac:dyDescent="0.25">
      <c r="A6" s="26"/>
      <c r="B6" s="60" t="s">
        <v>82</v>
      </c>
      <c r="C6" s="18" t="s">
        <v>84</v>
      </c>
    </row>
    <row r="7" spans="1:18" x14ac:dyDescent="0.25">
      <c r="A7" s="26"/>
      <c r="B7" s="60" t="s">
        <v>82</v>
      </c>
      <c r="C7" s="18" t="s">
        <v>85</v>
      </c>
    </row>
    <row r="8" spans="1:18" x14ac:dyDescent="0.25">
      <c r="A8" s="26"/>
      <c r="B8" s="60" t="s">
        <v>82</v>
      </c>
      <c r="C8" s="18" t="s">
        <v>86</v>
      </c>
    </row>
    <row r="9" spans="1:18" ht="15.75" thickBot="1" x14ac:dyDescent="0.3"/>
    <row r="10" spans="1:18" s="1" customFormat="1" x14ac:dyDescent="0.25">
      <c r="A10" s="18"/>
      <c r="B10" s="12" t="s">
        <v>63</v>
      </c>
      <c r="C10" s="47">
        <f>'Emissions &amp; Yield'!N32</f>
        <v>0.29801807342476083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1" customFormat="1" ht="15.75" thickBot="1" x14ac:dyDescent="0.3">
      <c r="A11" s="18"/>
      <c r="B11" s="48" t="s">
        <v>64</v>
      </c>
      <c r="C11" s="49">
        <f>1/C10</f>
        <v>3.3555011899386198</v>
      </c>
      <c r="D11" s="18"/>
      <c r="E11" s="18"/>
      <c r="F11" s="18"/>
      <c r="G11" s="18"/>
      <c r="H11" s="18"/>
      <c r="I11" s="26" t="s">
        <v>68</v>
      </c>
      <c r="J11" s="18"/>
      <c r="K11" s="18"/>
      <c r="L11" s="18"/>
      <c r="M11" s="18"/>
      <c r="N11" s="18"/>
      <c r="O11" s="18"/>
      <c r="P11" s="18"/>
      <c r="Q11" s="18"/>
      <c r="R11" s="18"/>
    </row>
    <row r="12" spans="1:18" x14ac:dyDescent="0.25"/>
    <row r="13" spans="1:18" ht="18" thickBot="1" x14ac:dyDescent="0.3">
      <c r="B13" s="26" t="s">
        <v>152</v>
      </c>
    </row>
    <row r="14" spans="1:18" s="1" customFormat="1" x14ac:dyDescent="0.25">
      <c r="A14" s="18"/>
      <c r="B14" s="12" t="s">
        <v>0</v>
      </c>
      <c r="C14" s="13" t="s">
        <v>61</v>
      </c>
      <c r="D14" s="13" t="s">
        <v>10</v>
      </c>
      <c r="E14" s="13" t="s">
        <v>66</v>
      </c>
      <c r="F14" s="13" t="s">
        <v>72</v>
      </c>
      <c r="G14" s="14" t="s">
        <v>73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s="1" customFormat="1" x14ac:dyDescent="0.25">
      <c r="A15" s="18"/>
      <c r="B15" s="15" t="s">
        <v>60</v>
      </c>
      <c r="C15" s="94">
        <v>1</v>
      </c>
      <c r="D15" s="2" t="s">
        <v>62</v>
      </c>
      <c r="E15" s="50"/>
      <c r="F15" s="51"/>
      <c r="G15" s="52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s="1" customFormat="1" x14ac:dyDescent="0.25">
      <c r="A16" s="18"/>
      <c r="B16" s="15" t="s">
        <v>74</v>
      </c>
      <c r="C16" s="94">
        <f>INDEX('Emissions &amp; Yield'!$N$7:$N$32,MATCH('Ghana Kilns'!$B16,'Emissions &amp; Yield'!$B$7:$B$32,0))</f>
        <v>3.360533317353787</v>
      </c>
      <c r="D16" s="2" t="s">
        <v>62</v>
      </c>
      <c r="E16" s="53"/>
      <c r="F16" s="94">
        <f>INDEX('Emissions &amp; Yield'!$O$7:$O$32,MATCH('Ghana Kilns'!$B16,'Emissions &amp; Yield'!$B$7:$B$32,0))</f>
        <v>3.2149999999999999</v>
      </c>
      <c r="G16" s="107">
        <f>INDEX('Emissions &amp; Yield'!$P$7:$P$32,MATCH('Ghana Kilns'!$B16,'Emissions &amp; Yield'!$B$7:$B$32,0))</f>
        <v>3.5714285714285712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s="1" customFormat="1" x14ac:dyDescent="0.25">
      <c r="A17" s="18"/>
      <c r="B17" s="15" t="s">
        <v>115</v>
      </c>
      <c r="C17" s="94">
        <f>(0.7988*C11)-1.2691</f>
        <v>1.4112743505229695</v>
      </c>
      <c r="D17" s="2" t="s">
        <v>62</v>
      </c>
      <c r="E17" s="54" t="s">
        <v>67</v>
      </c>
      <c r="F17" s="94">
        <f>(0.7988*F16)-1.2691</f>
        <v>1.299042</v>
      </c>
      <c r="G17" s="107">
        <f>(0.7988*G16)-1.2691</f>
        <v>1.5837571428571424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s="1" customFormat="1" x14ac:dyDescent="0.25">
      <c r="A18" s="18"/>
      <c r="B18" s="15" t="s">
        <v>151</v>
      </c>
      <c r="C18" s="95">
        <f>INDEX('Emissions &amp; Yield'!$N$7:$N$32,MATCH('Ghana Kilns'!B18,'Emissions &amp; Yield'!$B$7:$B$32,0))</f>
        <v>5.778210432E-2</v>
      </c>
      <c r="D18" s="2" t="s">
        <v>62</v>
      </c>
      <c r="E18" s="53" t="s">
        <v>69</v>
      </c>
      <c r="F18" s="95">
        <f>INDEX('Emissions &amp; Yield'!$O$7:$O$32,MATCH('Ghana Kilns'!$B18,'Emissions &amp; Yield'!$B$7:$B$32,0))</f>
        <v>2.5499999999999998E-2</v>
      </c>
      <c r="G18" s="108">
        <f>INDEX('Emissions &amp; Yield'!$P$7:$P$32,MATCH('Ghana Kilns'!$B18,'Emissions &amp; Yield'!$B$7:$B$32,0))</f>
        <v>9.0064208640000004E-2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s="1" customFormat="1" x14ac:dyDescent="0.25">
      <c r="A19" s="18"/>
      <c r="B19" s="15" t="s">
        <v>116</v>
      </c>
      <c r="C19" s="95">
        <f>INDEX('Emissions &amp; Yield'!$N$7:$N$32,MATCH('Ghana Kilns'!B19,'Emissions &amp; Yield'!$B$7:$B$32,0))</f>
        <v>3.8168850000000004E-2</v>
      </c>
      <c r="D19" s="2" t="s">
        <v>62</v>
      </c>
      <c r="E19" s="53" t="s">
        <v>114</v>
      </c>
      <c r="F19" s="95">
        <f>INDEX('Emissions &amp; Yield'!$O$7:$O$32,MATCH('Ghana Kilns'!$B19,'Emissions &amp; Yield'!$B$7:$B$32,0))</f>
        <v>2.7699999999999999E-2</v>
      </c>
      <c r="G19" s="108">
        <f>INDEX('Emissions &amp; Yield'!$P$7:$P$32,MATCH('Ghana Kilns'!$B19,'Emissions &amp; Yield'!$B$7:$B$32,0))</f>
        <v>4.7700000000000006E-2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s="1" customFormat="1" x14ac:dyDescent="0.25">
      <c r="A20" s="18"/>
      <c r="B20" s="15" t="s">
        <v>117</v>
      </c>
      <c r="C20" s="95">
        <f>INDEX('Emissions &amp; Yield'!$N$7:$N$32,MATCH('Ghana Kilns'!B20,'Emissions &amp; Yield'!$B$7:$B$32,0))</f>
        <v>0.28407038543999996</v>
      </c>
      <c r="D20" s="2" t="s">
        <v>62</v>
      </c>
      <c r="E20" s="53" t="s">
        <v>114</v>
      </c>
      <c r="F20" s="95">
        <f>INDEX('Emissions &amp; Yield'!$O$7:$O$32,MATCH('Ghana Kilns'!$B20,'Emissions &amp; Yield'!$B$7:$B$32,0))</f>
        <v>0.22600000000000001</v>
      </c>
      <c r="G20" s="108">
        <f>INDEX('Emissions &amp; Yield'!$P$7:$P$32,MATCH('Ghana Kilns'!$B20,'Emissions &amp; Yield'!$B$7:$B$32,0))</f>
        <v>0.34599999999999997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s="1" customFormat="1" x14ac:dyDescent="0.25">
      <c r="A21" s="18"/>
      <c r="B21" s="15" t="s">
        <v>5</v>
      </c>
      <c r="C21" s="95">
        <f>INDEX('Emissions &amp; Yield'!$N$7:$N$32,MATCH('Ghana Kilns'!B21,'Emissions &amp; Yield'!$B$7:$B$32,0))</f>
        <v>6.681008501333334E-2</v>
      </c>
      <c r="D21" s="2" t="s">
        <v>62</v>
      </c>
      <c r="E21" s="53" t="s">
        <v>114</v>
      </c>
      <c r="F21" s="95">
        <f>INDEX('Emissions &amp; Yield'!$O$7:$O$32,MATCH('Ghana Kilns'!$B21,'Emissions &amp; Yield'!$B$7:$B$32,0))</f>
        <v>1.2530255039999999E-2</v>
      </c>
      <c r="G21" s="108">
        <f>INDEX('Emissions &amp; Yield'!$P$7:$P$32,MATCH('Ghana Kilns'!$B21,'Emissions &amp; Yield'!$B$7:$B$32,0))</f>
        <v>9.5299999999999996E-2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s="1" customFormat="1" x14ac:dyDescent="0.25">
      <c r="A22" s="18"/>
      <c r="B22" s="15" t="s">
        <v>4</v>
      </c>
      <c r="C22" s="99">
        <f>INDEX('Emissions &amp; Yield'!$N$7:$N$32,MATCH('Ghana Kilns'!B22,'Emissions &amp; Yield'!$B$7:$B$32,0))</f>
        <v>1.7413563733333334E-4</v>
      </c>
      <c r="D22" s="2" t="s">
        <v>62</v>
      </c>
      <c r="E22" s="53" t="s">
        <v>114</v>
      </c>
      <c r="F22" s="99">
        <f>INDEX('Emissions &amp; Yield'!$O$7:$O$32,MATCH('Ghana Kilns'!$B22,'Emissions &amp; Yield'!$B$7:$B$32,0))</f>
        <v>3.4E-5</v>
      </c>
      <c r="G22" s="109">
        <f>INDEX('Emissions &amp; Yield'!$P$7:$P$32,MATCH('Ghana Kilns'!$B22,'Emissions &amp; Yield'!$B$7:$B$32,0))</f>
        <v>4.4999999999999999E-4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s="1" customFormat="1" x14ac:dyDescent="0.25">
      <c r="A23" s="18"/>
      <c r="B23" s="15" t="s">
        <v>3</v>
      </c>
      <c r="C23" s="99">
        <f>INDEX('Emissions &amp; Yield'!$N$7:$N$32,MATCH('Ghana Kilns'!B23,'Emissions &amp; Yield'!$B$7:$B$32,0))</f>
        <v>6.6002880000000003E-5</v>
      </c>
      <c r="D23" s="2" t="s">
        <v>62</v>
      </c>
      <c r="E23" s="53" t="s">
        <v>114</v>
      </c>
      <c r="F23" s="99">
        <f>INDEX('Emissions &amp; Yield'!$O$7:$O$32,MATCH('Ghana Kilns'!$B23,'Emissions &amp; Yield'!$B$7:$B$32,0))</f>
        <v>4.6E-5</v>
      </c>
      <c r="G23" s="109">
        <f>INDEX('Emissions &amp; Yield'!$P$7:$P$32,MATCH('Ghana Kilns'!$B23,'Emissions &amp; Yield'!$B$7:$B$32,0))</f>
        <v>1.0399999999999999E-4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s="1" customFormat="1" ht="18" x14ac:dyDescent="0.25">
      <c r="A24" s="18"/>
      <c r="B24" s="115" t="s">
        <v>197</v>
      </c>
      <c r="C24" s="116">
        <v>1.32E-3</v>
      </c>
      <c r="D24" s="2" t="s">
        <v>62</v>
      </c>
      <c r="E24" s="53" t="s">
        <v>114</v>
      </c>
      <c r="F24" s="55"/>
      <c r="G24" s="56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s="1" customFormat="1" x14ac:dyDescent="0.25">
      <c r="A25" s="18"/>
      <c r="B25" s="115" t="s">
        <v>90</v>
      </c>
      <c r="C25" s="116">
        <f>INDEX('Emissions &amp; Yield'!$N$7:$N$32,MATCH('Ghana Kilns'!B25,'Emissions &amp; Yield'!$B$7:$B$32,0))</f>
        <v>3.8E-3</v>
      </c>
      <c r="D25" s="2" t="s">
        <v>62</v>
      </c>
      <c r="E25" s="53" t="s">
        <v>70</v>
      </c>
      <c r="F25" s="55"/>
      <c r="G25" s="56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s="1" customFormat="1" x14ac:dyDescent="0.25">
      <c r="A26" s="18"/>
      <c r="B26" s="115" t="s">
        <v>76</v>
      </c>
      <c r="C26" s="117">
        <f>INDEX('Emissions &amp; Yield'!$N$7:$N$32,MATCH('Ghana Kilns'!B26,'Emissions &amp; Yield'!$B$7:$B$32,0))</f>
        <v>1.2199999999999999E-2</v>
      </c>
      <c r="D26" s="2" t="s">
        <v>62</v>
      </c>
      <c r="E26" s="53" t="s">
        <v>70</v>
      </c>
      <c r="F26" s="55"/>
      <c r="G26" s="56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s="1" customFormat="1" x14ac:dyDescent="0.25">
      <c r="A27" s="18"/>
      <c r="B27" s="115" t="s">
        <v>75</v>
      </c>
      <c r="C27" s="116">
        <f>INDEX('Emissions &amp; Yield'!$N$7:$N$32,MATCH('Ghana Kilns'!B27,'Emissions &amp; Yield'!$B$7:$B$32,0))</f>
        <v>4.4999999999999999E-4</v>
      </c>
      <c r="D27" s="2" t="s">
        <v>62</v>
      </c>
      <c r="E27" s="53" t="s">
        <v>70</v>
      </c>
      <c r="F27" s="55"/>
      <c r="G27" s="56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s="1" customFormat="1" x14ac:dyDescent="0.25">
      <c r="A28" s="18"/>
      <c r="B28" s="118" t="s">
        <v>77</v>
      </c>
      <c r="C28" s="116">
        <f>INDEX('Emissions &amp; Yield'!$N$7:$N$32,MATCH('Ghana Kilns'!B28,'Emissions &amp; Yield'!$B$7:$B$32,0))</f>
        <v>4.6600000000000001E-3</v>
      </c>
      <c r="D28" s="2" t="s">
        <v>62</v>
      </c>
      <c r="E28" s="53" t="s">
        <v>70</v>
      </c>
      <c r="F28" s="55"/>
      <c r="G28" s="56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s="1" customFormat="1" x14ac:dyDescent="0.25">
      <c r="A29" s="18"/>
      <c r="B29" s="115" t="s">
        <v>78</v>
      </c>
      <c r="C29" s="116">
        <f>INDEX('Emissions &amp; Yield'!$N$7:$N$32,MATCH('Ghana Kilns'!B29,'Emissions &amp; Yield'!$B$7:$B$32,0))</f>
        <v>5.3499999999999997E-3</v>
      </c>
      <c r="D29" s="2" t="s">
        <v>62</v>
      </c>
      <c r="E29" s="53" t="s">
        <v>70</v>
      </c>
      <c r="F29" s="55"/>
      <c r="G29" s="56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1" customFormat="1" x14ac:dyDescent="0.25">
      <c r="A30" s="18"/>
      <c r="B30" s="115" t="s">
        <v>79</v>
      </c>
      <c r="C30" s="117">
        <f>INDEX('Emissions &amp; Yield'!$N$7:$N$32,MATCH('Ghana Kilns'!B30,'Emissions &amp; Yield'!$B$7:$B$32,0))</f>
        <v>3.1899999999999998E-2</v>
      </c>
      <c r="D30" s="2" t="s">
        <v>62</v>
      </c>
      <c r="E30" s="53" t="s">
        <v>118</v>
      </c>
      <c r="F30" s="55"/>
      <c r="G30" s="56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s="1" customFormat="1" x14ac:dyDescent="0.25">
      <c r="A31" s="18"/>
      <c r="B31" s="115" t="s">
        <v>80</v>
      </c>
      <c r="C31" s="117">
        <f>INDEX('Emissions &amp; Yield'!$N$7:$N$32,MATCH('Ghana Kilns'!B31,'Emissions &amp; Yield'!$B$7:$B$32,0))</f>
        <v>4.3799999999999999E-2</v>
      </c>
      <c r="D31" s="2" t="s">
        <v>62</v>
      </c>
      <c r="E31" s="53" t="s">
        <v>119</v>
      </c>
      <c r="F31" s="55"/>
      <c r="G31" s="56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s="1" customFormat="1" x14ac:dyDescent="0.25">
      <c r="A32" s="18"/>
      <c r="B32" s="115" t="s">
        <v>91</v>
      </c>
      <c r="C32" s="116">
        <f>INDEX('Emissions &amp; Yield'!$N$7:$N$32,MATCH('Ghana Kilns'!B32,'Emissions &amp; Yield'!$B$7:$B$32,0))</f>
        <v>1.6200000000000001E-3</v>
      </c>
      <c r="D32" s="2" t="s">
        <v>62</v>
      </c>
      <c r="E32" s="53" t="s">
        <v>120</v>
      </c>
      <c r="F32" s="55"/>
      <c r="G32" s="56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s="1" customFormat="1" x14ac:dyDescent="0.25">
      <c r="A33" s="18"/>
      <c r="B33" s="115" t="s">
        <v>92</v>
      </c>
      <c r="C33" s="116">
        <f>INDEX('Emissions &amp; Yield'!$N$7:$N$32,MATCH('Ghana Kilns'!B33,'Emissions &amp; Yield'!$B$7:$B$32,0))</f>
        <v>9.8300000000000002E-3</v>
      </c>
      <c r="D33" s="2" t="s">
        <v>62</v>
      </c>
      <c r="E33" s="53" t="s">
        <v>121</v>
      </c>
      <c r="F33" s="55"/>
      <c r="G33" s="56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1" customFormat="1" ht="15.75" thickBot="1" x14ac:dyDescent="0.3">
      <c r="A34" s="18"/>
      <c r="B34" s="119" t="s">
        <v>93</v>
      </c>
      <c r="C34" s="120">
        <f>INDEX('Emissions &amp; Yield'!$N$7:$N$32,MATCH('Ghana Kilns'!B34,'Emissions &amp; Yield'!$B$7:$B$32,0))</f>
        <v>4.1099999999999999E-3</v>
      </c>
      <c r="D34" s="9" t="s">
        <v>62</v>
      </c>
      <c r="E34" s="57" t="s">
        <v>122</v>
      </c>
      <c r="F34" s="58"/>
      <c r="G34" s="5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8" x14ac:dyDescent="0.25">
      <c r="B35" s="37" t="s">
        <v>154</v>
      </c>
      <c r="C35" s="21"/>
    </row>
    <row r="36" spans="1:18" ht="18" x14ac:dyDescent="0.25">
      <c r="B36" s="37" t="s">
        <v>153</v>
      </c>
    </row>
    <row r="37" spans="1:18" x14ac:dyDescent="0.25"/>
    <row r="38" spans="1:18" ht="17.25" x14ac:dyDescent="0.25">
      <c r="B38" s="26" t="s">
        <v>158</v>
      </c>
    </row>
    <row r="39" spans="1:18" x14ac:dyDescent="0.25">
      <c r="B39" s="68" t="s">
        <v>0</v>
      </c>
      <c r="C39" s="68" t="s">
        <v>61</v>
      </c>
      <c r="D39" s="68" t="s">
        <v>150</v>
      </c>
    </row>
    <row r="40" spans="1:18" x14ac:dyDescent="0.25">
      <c r="B40" s="67" t="s">
        <v>115</v>
      </c>
      <c r="C40" s="74">
        <f>'Emissions &amp; Yield'!F7</f>
        <v>2.9544999999999999</v>
      </c>
      <c r="D40" s="27" t="s">
        <v>137</v>
      </c>
    </row>
    <row r="41" spans="1:18" ht="18" x14ac:dyDescent="0.25">
      <c r="B41" s="67" t="s">
        <v>156</v>
      </c>
      <c r="C41" s="97">
        <f>'Kenya Kilns'!T6</f>
        <v>2.9999999999999997E-4</v>
      </c>
      <c r="D41" s="27" t="s">
        <v>137</v>
      </c>
    </row>
    <row r="42" spans="1:18" x14ac:dyDescent="0.25">
      <c r="B42" s="67" t="s">
        <v>4</v>
      </c>
      <c r="C42" s="97">
        <f>'Emissions &amp; Yield'!F9</f>
        <v>3.9999999999999996E-4</v>
      </c>
      <c r="D42" s="27" t="s">
        <v>137</v>
      </c>
    </row>
    <row r="43" spans="1:18" ht="18" x14ac:dyDescent="0.25">
      <c r="B43" s="67" t="s">
        <v>157</v>
      </c>
      <c r="C43" s="43">
        <f>'Emissions &amp; Yield'!F10</f>
        <v>3.4099999999999998E-2</v>
      </c>
      <c r="D43" s="27" t="s">
        <v>137</v>
      </c>
    </row>
    <row r="44" spans="1:18" x14ac:dyDescent="0.25">
      <c r="B44" s="67" t="s">
        <v>117</v>
      </c>
      <c r="C44" s="43">
        <f>'Emissions &amp; Yield'!F11</f>
        <v>0.31819999999999998</v>
      </c>
      <c r="D44" s="27" t="s">
        <v>137</v>
      </c>
    </row>
    <row r="45" spans="1:18" x14ac:dyDescent="0.25">
      <c r="B45" s="67" t="s">
        <v>116</v>
      </c>
      <c r="C45" s="43">
        <f>'Emissions &amp; Yield'!F12</f>
        <v>4.5499999999999999E-2</v>
      </c>
      <c r="D45" s="27" t="s">
        <v>137</v>
      </c>
    </row>
    <row r="46" spans="1:18" x14ac:dyDescent="0.25">
      <c r="B46" s="67" t="s">
        <v>5</v>
      </c>
      <c r="C46" s="43">
        <f>'Emissions &amp; Yield'!F13</f>
        <v>9.0899999999999995E-2</v>
      </c>
      <c r="D46" s="27" t="s">
        <v>137</v>
      </c>
    </row>
    <row r="47" spans="1:18" x14ac:dyDescent="0.25">
      <c r="B47" s="67" t="s">
        <v>6</v>
      </c>
      <c r="C47" s="74">
        <f>'Emissions &amp; Yield'!F14</f>
        <v>1</v>
      </c>
      <c r="D47" s="27" t="s">
        <v>137</v>
      </c>
    </row>
    <row r="48" spans="1:18" x14ac:dyDescent="0.25">
      <c r="B48" s="67" t="s">
        <v>9</v>
      </c>
      <c r="C48" s="43">
        <f>'Emissions &amp; Yield'!F15</f>
        <v>3.1800000000000002E-2</v>
      </c>
      <c r="D48" s="27" t="s">
        <v>137</v>
      </c>
    </row>
    <row r="49" spans="2:4" x14ac:dyDescent="0.25">
      <c r="B49" s="67" t="s">
        <v>74</v>
      </c>
      <c r="C49" s="74">
        <f>'Emissions &amp; Yield'!F19</f>
        <v>4.9090999999999996</v>
      </c>
      <c r="D49" s="27" t="s">
        <v>137</v>
      </c>
    </row>
    <row r="50" spans="2:4" ht="18" x14ac:dyDescent="0.25">
      <c r="B50" s="37" t="s">
        <v>159</v>
      </c>
    </row>
    <row r="51" spans="2:4" ht="18" x14ac:dyDescent="0.25">
      <c r="B51" s="37" t="s">
        <v>155</v>
      </c>
    </row>
    <row r="52" spans="2:4" x14ac:dyDescent="0.25"/>
    <row r="53" spans="2:4" x14ac:dyDescent="0.25"/>
    <row r="54" spans="2:4" x14ac:dyDescent="0.25"/>
  </sheetData>
  <hyperlinks>
    <hyperlink ref="E17" location="LCI!K3" display="calculated via linear trendline"/>
  </hyperlink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80" zoomScaleNormal="80" workbookViewId="0"/>
  </sheetViews>
  <sheetFormatPr defaultColWidth="0" defaultRowHeight="15" zeroHeight="1" x14ac:dyDescent="0.25"/>
  <cols>
    <col min="1" max="1" width="3.42578125" style="18" customWidth="1"/>
    <col min="2" max="2" width="27" style="18" bestFit="1" customWidth="1"/>
    <col min="3" max="3" width="204.85546875" style="18" bestFit="1" customWidth="1"/>
    <col min="4" max="7" width="9.140625" style="18" customWidth="1"/>
    <col min="8" max="8" width="0" style="18" hidden="1" customWidth="1"/>
    <col min="9" max="16384" width="9.140625" style="18" hidden="1"/>
  </cols>
  <sheetData>
    <row r="1" spans="2:3" ht="9" customHeight="1" x14ac:dyDescent="0.25"/>
    <row r="2" spans="2:3" ht="15.75" x14ac:dyDescent="0.25">
      <c r="B2" s="89" t="s">
        <v>35</v>
      </c>
      <c r="C2" s="89" t="s">
        <v>36</v>
      </c>
    </row>
    <row r="3" spans="2:3" ht="15.75" x14ac:dyDescent="0.25">
      <c r="B3" s="93" t="s">
        <v>33</v>
      </c>
      <c r="C3" s="91" t="s">
        <v>160</v>
      </c>
    </row>
    <row r="4" spans="2:3" x14ac:dyDescent="0.25">
      <c r="B4" s="27" t="s">
        <v>187</v>
      </c>
      <c r="C4" s="27" t="s">
        <v>186</v>
      </c>
    </row>
    <row r="5" spans="2:3" ht="31.5" x14ac:dyDescent="0.25">
      <c r="B5" s="93" t="s">
        <v>88</v>
      </c>
      <c r="C5" s="90" t="s">
        <v>128</v>
      </c>
    </row>
    <row r="6" spans="2:3" ht="31.5" x14ac:dyDescent="0.25">
      <c r="B6" s="93" t="s">
        <v>125</v>
      </c>
      <c r="C6" s="90" t="s">
        <v>129</v>
      </c>
    </row>
    <row r="7" spans="2:3" ht="31.5" x14ac:dyDescent="0.25">
      <c r="B7" s="93" t="s">
        <v>87</v>
      </c>
      <c r="C7" s="90" t="s">
        <v>127</v>
      </c>
    </row>
    <row r="8" spans="2:3" ht="31.5" x14ac:dyDescent="0.25">
      <c r="B8" s="93" t="s">
        <v>39</v>
      </c>
      <c r="C8" s="90" t="s">
        <v>126</v>
      </c>
    </row>
    <row r="9" spans="2:3" ht="31.5" x14ac:dyDescent="0.25">
      <c r="B9" s="93" t="s">
        <v>24</v>
      </c>
      <c r="C9" s="90" t="s">
        <v>130</v>
      </c>
    </row>
    <row r="10" spans="2:3" x14ac:dyDescent="0.25">
      <c r="B10" s="27" t="s">
        <v>23</v>
      </c>
      <c r="C10" s="92" t="s">
        <v>162</v>
      </c>
    </row>
    <row r="11" spans="2:3" ht="15.75" x14ac:dyDescent="0.25">
      <c r="B11" s="93" t="s">
        <v>25</v>
      </c>
      <c r="C11" s="90" t="s">
        <v>161</v>
      </c>
    </row>
    <row r="12" spans="2:3" x14ac:dyDescent="0.25"/>
    <row r="13" spans="2:3" x14ac:dyDescent="0.25"/>
    <row r="14" spans="2:3" x14ac:dyDescent="0.25"/>
    <row r="15" spans="2:3" x14ac:dyDescent="0.25"/>
    <row r="16" spans="2:3" x14ac:dyDescent="0.25"/>
    <row r="17" x14ac:dyDescent="0.25"/>
    <row r="18" x14ac:dyDescent="0.25"/>
  </sheetData>
  <sortState ref="B3:C11">
    <sortCondition ref="B3:B11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TOC</vt:lpstr>
      <vt:lpstr>Emissions &amp; Yield</vt:lpstr>
      <vt:lpstr>Kenya Kilns</vt:lpstr>
      <vt:lpstr>Ghana Kilns</vt:lpstr>
      <vt:lpstr>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Morelli</dc:creator>
  <cp:lastModifiedBy>Sarah Cashman</cp:lastModifiedBy>
  <dcterms:created xsi:type="dcterms:W3CDTF">2016-04-19T15:50:53Z</dcterms:created>
  <dcterms:modified xsi:type="dcterms:W3CDTF">2017-04-14T15:07:33Z</dcterms:modified>
</cp:coreProperties>
</file>