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codeName="ThisWorkbook"/>
  <mc:AlternateContent xmlns:mc="http://schemas.openxmlformats.org/markup-compatibility/2006">
    <mc:Choice Requires="x15">
      <x15ac:absPath xmlns:x15ac="http://schemas.microsoft.com/office/spreadsheetml/2010/11/ac" url="K:\EPA_Cookstove_LCA.sc.LEX\Report\Phase II\EPA QA Review\Supporting Information\SC Reviewed\"/>
    </mc:Choice>
  </mc:AlternateContent>
  <bookViews>
    <workbookView xWindow="0" yWindow="0" windowWidth="28800" windowHeight="12210"/>
  </bookViews>
  <sheets>
    <sheet name="TOC" sheetId="11" r:id="rId1"/>
    <sheet name="CurrentGrids" sheetId="7" r:id="rId2"/>
    <sheet name="IN" sheetId="1" r:id="rId3"/>
    <sheet name="CN" sheetId="2" r:id="rId4"/>
    <sheet name="KE" sheetId="5" r:id="rId5"/>
    <sheet name="GH" sheetId="6" r:id="rId6"/>
    <sheet name="OpenLCA Parameters" sheetId="8" state="hidden" r:id="rId7"/>
    <sheet name="E_Tech" sheetId="4" r:id="rId8"/>
    <sheet name="Water Use" sheetId="9" r:id="rId9"/>
    <sheet name="References" sheetId="3" r:id="rId10"/>
    <sheet name="Conversions" sheetId="10" state="hidden" r:id="rId11"/>
  </sheets>
  <definedNames>
    <definedName name="_xlnm._FilterDatabase" localSheetId="8" hidden="1">'Water Use'!$C$61:$I$90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 l="1"/>
  <c r="E41" i="1" s="1"/>
  <c r="M29" i="5" l="1"/>
  <c r="N29" i="5"/>
  <c r="O29" i="5"/>
  <c r="P29" i="5"/>
  <c r="Q29" i="5"/>
  <c r="L29" i="5"/>
  <c r="G9" i="4" l="1"/>
  <c r="I63" i="9" l="1"/>
  <c r="I64" i="9"/>
  <c r="I66" i="9"/>
  <c r="I67" i="9"/>
  <c r="I68" i="9"/>
  <c r="I69" i="9"/>
  <c r="I70" i="9"/>
  <c r="I71" i="9"/>
  <c r="I72" i="9"/>
  <c r="I73" i="9"/>
  <c r="I74" i="9"/>
  <c r="I75" i="9"/>
  <c r="I76" i="9"/>
  <c r="I77" i="9"/>
  <c r="I78" i="9"/>
  <c r="I79" i="9"/>
  <c r="I80" i="9"/>
  <c r="I81" i="9"/>
  <c r="I82" i="9"/>
  <c r="I84" i="9"/>
  <c r="I85" i="9"/>
  <c r="I86" i="9"/>
  <c r="I87" i="9"/>
  <c r="I88" i="9"/>
  <c r="I89" i="9"/>
  <c r="I90" i="9"/>
  <c r="I62" i="9"/>
  <c r="E51" i="9" l="1"/>
  <c r="F51" i="9"/>
  <c r="G51" i="9"/>
  <c r="E52" i="9"/>
  <c r="F52" i="9"/>
  <c r="G52" i="9"/>
  <c r="E53" i="9"/>
  <c r="F53" i="9"/>
  <c r="G53" i="9"/>
  <c r="E54" i="9"/>
  <c r="F54" i="9"/>
  <c r="G54" i="9"/>
  <c r="F55" i="9"/>
  <c r="G55" i="9"/>
  <c r="E56" i="9"/>
  <c r="F56" i="9"/>
  <c r="G56" i="9"/>
  <c r="E57" i="9"/>
  <c r="F57" i="9"/>
  <c r="G57" i="9"/>
  <c r="G50" i="9"/>
  <c r="F50" i="9"/>
  <c r="E50" i="9"/>
  <c r="E39" i="9"/>
  <c r="F39" i="9"/>
  <c r="G39" i="9"/>
  <c r="E40" i="9"/>
  <c r="F40" i="9"/>
  <c r="G40" i="9"/>
  <c r="E41" i="9"/>
  <c r="F41" i="9"/>
  <c r="G41" i="9"/>
  <c r="F42" i="9"/>
  <c r="G42" i="9"/>
  <c r="E43" i="9"/>
  <c r="F43" i="9"/>
  <c r="G43" i="9"/>
  <c r="E44" i="9"/>
  <c r="F44" i="9"/>
  <c r="G44" i="9"/>
  <c r="E45" i="9"/>
  <c r="F45" i="9"/>
  <c r="G45" i="9"/>
  <c r="E46" i="9"/>
  <c r="F46" i="9"/>
  <c r="G46" i="9"/>
  <c r="G38" i="9"/>
  <c r="F38" i="9"/>
  <c r="E38" i="9"/>
  <c r="F23" i="9"/>
  <c r="G23" i="9"/>
  <c r="H23" i="9"/>
  <c r="F24" i="9"/>
  <c r="G24" i="9"/>
  <c r="H24" i="9"/>
  <c r="F25" i="9"/>
  <c r="G25" i="9"/>
  <c r="H25" i="9"/>
  <c r="F26" i="9"/>
  <c r="G26" i="9"/>
  <c r="H26" i="9"/>
  <c r="F28" i="9"/>
  <c r="G28" i="9"/>
  <c r="H28" i="9"/>
  <c r="F29" i="9"/>
  <c r="G29" i="9"/>
  <c r="H29" i="9"/>
  <c r="G30" i="9"/>
  <c r="H30" i="9"/>
  <c r="F31" i="9"/>
  <c r="G31" i="9"/>
  <c r="H31" i="9"/>
  <c r="F32" i="9"/>
  <c r="G32" i="9"/>
  <c r="H32" i="9"/>
  <c r="F33" i="9"/>
  <c r="G33" i="9"/>
  <c r="H33" i="9"/>
  <c r="F34" i="9"/>
  <c r="G34" i="9"/>
  <c r="H34" i="9"/>
  <c r="H22" i="9"/>
  <c r="G22" i="9"/>
  <c r="F22" i="9"/>
  <c r="H16" i="9"/>
  <c r="G16" i="9"/>
  <c r="F16" i="9"/>
  <c r="G17" i="9"/>
  <c r="F18" i="9"/>
  <c r="H7" i="9"/>
  <c r="G9" i="9"/>
  <c r="F10" i="9"/>
  <c r="F11" i="9"/>
  <c r="F12" i="9"/>
  <c r="F13" i="9"/>
  <c r="H15" i="9"/>
  <c r="G5" i="9"/>
  <c r="F83" i="9"/>
  <c r="I83" i="9" s="1"/>
  <c r="F27" i="9" s="1"/>
  <c r="F65" i="9"/>
  <c r="H27" i="9" l="1"/>
  <c r="G8" i="9"/>
  <c r="I65" i="9"/>
  <c r="F8" i="9" s="1"/>
  <c r="G27" i="9"/>
  <c r="H6" i="9"/>
  <c r="F17" i="9"/>
  <c r="F9" i="9"/>
  <c r="H14" i="9"/>
  <c r="F6" i="9"/>
  <c r="G13" i="9"/>
  <c r="H5" i="9"/>
  <c r="G15" i="9"/>
  <c r="G7" i="9"/>
  <c r="H13" i="9"/>
  <c r="F15" i="9"/>
  <c r="F7" i="9"/>
  <c r="G14" i="9"/>
  <c r="G6" i="9"/>
  <c r="H12" i="9"/>
  <c r="F5" i="9"/>
  <c r="G12" i="9"/>
  <c r="H18" i="9"/>
  <c r="H10" i="9"/>
  <c r="H11" i="9"/>
  <c r="G11" i="9"/>
  <c r="H17" i="9"/>
  <c r="H9" i="9"/>
  <c r="G18" i="9"/>
  <c r="G10" i="9"/>
  <c r="C22" i="10"/>
  <c r="C14" i="10"/>
  <c r="C12" i="10"/>
  <c r="C11" i="10"/>
  <c r="H8" i="9" l="1"/>
  <c r="L49" i="1" l="1"/>
  <c r="M49" i="1"/>
  <c r="N49" i="1"/>
  <c r="O49" i="1"/>
  <c r="P49" i="1"/>
  <c r="Q49" i="1"/>
  <c r="AD34" i="1"/>
  <c r="AE34" i="1" s="1"/>
  <c r="AF34" i="1" s="1"/>
  <c r="AG34" i="1" s="1"/>
  <c r="AH34" i="1" s="1"/>
  <c r="AI34" i="1" s="1"/>
  <c r="AJ34" i="1" s="1"/>
  <c r="AK34" i="1" s="1"/>
  <c r="AL34" i="1" s="1"/>
  <c r="AH58" i="2" l="1"/>
  <c r="AH59" i="2"/>
  <c r="AH60" i="2"/>
  <c r="AH61" i="2"/>
  <c r="AH62" i="2"/>
  <c r="AH63" i="2"/>
  <c r="AH64" i="2"/>
  <c r="AH65" i="2"/>
  <c r="AH66" i="2"/>
  <c r="AH67" i="2"/>
  <c r="AH68" i="2"/>
  <c r="AH69" i="2"/>
  <c r="AH70" i="2"/>
  <c r="AH57" i="2"/>
  <c r="AE70" i="2"/>
  <c r="AE58" i="2"/>
  <c r="AE59" i="2"/>
  <c r="AE60" i="2"/>
  <c r="AE61" i="2"/>
  <c r="AE62" i="2"/>
  <c r="AE63" i="2"/>
  <c r="AE64" i="2"/>
  <c r="AE65" i="2"/>
  <c r="AE66" i="2"/>
  <c r="AE67" i="2"/>
  <c r="AE68" i="2"/>
  <c r="AE69" i="2"/>
  <c r="AE57" i="2"/>
  <c r="AC67" i="2"/>
  <c r="AC68" i="2"/>
  <c r="AC69" i="2"/>
  <c r="AC70" i="2"/>
  <c r="AC58" i="2"/>
  <c r="AC59" i="2"/>
  <c r="AC60" i="2"/>
  <c r="AC61" i="2"/>
  <c r="AC62" i="2"/>
  <c r="AC63" i="2"/>
  <c r="AC64" i="2"/>
  <c r="AC65" i="2"/>
  <c r="AC66" i="2"/>
  <c r="AC57" i="2"/>
  <c r="AB70" i="2"/>
  <c r="AB58" i="2"/>
  <c r="AB59" i="2"/>
  <c r="AB60" i="2"/>
  <c r="AB61" i="2"/>
  <c r="AB62" i="2"/>
  <c r="AB63" i="2"/>
  <c r="AB64" i="2"/>
  <c r="AB65" i="2"/>
  <c r="AB66" i="2"/>
  <c r="AB67" i="2"/>
  <c r="AB68" i="2"/>
  <c r="AB69" i="2"/>
  <c r="AB57" i="2"/>
  <c r="AA44" i="5"/>
  <c r="Y36" i="5"/>
  <c r="Y37" i="5"/>
  <c r="Y38" i="5"/>
  <c r="Y39" i="5"/>
  <c r="Y40" i="5"/>
  <c r="Y41" i="5"/>
  <c r="Y42" i="5"/>
  <c r="Y43" i="5"/>
  <c r="Y44" i="5"/>
  <c r="Y35" i="5"/>
  <c r="AA36" i="5"/>
  <c r="AA37" i="5"/>
  <c r="AA38" i="5"/>
  <c r="AA39" i="5"/>
  <c r="AA40" i="5"/>
  <c r="AA41" i="5"/>
  <c r="AA42" i="5"/>
  <c r="AA43" i="5"/>
  <c r="AA35" i="5"/>
  <c r="X44" i="5"/>
  <c r="X36" i="5"/>
  <c r="X37" i="5"/>
  <c r="X38" i="5"/>
  <c r="X39" i="5"/>
  <c r="X40" i="5"/>
  <c r="X41" i="5"/>
  <c r="X42" i="5"/>
  <c r="X43" i="5"/>
  <c r="X35" i="5"/>
  <c r="W42" i="6"/>
  <c r="Y42" i="6"/>
  <c r="V42" i="6"/>
  <c r="W35" i="6"/>
  <c r="W36" i="6"/>
  <c r="W37" i="6"/>
  <c r="W38" i="6"/>
  <c r="W39" i="6"/>
  <c r="W40" i="6"/>
  <c r="W41" i="6"/>
  <c r="W34" i="6"/>
  <c r="Y35" i="6"/>
  <c r="Y36" i="6"/>
  <c r="Y37" i="6"/>
  <c r="Y38" i="6"/>
  <c r="Y39" i="6"/>
  <c r="Y40" i="6"/>
  <c r="Y41" i="6"/>
  <c r="Y34" i="6"/>
  <c r="V35" i="6" l="1"/>
  <c r="V36" i="6"/>
  <c r="V37" i="6"/>
  <c r="V38" i="6"/>
  <c r="V39" i="6"/>
  <c r="V40" i="6"/>
  <c r="V41" i="6"/>
  <c r="V34" i="6"/>
  <c r="M28" i="6" l="1"/>
  <c r="M27" i="6"/>
  <c r="M26" i="6"/>
  <c r="M25" i="6"/>
  <c r="M22" i="6"/>
  <c r="C86" i="6" l="1"/>
  <c r="C87" i="6"/>
  <c r="C80" i="6"/>
  <c r="C61" i="6"/>
  <c r="D63" i="6"/>
  <c r="D66" i="6"/>
  <c r="D67" i="6"/>
  <c r="C39" i="6"/>
  <c r="C43" i="6"/>
  <c r="C42" i="6"/>
  <c r="C40" i="6"/>
  <c r="C21" i="6"/>
  <c r="Q22" i="5"/>
  <c r="Q23" i="5"/>
  <c r="Q24" i="5"/>
  <c r="Q25" i="5"/>
  <c r="Q26" i="5"/>
  <c r="Q27" i="5"/>
  <c r="Q28" i="5"/>
  <c r="Q20" i="5"/>
  <c r="Q21" i="5"/>
  <c r="G70" i="5"/>
  <c r="D86" i="5"/>
  <c r="D87" i="5"/>
  <c r="D91" i="5"/>
  <c r="D92" i="5"/>
  <c r="D94" i="5"/>
  <c r="C96" i="5"/>
  <c r="D104" i="5"/>
  <c r="D105" i="5"/>
  <c r="D109" i="5"/>
  <c r="D110" i="5"/>
  <c r="D112" i="5"/>
  <c r="C114" i="5"/>
  <c r="G76" i="5"/>
  <c r="H76" i="5" s="1"/>
  <c r="D113" i="5" s="1"/>
  <c r="G74" i="5"/>
  <c r="H74" i="5" s="1"/>
  <c r="D111" i="5" s="1"/>
  <c r="G71" i="5"/>
  <c r="H71" i="5" s="1"/>
  <c r="D108" i="5" s="1"/>
  <c r="H70" i="5"/>
  <c r="D107" i="5" s="1"/>
  <c r="G69" i="5"/>
  <c r="H69" i="5" s="1"/>
  <c r="D106" i="5" s="1"/>
  <c r="G66" i="5"/>
  <c r="H66" i="5" s="1"/>
  <c r="D103" i="5" s="1"/>
  <c r="G65" i="5"/>
  <c r="H65" i="5" s="1"/>
  <c r="D102" i="5" s="1"/>
  <c r="G64" i="5"/>
  <c r="H64" i="5" s="1"/>
  <c r="D83" i="5" s="1"/>
  <c r="C77" i="5"/>
  <c r="D67" i="5" s="1"/>
  <c r="C23" i="5"/>
  <c r="D90" i="5" l="1"/>
  <c r="D101" i="5"/>
  <c r="D114" i="5" s="1"/>
  <c r="D69" i="5"/>
  <c r="D88" i="5"/>
  <c r="D95" i="5"/>
  <c r="D93" i="5"/>
  <c r="D76" i="5"/>
  <c r="D84" i="5"/>
  <c r="D85" i="5"/>
  <c r="D72" i="5"/>
  <c r="D65" i="5"/>
  <c r="D89" i="5"/>
  <c r="D68" i="5"/>
  <c r="D64" i="5"/>
  <c r="D73" i="5"/>
  <c r="D74" i="5"/>
  <c r="D66" i="5"/>
  <c r="D71" i="5"/>
  <c r="D70" i="5"/>
  <c r="D75" i="5"/>
  <c r="G77" i="5"/>
  <c r="R41" i="2"/>
  <c r="R42" i="2"/>
  <c r="R38" i="2"/>
  <c r="R36" i="2"/>
  <c r="R34" i="2"/>
  <c r="R29" i="2"/>
  <c r="R27" i="2"/>
  <c r="R26" i="2"/>
  <c r="D57" i="2"/>
  <c r="D38" i="2"/>
  <c r="C38" i="2"/>
  <c r="C57" i="2"/>
  <c r="E49" i="2" s="1"/>
  <c r="U27" i="2" s="1"/>
  <c r="D96" i="5" l="1"/>
  <c r="E84" i="5" s="1"/>
  <c r="E109" i="5"/>
  <c r="E102" i="5"/>
  <c r="E108" i="5"/>
  <c r="E110" i="5"/>
  <c r="E107" i="5"/>
  <c r="E103" i="5"/>
  <c r="E106" i="5"/>
  <c r="E111" i="5"/>
  <c r="E101" i="5"/>
  <c r="E105" i="5"/>
  <c r="E112" i="5"/>
  <c r="E104" i="5"/>
  <c r="E56" i="2"/>
  <c r="E48" i="2"/>
  <c r="E55" i="2"/>
  <c r="E47" i="2"/>
  <c r="E54" i="2"/>
  <c r="E46" i="2"/>
  <c r="U35" i="2" s="1"/>
  <c r="E53" i="2"/>
  <c r="E45" i="2"/>
  <c r="U34" i="2" s="1"/>
  <c r="E52" i="2"/>
  <c r="E44" i="2"/>
  <c r="U32" i="2" s="1"/>
  <c r="E51" i="2"/>
  <c r="U36" i="2" s="1"/>
  <c r="E50" i="2"/>
  <c r="U26" i="2" s="1"/>
  <c r="E43" i="2"/>
  <c r="U29" i="2" s="1"/>
  <c r="D68" i="1"/>
  <c r="D36" i="1"/>
  <c r="C36" i="1"/>
  <c r="U42" i="2" l="1"/>
  <c r="E86" i="5"/>
  <c r="E94" i="5"/>
  <c r="E92" i="5"/>
  <c r="E87" i="5"/>
  <c r="E83" i="5"/>
  <c r="E91" i="5"/>
  <c r="E90" i="5"/>
  <c r="E85" i="5"/>
  <c r="E93" i="5"/>
  <c r="E88" i="5"/>
  <c r="E89" i="5"/>
  <c r="U33" i="2"/>
  <c r="U28" i="2"/>
  <c r="E57" i="2"/>
  <c r="U41" i="2"/>
  <c r="U38" i="2"/>
  <c r="F102" i="6"/>
  <c r="J19" i="6"/>
  <c r="K19" i="6" s="1"/>
  <c r="L19" i="6" s="1"/>
  <c r="M19" i="6" s="1"/>
  <c r="M18" i="5"/>
  <c r="N18" i="5" s="1"/>
  <c r="O18" i="5" s="1"/>
  <c r="P18" i="5" s="1"/>
  <c r="Q18" i="5" s="1"/>
  <c r="E96" i="5" l="1"/>
  <c r="L35" i="1"/>
  <c r="M35" i="1" s="1"/>
  <c r="N35" i="1" s="1"/>
  <c r="O35" i="1" s="1"/>
  <c r="P35" i="1" s="1"/>
  <c r="Q35" i="1" s="1"/>
  <c r="R35" i="1" s="1"/>
  <c r="S35" i="1" s="1"/>
  <c r="T35" i="1" s="1"/>
  <c r="E69" i="8" l="1"/>
  <c r="F69" i="8"/>
  <c r="G69" i="8"/>
  <c r="E70" i="8"/>
  <c r="F70" i="8"/>
  <c r="G70" i="8"/>
  <c r="E71" i="8"/>
  <c r="F71" i="8"/>
  <c r="G71" i="8"/>
  <c r="E72" i="8"/>
  <c r="F72" i="8"/>
  <c r="G72" i="8"/>
  <c r="E73" i="8"/>
  <c r="F73" i="8"/>
  <c r="G73" i="8"/>
  <c r="E74" i="8"/>
  <c r="F128" i="8" s="1"/>
  <c r="F74" i="8"/>
  <c r="G74" i="8"/>
  <c r="E75" i="8"/>
  <c r="F75" i="8"/>
  <c r="G75" i="8"/>
  <c r="E76" i="8"/>
  <c r="F76" i="8"/>
  <c r="G76" i="8"/>
  <c r="E77" i="8"/>
  <c r="F77" i="8"/>
  <c r="G77" i="8"/>
  <c r="E78" i="8"/>
  <c r="F78" i="8"/>
  <c r="G78" i="8"/>
  <c r="E79" i="8"/>
  <c r="F79" i="8"/>
  <c r="G79" i="8"/>
  <c r="E80" i="8"/>
  <c r="F80" i="8"/>
  <c r="G80" i="8"/>
  <c r="E81" i="8"/>
  <c r="F81" i="8"/>
  <c r="G81" i="8"/>
  <c r="E82" i="8"/>
  <c r="F127" i="8" s="1"/>
  <c r="F82" i="8"/>
  <c r="G82" i="8"/>
  <c r="E83" i="8"/>
  <c r="F83" i="8"/>
  <c r="G83" i="8"/>
  <c r="E84" i="8"/>
  <c r="F84" i="8"/>
  <c r="G84" i="8"/>
  <c r="E85" i="8"/>
  <c r="F85" i="8"/>
  <c r="G85" i="8"/>
  <c r="E86" i="8"/>
  <c r="F86" i="8"/>
  <c r="G86" i="8"/>
  <c r="E87" i="8"/>
  <c r="F87" i="8"/>
  <c r="G87" i="8"/>
  <c r="E88" i="8"/>
  <c r="F88" i="8"/>
  <c r="G88" i="8"/>
  <c r="E89" i="8"/>
  <c r="F89" i="8"/>
  <c r="G89" i="8"/>
  <c r="E90" i="8"/>
  <c r="F126" i="8" s="1"/>
  <c r="F90" i="8"/>
  <c r="G90" i="8"/>
  <c r="E91" i="8"/>
  <c r="F91" i="8"/>
  <c r="G91" i="8"/>
  <c r="E92" i="8"/>
  <c r="F92" i="8"/>
  <c r="G92" i="8"/>
  <c r="E93" i="8"/>
  <c r="F93" i="8"/>
  <c r="G93" i="8"/>
  <c r="E94" i="8"/>
  <c r="F94" i="8"/>
  <c r="G94" i="8"/>
  <c r="E95" i="8"/>
  <c r="F95" i="8"/>
  <c r="G95" i="8"/>
  <c r="E96" i="8"/>
  <c r="F96" i="8"/>
  <c r="G96" i="8"/>
  <c r="E97" i="8"/>
  <c r="F97" i="8"/>
  <c r="G97" i="8"/>
  <c r="E98" i="8"/>
  <c r="F98" i="8"/>
  <c r="G98" i="8"/>
  <c r="E99" i="8"/>
  <c r="F99" i="8"/>
  <c r="G99" i="8"/>
  <c r="E100" i="8"/>
  <c r="F100" i="8"/>
  <c r="G100" i="8"/>
  <c r="E101" i="8"/>
  <c r="F101" i="8"/>
  <c r="G101" i="8"/>
  <c r="E102" i="8"/>
  <c r="F102" i="8"/>
  <c r="G102" i="8"/>
  <c r="E103" i="8"/>
  <c r="F103" i="8"/>
  <c r="G103" i="8"/>
  <c r="E104" i="8"/>
  <c r="F104" i="8"/>
  <c r="G104" i="8"/>
  <c r="E105" i="8"/>
  <c r="F105" i="8"/>
  <c r="G105" i="8"/>
  <c r="E106" i="8"/>
  <c r="F106" i="8"/>
  <c r="G106" i="8"/>
  <c r="E107" i="8"/>
  <c r="F107" i="8"/>
  <c r="G107" i="8"/>
  <c r="E108" i="8"/>
  <c r="F108" i="8"/>
  <c r="G108" i="8"/>
  <c r="E109" i="8"/>
  <c r="F109" i="8"/>
  <c r="G109" i="8"/>
  <c r="E110" i="8"/>
  <c r="F110" i="8"/>
  <c r="G110" i="8"/>
  <c r="E111" i="8"/>
  <c r="F111" i="8"/>
  <c r="G111" i="8"/>
  <c r="E112" i="8"/>
  <c r="F112" i="8"/>
  <c r="G112" i="8"/>
  <c r="E113" i="8"/>
  <c r="F113" i="8"/>
  <c r="G113" i="8"/>
  <c r="E114" i="8"/>
  <c r="F114" i="8"/>
  <c r="G114" i="8"/>
  <c r="E115" i="8"/>
  <c r="F115" i="8"/>
  <c r="G115" i="8"/>
  <c r="E116" i="8"/>
  <c r="F116" i="8"/>
  <c r="G116" i="8"/>
  <c r="E117" i="8"/>
  <c r="F117" i="8"/>
  <c r="G117" i="8"/>
  <c r="E118" i="8"/>
  <c r="F118" i="8"/>
  <c r="G118" i="8"/>
  <c r="E119" i="8"/>
  <c r="F119" i="8"/>
  <c r="G119" i="8"/>
  <c r="E120" i="8"/>
  <c r="F120" i="8"/>
  <c r="G120" i="8"/>
  <c r="E121" i="8"/>
  <c r="F121" i="8"/>
  <c r="G121" i="8"/>
  <c r="E122" i="8"/>
  <c r="F122" i="8"/>
  <c r="G122" i="8"/>
  <c r="G123" i="8"/>
  <c r="G124" i="8"/>
  <c r="G125" i="8"/>
  <c r="G126" i="8"/>
  <c r="G127" i="8"/>
  <c r="G128" i="8"/>
  <c r="G129" i="8"/>
  <c r="G130" i="8"/>
  <c r="G131" i="8"/>
  <c r="E132" i="8"/>
  <c r="F132" i="8"/>
  <c r="E133" i="8"/>
  <c r="F133" i="8"/>
  <c r="E134" i="8"/>
  <c r="F134" i="8"/>
  <c r="E135" i="8"/>
  <c r="F135" i="8"/>
  <c r="E136" i="8"/>
  <c r="F136" i="8"/>
  <c r="E137" i="8"/>
  <c r="F137" i="8"/>
  <c r="E138" i="8"/>
  <c r="F138" i="8"/>
  <c r="E139" i="8"/>
  <c r="F139" i="8"/>
  <c r="E140" i="8"/>
  <c r="F140" i="8"/>
  <c r="F65" i="8"/>
  <c r="E65" i="8"/>
  <c r="F64" i="8"/>
  <c r="E64" i="8"/>
  <c r="F63" i="8"/>
  <c r="E63" i="8"/>
  <c r="F62" i="8"/>
  <c r="E62" i="8"/>
  <c r="F61" i="8"/>
  <c r="E61" i="8"/>
  <c r="F60" i="8"/>
  <c r="E60" i="8"/>
  <c r="F59" i="8"/>
  <c r="E59" i="8"/>
  <c r="F58" i="8"/>
  <c r="E58" i="8"/>
  <c r="F57" i="8"/>
  <c r="E57" i="8"/>
  <c r="G56" i="8"/>
  <c r="G55" i="8"/>
  <c r="G54" i="8"/>
  <c r="G53" i="8"/>
  <c r="G52" i="8"/>
  <c r="G51" i="8"/>
  <c r="G50" i="8"/>
  <c r="G49" i="8"/>
  <c r="G48" i="8"/>
  <c r="G47" i="8"/>
  <c r="F47" i="8"/>
  <c r="E47" i="8"/>
  <c r="G46" i="8"/>
  <c r="F46" i="8"/>
  <c r="E46" i="8"/>
  <c r="G45" i="8"/>
  <c r="F45" i="8"/>
  <c r="E45" i="8"/>
  <c r="G44" i="8"/>
  <c r="F44" i="8"/>
  <c r="E44" i="8"/>
  <c r="G43" i="8"/>
  <c r="F43" i="8"/>
  <c r="E43" i="8"/>
  <c r="G42" i="8"/>
  <c r="F42" i="8"/>
  <c r="E42" i="8"/>
  <c r="G41" i="8"/>
  <c r="F41" i="8"/>
  <c r="E41" i="8"/>
  <c r="G40" i="8"/>
  <c r="F40" i="8"/>
  <c r="E40" i="8"/>
  <c r="G39" i="8"/>
  <c r="F39" i="8"/>
  <c r="E39" i="8"/>
  <c r="G38" i="8"/>
  <c r="F38" i="8"/>
  <c r="E38" i="8"/>
  <c r="G37" i="8"/>
  <c r="F37" i="8"/>
  <c r="E37" i="8"/>
  <c r="G36" i="8"/>
  <c r="F36" i="8"/>
  <c r="E36" i="8"/>
  <c r="G35" i="8"/>
  <c r="F35" i="8"/>
  <c r="E35" i="8"/>
  <c r="G34" i="8"/>
  <c r="F34" i="8"/>
  <c r="E34" i="8"/>
  <c r="G33" i="8"/>
  <c r="F33" i="8"/>
  <c r="E33" i="8"/>
  <c r="G32" i="8"/>
  <c r="F32" i="8"/>
  <c r="E32" i="8"/>
  <c r="G31" i="8"/>
  <c r="F31" i="8"/>
  <c r="E31" i="8"/>
  <c r="G30" i="8"/>
  <c r="F30" i="8"/>
  <c r="E30" i="8"/>
  <c r="G29" i="8"/>
  <c r="F29" i="8"/>
  <c r="E29" i="8"/>
  <c r="G28" i="8"/>
  <c r="F28" i="8"/>
  <c r="E28" i="8"/>
  <c r="G27" i="8"/>
  <c r="F27" i="8"/>
  <c r="E27" i="8"/>
  <c r="G26" i="8"/>
  <c r="F26" i="8"/>
  <c r="E26" i="8"/>
  <c r="G25" i="8"/>
  <c r="F25" i="8"/>
  <c r="E25" i="8"/>
  <c r="G24" i="8"/>
  <c r="F24" i="8"/>
  <c r="E24" i="8"/>
  <c r="G23" i="8"/>
  <c r="F23" i="8"/>
  <c r="E23" i="8"/>
  <c r="G22" i="8"/>
  <c r="F22" i="8"/>
  <c r="E22" i="8"/>
  <c r="G21" i="8"/>
  <c r="F21" i="8"/>
  <c r="E21" i="8"/>
  <c r="G20" i="8"/>
  <c r="F20" i="8"/>
  <c r="E20" i="8"/>
  <c r="G19" i="8"/>
  <c r="F19" i="8"/>
  <c r="E19" i="8"/>
  <c r="G18" i="8"/>
  <c r="F18" i="8"/>
  <c r="E18" i="8"/>
  <c r="G17" i="8"/>
  <c r="F17" i="8"/>
  <c r="E17" i="8"/>
  <c r="G16" i="8"/>
  <c r="F16" i="8"/>
  <c r="E16" i="8"/>
  <c r="G15" i="8"/>
  <c r="F15" i="8"/>
  <c r="E15" i="8"/>
  <c r="G14" i="8"/>
  <c r="F14" i="8"/>
  <c r="E14" i="8"/>
  <c r="G13" i="8"/>
  <c r="F13" i="8"/>
  <c r="E13" i="8"/>
  <c r="G12" i="8"/>
  <c r="F12" i="8"/>
  <c r="E12" i="8"/>
  <c r="G11" i="8"/>
  <c r="F11" i="8"/>
  <c r="E11" i="8"/>
  <c r="F56" i="8" s="1"/>
  <c r="G10" i="8"/>
  <c r="F10" i="8"/>
  <c r="E10" i="8"/>
  <c r="G9" i="8"/>
  <c r="F9" i="8"/>
  <c r="E9" i="8"/>
  <c r="G8" i="8"/>
  <c r="F8" i="8"/>
  <c r="E8" i="8"/>
  <c r="G7" i="8"/>
  <c r="F7" i="8"/>
  <c r="E7" i="8"/>
  <c r="G6" i="8"/>
  <c r="F6" i="8"/>
  <c r="E6" i="8"/>
  <c r="G5" i="8"/>
  <c r="F5" i="8"/>
  <c r="E5" i="8"/>
  <c r="G4" i="8"/>
  <c r="F4" i="8"/>
  <c r="E4" i="8"/>
  <c r="G3" i="8"/>
  <c r="F3" i="8"/>
  <c r="E3" i="8"/>
  <c r="F48" i="8" s="1"/>
  <c r="F129" i="8" l="1"/>
  <c r="F130" i="8"/>
  <c r="F131" i="8"/>
  <c r="F123" i="8"/>
  <c r="F124" i="8"/>
  <c r="F125" i="8"/>
  <c r="F49" i="8"/>
  <c r="F52" i="8"/>
  <c r="F55" i="8"/>
  <c r="F51" i="8"/>
  <c r="F54" i="8"/>
  <c r="F50" i="8"/>
  <c r="F53" i="8"/>
  <c r="L24" i="2"/>
  <c r="M24" i="2" s="1"/>
  <c r="N24" i="2" s="1"/>
  <c r="O24" i="2" s="1"/>
  <c r="P24" i="2" s="1"/>
  <c r="Q24" i="2" s="1"/>
  <c r="R24" i="2" s="1"/>
  <c r="S24" i="2" s="1"/>
  <c r="T24" i="2" s="1"/>
  <c r="U24" i="2" s="1"/>
  <c r="I19" i="7" l="1"/>
  <c r="J13" i="7" s="1"/>
  <c r="G19" i="7"/>
  <c r="H17" i="7" s="1"/>
  <c r="E19" i="7"/>
  <c r="F15" i="7" s="1"/>
  <c r="C19" i="7"/>
  <c r="D11" i="7" s="1"/>
  <c r="K26" i="2" s="1"/>
  <c r="J10" i="7" l="1"/>
  <c r="I22" i="7"/>
  <c r="J8" i="7"/>
  <c r="I23" i="6" s="1"/>
  <c r="J17" i="7"/>
  <c r="J9" i="7"/>
  <c r="J18" i="7"/>
  <c r="J11" i="7"/>
  <c r="I25" i="6" s="1"/>
  <c r="J15" i="7"/>
  <c r="J12" i="7"/>
  <c r="I26" i="6" s="1"/>
  <c r="J14" i="7"/>
  <c r="I27" i="6" s="1"/>
  <c r="J6" i="7"/>
  <c r="I21" i="6" s="1"/>
  <c r="J7" i="7"/>
  <c r="I22" i="6" s="1"/>
  <c r="J16" i="7"/>
  <c r="I28" i="6" s="1"/>
  <c r="F8" i="7"/>
  <c r="K45" i="1" s="1"/>
  <c r="K44" i="1" s="1"/>
  <c r="F18" i="7"/>
  <c r="F16" i="7"/>
  <c r="K53" i="1" s="1"/>
  <c r="H12" i="7"/>
  <c r="L25" i="5" s="1"/>
  <c r="H18" i="7"/>
  <c r="H13" i="7"/>
  <c r="L26" i="5" s="1"/>
  <c r="H6" i="7"/>
  <c r="L21" i="5" s="1"/>
  <c r="H14" i="7"/>
  <c r="L27" i="5" s="1"/>
  <c r="H7" i="7"/>
  <c r="L22" i="5" s="1"/>
  <c r="H15" i="7"/>
  <c r="H10" i="7"/>
  <c r="H8" i="7"/>
  <c r="L23" i="5" s="1"/>
  <c r="H16" i="7"/>
  <c r="L28" i="5" s="1"/>
  <c r="G22" i="7"/>
  <c r="H11" i="7"/>
  <c r="L20" i="5" s="1"/>
  <c r="H9" i="7"/>
  <c r="L24" i="5" s="1"/>
  <c r="F9" i="7"/>
  <c r="F17" i="7"/>
  <c r="F11" i="7"/>
  <c r="K37" i="1" s="1"/>
  <c r="F10" i="7"/>
  <c r="F12" i="7"/>
  <c r="K48" i="1" s="1"/>
  <c r="F13" i="7"/>
  <c r="K52" i="1" s="1"/>
  <c r="E22" i="7"/>
  <c r="F6" i="7"/>
  <c r="K40" i="1" s="1"/>
  <c r="K39" i="1" s="1"/>
  <c r="F14" i="7"/>
  <c r="K54" i="1" s="1"/>
  <c r="F7" i="7"/>
  <c r="K38" i="1" s="1"/>
  <c r="D14" i="7"/>
  <c r="K42" i="2" s="1"/>
  <c r="D19" i="7"/>
  <c r="C22" i="7"/>
  <c r="D16" i="7"/>
  <c r="D8" i="7"/>
  <c r="K34" i="2" s="1"/>
  <c r="K33" i="2" s="1"/>
  <c r="D13" i="7"/>
  <c r="K40" i="2" s="1"/>
  <c r="D18" i="7"/>
  <c r="D10" i="7"/>
  <c r="D17" i="7"/>
  <c r="D9" i="7"/>
  <c r="D15" i="7"/>
  <c r="D7" i="7"/>
  <c r="K27" i="2" s="1"/>
  <c r="D12" i="7"/>
  <c r="K36" i="2" s="1"/>
  <c r="D6" i="7"/>
  <c r="K29" i="2" s="1"/>
  <c r="K28" i="2" s="1"/>
  <c r="K50" i="1" l="1"/>
  <c r="K49" i="1" s="1"/>
  <c r="K41" i="2"/>
  <c r="K39" i="2" s="1"/>
  <c r="K38" i="2"/>
  <c r="K37" i="2" s="1"/>
  <c r="K51" i="1"/>
  <c r="I29" i="6"/>
  <c r="I29" i="7"/>
  <c r="I30" i="7" s="1"/>
  <c r="E29" i="7"/>
  <c r="E30" i="7" s="1"/>
  <c r="C29" i="7"/>
  <c r="C30" i="7" s="1"/>
  <c r="G29" i="7"/>
  <c r="G30" i="7" s="1"/>
  <c r="L44" i="2" l="1"/>
  <c r="K44" i="2"/>
  <c r="M30" i="5"/>
  <c r="N30" i="5"/>
  <c r="O30" i="5"/>
  <c r="L30" i="5"/>
  <c r="P30" i="5"/>
  <c r="Q30" i="5" s="1"/>
  <c r="K55" i="1"/>
  <c r="M30" i="6"/>
  <c r="J30" i="6"/>
  <c r="K30" i="6"/>
  <c r="L30" i="6"/>
  <c r="I30" i="6"/>
  <c r="K43" i="2"/>
  <c r="C101" i="6"/>
  <c r="M24" i="6" l="1"/>
  <c r="M23" i="6"/>
  <c r="C111" i="6"/>
  <c r="R28" i="2"/>
  <c r="R33" i="2"/>
  <c r="R37" i="2"/>
  <c r="R39" i="2"/>
  <c r="R43" i="2" l="1"/>
  <c r="C90" i="6"/>
  <c r="D78" i="6" s="1"/>
  <c r="M21" i="6" s="1"/>
  <c r="M29" i="6" s="1"/>
  <c r="C65" i="6"/>
  <c r="D65" i="6" s="1"/>
  <c r="C64" i="6"/>
  <c r="C62" i="6"/>
  <c r="D62" i="6" s="1"/>
  <c r="C56" i="6"/>
  <c r="C58" i="6"/>
  <c r="C36" i="6"/>
  <c r="D36" i="6" s="1"/>
  <c r="C34" i="6"/>
  <c r="D34" i="6" s="1"/>
  <c r="C27" i="6"/>
  <c r="C28" i="6"/>
  <c r="P22" i="5"/>
  <c r="P23" i="5"/>
  <c r="P24" i="5"/>
  <c r="P20" i="5"/>
  <c r="P25" i="5"/>
  <c r="P26" i="5"/>
  <c r="P27" i="5"/>
  <c r="P28" i="5"/>
  <c r="P21" i="5"/>
  <c r="D64" i="6" l="1"/>
  <c r="D86" i="6"/>
  <c r="L27" i="6" s="1"/>
  <c r="D81" i="6"/>
  <c r="L21" i="6"/>
  <c r="D84" i="6"/>
  <c r="L26" i="6" s="1"/>
  <c r="D80" i="6"/>
  <c r="L23" i="6" s="1"/>
  <c r="D82" i="6"/>
  <c r="D87" i="6"/>
  <c r="L28" i="6" s="1"/>
  <c r="D88" i="6"/>
  <c r="D79" i="6"/>
  <c r="L22" i="6" s="1"/>
  <c r="D89" i="6"/>
  <c r="D85" i="6"/>
  <c r="L25" i="6"/>
  <c r="C68" i="6"/>
  <c r="D61" i="6" s="1"/>
  <c r="C46" i="6"/>
  <c r="C59" i="5"/>
  <c r="C41" i="5"/>
  <c r="D20" i="6"/>
  <c r="L29" i="6" l="1"/>
  <c r="D42" i="6"/>
  <c r="J27" i="6" s="1"/>
  <c r="D40" i="6"/>
  <c r="J26" i="6" s="1"/>
  <c r="D43" i="6"/>
  <c r="J28" i="6" s="1"/>
  <c r="D39" i="6"/>
  <c r="J25" i="6" s="1"/>
  <c r="D59" i="6"/>
  <c r="D60" i="6"/>
  <c r="D56" i="6"/>
  <c r="K21" i="6" s="1"/>
  <c r="D58" i="6"/>
  <c r="K23" i="6" s="1"/>
  <c r="D57" i="6"/>
  <c r="K22" i="6" s="1"/>
  <c r="K25" i="6"/>
  <c r="D35" i="6"/>
  <c r="J22" i="6" s="1"/>
  <c r="D41" i="6"/>
  <c r="K27" i="6"/>
  <c r="K28" i="6"/>
  <c r="D44" i="6"/>
  <c r="D90" i="6"/>
  <c r="D45" i="6"/>
  <c r="K26" i="6"/>
  <c r="D37" i="6"/>
  <c r="J23" i="6"/>
  <c r="D38" i="6"/>
  <c r="J21" i="6"/>
  <c r="D77" i="5"/>
  <c r="K29" i="6" l="1"/>
  <c r="J29" i="6"/>
  <c r="E71" i="5"/>
  <c r="N26" i="5" s="1"/>
  <c r="E65" i="5"/>
  <c r="N22" i="5" s="1"/>
  <c r="E66" i="5"/>
  <c r="N23" i="5" s="1"/>
  <c r="E74" i="5"/>
  <c r="N28" i="5" s="1"/>
  <c r="E68" i="5"/>
  <c r="E69" i="5"/>
  <c r="N20" i="5" s="1"/>
  <c r="E67" i="5"/>
  <c r="N24" i="5" s="1"/>
  <c r="E75" i="5"/>
  <c r="E64" i="5"/>
  <c r="N21" i="5" s="1"/>
  <c r="E70" i="5"/>
  <c r="N25" i="5" s="1"/>
  <c r="E72" i="5"/>
  <c r="N27" i="5" s="1"/>
  <c r="E73" i="5"/>
  <c r="D46" i="6"/>
  <c r="D68" i="6"/>
  <c r="F17" i="2"/>
  <c r="E77" i="5" l="1"/>
  <c r="I8" i="4"/>
  <c r="K9" i="4" l="1"/>
  <c r="K14" i="4" s="1"/>
  <c r="G14" i="4"/>
  <c r="I14" i="4"/>
  <c r="I12" i="4"/>
  <c r="I13" i="4"/>
  <c r="I10" i="4"/>
  <c r="C8" i="4"/>
  <c r="F16" i="1"/>
  <c r="F29" i="1"/>
  <c r="R48" i="1" s="1"/>
  <c r="C68" i="1"/>
  <c r="F60" i="1" s="1"/>
  <c r="T46" i="1" s="1"/>
  <c r="G13" i="4" l="1"/>
  <c r="G10" i="4"/>
  <c r="G12" i="4"/>
  <c r="F27" i="1"/>
  <c r="R45" i="1" s="1"/>
  <c r="K10" i="4"/>
  <c r="K12" i="4"/>
  <c r="K13" i="4"/>
  <c r="F24" i="1"/>
  <c r="R38" i="1" s="1"/>
  <c r="F23" i="1"/>
  <c r="R37" i="1" s="1"/>
  <c r="F35" i="1"/>
  <c r="R54" i="1" s="1"/>
  <c r="F32" i="1"/>
  <c r="F31" i="1"/>
  <c r="F30" i="1"/>
  <c r="R50" i="1" s="1"/>
  <c r="R49" i="1" s="1"/>
  <c r="F28" i="1"/>
  <c r="F34" i="1"/>
  <c r="F26" i="1"/>
  <c r="R39" i="1" s="1"/>
  <c r="F33" i="1"/>
  <c r="R53" i="1" s="1"/>
  <c r="F25" i="1"/>
  <c r="R40" i="1" s="1"/>
  <c r="F67" i="1"/>
  <c r="T54" i="1" s="1"/>
  <c r="F59" i="1"/>
  <c r="T45" i="1" s="1"/>
  <c r="T44" i="1" s="1"/>
  <c r="F66" i="1"/>
  <c r="F58" i="1"/>
  <c r="T41" i="1" s="1"/>
  <c r="F65" i="1"/>
  <c r="T53" i="1" s="1"/>
  <c r="T51" i="1" s="1"/>
  <c r="F57" i="1"/>
  <c r="T40" i="1" s="1"/>
  <c r="T39" i="1" s="1"/>
  <c r="F64" i="1"/>
  <c r="F56" i="1"/>
  <c r="T38" i="1" s="1"/>
  <c r="F63" i="1"/>
  <c r="F62" i="1"/>
  <c r="F61" i="1"/>
  <c r="T48" i="1" s="1"/>
  <c r="F55" i="1"/>
  <c r="T37" i="1" s="1"/>
  <c r="C126" i="2"/>
  <c r="C125" i="2"/>
  <c r="C112" i="2"/>
  <c r="C113" i="2" s="1"/>
  <c r="C99" i="2"/>
  <c r="C100" i="2" s="1"/>
  <c r="C101" i="2" s="1"/>
  <c r="D87" i="2"/>
  <c r="F86" i="2" s="1"/>
  <c r="S38" i="2" s="1"/>
  <c r="S37" i="2" s="1"/>
  <c r="C87" i="2"/>
  <c r="L37" i="2"/>
  <c r="Q37" i="2"/>
  <c r="O37" i="2"/>
  <c r="D70" i="2"/>
  <c r="F62" i="2" s="1"/>
  <c r="C70" i="2"/>
  <c r="E62" i="2" s="1"/>
  <c r="P30" i="2" s="1"/>
  <c r="I169" i="1"/>
  <c r="R159" i="1" s="1"/>
  <c r="H169" i="1"/>
  <c r="Q161" i="1" s="1"/>
  <c r="G169" i="1"/>
  <c r="P161" i="1" s="1"/>
  <c r="P45" i="1" s="1"/>
  <c r="P44" i="1" s="1"/>
  <c r="F169" i="1"/>
  <c r="O160" i="1" s="1"/>
  <c r="E169" i="1"/>
  <c r="N160" i="1" s="1"/>
  <c r="D169" i="1"/>
  <c r="M161" i="1" s="1"/>
  <c r="C169" i="1"/>
  <c r="L160" i="1" s="1"/>
  <c r="R153" i="1"/>
  <c r="Q153" i="1"/>
  <c r="P153" i="1"/>
  <c r="O153" i="1"/>
  <c r="N153" i="1"/>
  <c r="M153" i="1"/>
  <c r="L153" i="1"/>
  <c r="R152" i="1"/>
  <c r="Q152" i="1"/>
  <c r="P152" i="1"/>
  <c r="O152" i="1"/>
  <c r="N152" i="1"/>
  <c r="M152" i="1"/>
  <c r="R150" i="1"/>
  <c r="Q150" i="1"/>
  <c r="P150" i="1"/>
  <c r="O150" i="1"/>
  <c r="N150" i="1"/>
  <c r="M150" i="1"/>
  <c r="L150" i="1"/>
  <c r="R149" i="1"/>
  <c r="Q149" i="1"/>
  <c r="P149" i="1"/>
  <c r="O149" i="1"/>
  <c r="N149" i="1"/>
  <c r="M149" i="1"/>
  <c r="L149" i="1"/>
  <c r="R148" i="1"/>
  <c r="Q148" i="1"/>
  <c r="P148" i="1"/>
  <c r="O148" i="1"/>
  <c r="N148" i="1"/>
  <c r="M148" i="1"/>
  <c r="L148" i="1"/>
  <c r="R147" i="1"/>
  <c r="Q147" i="1"/>
  <c r="P147" i="1"/>
  <c r="O147" i="1"/>
  <c r="N147" i="1"/>
  <c r="M147" i="1"/>
  <c r="L147" i="1"/>
  <c r="R146" i="1"/>
  <c r="Q146" i="1"/>
  <c r="P146" i="1"/>
  <c r="O146" i="1"/>
  <c r="N146" i="1"/>
  <c r="M146" i="1"/>
  <c r="L146" i="1"/>
  <c r="R145" i="1"/>
  <c r="Q145" i="1"/>
  <c r="P145" i="1"/>
  <c r="O145" i="1"/>
  <c r="N145" i="1"/>
  <c r="M145" i="1"/>
  <c r="L145" i="1"/>
  <c r="R144" i="1"/>
  <c r="Q144" i="1"/>
  <c r="P144" i="1"/>
  <c r="O144" i="1"/>
  <c r="N144" i="1"/>
  <c r="M144" i="1"/>
  <c r="L144" i="1"/>
  <c r="U39" i="2"/>
  <c r="U37" i="2"/>
  <c r="M37" i="2"/>
  <c r="D159" i="2"/>
  <c r="L149" i="2" s="1"/>
  <c r="E159" i="2"/>
  <c r="M150" i="2" s="1"/>
  <c r="F159" i="2"/>
  <c r="N150" i="2" s="1"/>
  <c r="G159" i="2"/>
  <c r="O151" i="2" s="1"/>
  <c r="M34" i="2" s="1"/>
  <c r="M33" i="2" s="1"/>
  <c r="H159" i="2"/>
  <c r="P151" i="2" s="1"/>
  <c r="I159" i="2"/>
  <c r="Q152" i="2" s="1"/>
  <c r="C159" i="2"/>
  <c r="K153" i="2" s="1"/>
  <c r="K134" i="2"/>
  <c r="L134" i="2"/>
  <c r="M134" i="2"/>
  <c r="N134" i="2"/>
  <c r="O134" i="2"/>
  <c r="P134" i="2"/>
  <c r="Q134" i="2"/>
  <c r="L135" i="2"/>
  <c r="M135" i="2"/>
  <c r="N135" i="2"/>
  <c r="O135" i="2"/>
  <c r="P135" i="2"/>
  <c r="Q135" i="2"/>
  <c r="L136" i="2"/>
  <c r="M136" i="2"/>
  <c r="N136" i="2"/>
  <c r="O136" i="2"/>
  <c r="P136" i="2"/>
  <c r="Q136" i="2"/>
  <c r="L137" i="2"/>
  <c r="M137" i="2"/>
  <c r="N137" i="2"/>
  <c r="O137" i="2"/>
  <c r="P137" i="2"/>
  <c r="Q137" i="2"/>
  <c r="L138" i="2"/>
  <c r="M138" i="2"/>
  <c r="N138" i="2"/>
  <c r="O138" i="2"/>
  <c r="P138" i="2"/>
  <c r="Q138" i="2"/>
  <c r="L139" i="2"/>
  <c r="M139" i="2"/>
  <c r="N139" i="2"/>
  <c r="O139" i="2"/>
  <c r="P139" i="2"/>
  <c r="Q139" i="2"/>
  <c r="L140" i="2"/>
  <c r="M140" i="2"/>
  <c r="N140" i="2"/>
  <c r="O140" i="2"/>
  <c r="P140" i="2"/>
  <c r="Q140" i="2"/>
  <c r="L142" i="2"/>
  <c r="M142" i="2"/>
  <c r="N142" i="2"/>
  <c r="O142" i="2"/>
  <c r="P142" i="2"/>
  <c r="Q142" i="2"/>
  <c r="L143" i="2"/>
  <c r="M143" i="2"/>
  <c r="N143" i="2"/>
  <c r="O143" i="2"/>
  <c r="P143" i="2"/>
  <c r="Q143" i="2"/>
  <c r="K136" i="2"/>
  <c r="K137" i="2"/>
  <c r="K138" i="2"/>
  <c r="K139" i="2"/>
  <c r="K140" i="2"/>
  <c r="K142" i="2"/>
  <c r="K143" i="2"/>
  <c r="K135" i="2"/>
  <c r="D138" i="1"/>
  <c r="E136" i="1" s="1"/>
  <c r="S45" i="1" s="1"/>
  <c r="S44" i="1" s="1"/>
  <c r="C138" i="1"/>
  <c r="R44" i="1"/>
  <c r="D127" i="1"/>
  <c r="E121" i="1" s="1"/>
  <c r="M45" i="1" s="1"/>
  <c r="D112" i="1"/>
  <c r="E104" i="1" s="1"/>
  <c r="Q42" i="1" s="1"/>
  <c r="D97" i="1"/>
  <c r="E89" i="1" s="1"/>
  <c r="O42" i="1" s="1"/>
  <c r="D82" i="1"/>
  <c r="E46" i="1"/>
  <c r="L38" i="1" s="1"/>
  <c r="E74" i="1" l="1"/>
  <c r="E73" i="1"/>
  <c r="R51" i="1"/>
  <c r="R55" i="1" s="1"/>
  <c r="T50" i="1"/>
  <c r="T49" i="1" s="1"/>
  <c r="T55" i="1" s="1"/>
  <c r="E82" i="2"/>
  <c r="N26" i="2" s="1"/>
  <c r="E83" i="2"/>
  <c r="N36" i="2" s="1"/>
  <c r="E84" i="2"/>
  <c r="N41" i="2" s="1"/>
  <c r="E80" i="2"/>
  <c r="N31" i="2" s="1"/>
  <c r="E85" i="2"/>
  <c r="N42" i="2" s="1"/>
  <c r="E78" i="2"/>
  <c r="N29" i="2" s="1"/>
  <c r="E86" i="2"/>
  <c r="N38" i="2" s="1"/>
  <c r="N37" i="2" s="1"/>
  <c r="E79" i="2"/>
  <c r="N30" i="2" s="1"/>
  <c r="E81" i="2"/>
  <c r="N34" i="2" s="1"/>
  <c r="N33" i="2" s="1"/>
  <c r="D101" i="2"/>
  <c r="E95" i="2" s="1"/>
  <c r="O36" i="2" s="1"/>
  <c r="N162" i="1"/>
  <c r="D114" i="2"/>
  <c r="L159" i="1"/>
  <c r="O162" i="1"/>
  <c r="O161" i="1"/>
  <c r="E137" i="1"/>
  <c r="S50" i="1" s="1"/>
  <c r="S49" i="1" s="1"/>
  <c r="F36" i="1"/>
  <c r="L162" i="1"/>
  <c r="N159" i="1"/>
  <c r="M168" i="1"/>
  <c r="F68" i="1"/>
  <c r="O165" i="1"/>
  <c r="N167" i="1"/>
  <c r="E132" i="1"/>
  <c r="S53" i="1" s="1"/>
  <c r="N165" i="1"/>
  <c r="M164" i="1"/>
  <c r="L167" i="1"/>
  <c r="Q166" i="1"/>
  <c r="Q163" i="1"/>
  <c r="N161" i="1"/>
  <c r="P159" i="1"/>
  <c r="P164" i="1"/>
  <c r="P48" i="1" s="1"/>
  <c r="P163" i="1"/>
  <c r="P37" i="1" s="1"/>
  <c r="L161" i="1"/>
  <c r="O166" i="1"/>
  <c r="N163" i="1"/>
  <c r="M160" i="1"/>
  <c r="P166" i="1"/>
  <c r="P52" i="1" s="1"/>
  <c r="P160" i="1"/>
  <c r="P38" i="1" s="1"/>
  <c r="P168" i="1"/>
  <c r="N166" i="1"/>
  <c r="Q162" i="1"/>
  <c r="Q159" i="1"/>
  <c r="P162" i="1"/>
  <c r="P40" i="1" s="1"/>
  <c r="P39" i="1" s="1"/>
  <c r="Q167" i="1"/>
  <c r="P167" i="1"/>
  <c r="E134" i="1"/>
  <c r="S37" i="1" s="1"/>
  <c r="L166" i="1"/>
  <c r="Q168" i="1"/>
  <c r="O167" i="1"/>
  <c r="M166" i="1"/>
  <c r="Q164" i="1"/>
  <c r="O163" i="1"/>
  <c r="M162" i="1"/>
  <c r="Q160" i="1"/>
  <c r="O159" i="1"/>
  <c r="R167" i="1"/>
  <c r="R163" i="1"/>
  <c r="E135" i="1"/>
  <c r="S48" i="1" s="1"/>
  <c r="R168" i="1"/>
  <c r="R164" i="1"/>
  <c r="R160" i="1"/>
  <c r="E133" i="1"/>
  <c r="S54" i="1" s="1"/>
  <c r="L165" i="1"/>
  <c r="R165" i="1"/>
  <c r="R161" i="1"/>
  <c r="L164" i="1"/>
  <c r="O168" i="1"/>
  <c r="M167" i="1"/>
  <c r="Q165" i="1"/>
  <c r="O164" i="1"/>
  <c r="M163" i="1"/>
  <c r="M159" i="1"/>
  <c r="L163" i="1"/>
  <c r="N168" i="1"/>
  <c r="R166" i="1"/>
  <c r="P165" i="1"/>
  <c r="P53" i="1" s="1"/>
  <c r="N164" i="1"/>
  <c r="R162" i="1"/>
  <c r="L168" i="1"/>
  <c r="M165" i="1"/>
  <c r="D127" i="2"/>
  <c r="C114" i="2"/>
  <c r="E69" i="2"/>
  <c r="P38" i="2" s="1"/>
  <c r="P37" i="2" s="1"/>
  <c r="F68" i="2"/>
  <c r="T42" i="2" s="1"/>
  <c r="F82" i="2"/>
  <c r="S26" i="2" s="1"/>
  <c r="F69" i="2"/>
  <c r="T38" i="2" s="1"/>
  <c r="T37" i="2" s="1"/>
  <c r="E68" i="2"/>
  <c r="P42" i="2" s="1"/>
  <c r="F67" i="2"/>
  <c r="T41" i="2" s="1"/>
  <c r="E67" i="2"/>
  <c r="P41" i="2" s="1"/>
  <c r="F66" i="2"/>
  <c r="T36" i="2" s="1"/>
  <c r="E66" i="2"/>
  <c r="P36" i="2" s="1"/>
  <c r="F65" i="2"/>
  <c r="T26" i="2" s="1"/>
  <c r="F85" i="2"/>
  <c r="S42" i="2" s="1"/>
  <c r="E65" i="2"/>
  <c r="P26" i="2" s="1"/>
  <c r="F64" i="2"/>
  <c r="T34" i="2" s="1"/>
  <c r="T33" i="2" s="1"/>
  <c r="F84" i="2"/>
  <c r="S41" i="2" s="1"/>
  <c r="E64" i="2"/>
  <c r="P34" i="2" s="1"/>
  <c r="P33" i="2" s="1"/>
  <c r="F63" i="2"/>
  <c r="T31" i="2" s="1"/>
  <c r="T28" i="2" s="1"/>
  <c r="F83" i="2"/>
  <c r="S36" i="2" s="1"/>
  <c r="E63" i="2"/>
  <c r="P31" i="2" s="1"/>
  <c r="P28" i="2" s="1"/>
  <c r="F81" i="2"/>
  <c r="S34" i="2" s="1"/>
  <c r="S33" i="2" s="1"/>
  <c r="K149" i="2"/>
  <c r="F80" i="2"/>
  <c r="S31" i="2" s="1"/>
  <c r="N151" i="2"/>
  <c r="F78" i="2"/>
  <c r="F79" i="2"/>
  <c r="S30" i="2" s="1"/>
  <c r="O157" i="2"/>
  <c r="M42" i="2" s="1"/>
  <c r="P156" i="2"/>
  <c r="O156" i="2"/>
  <c r="P152" i="2"/>
  <c r="K155" i="2"/>
  <c r="O152" i="2"/>
  <c r="M29" i="2" s="1"/>
  <c r="M28" i="2" s="1"/>
  <c r="M151" i="2"/>
  <c r="K154" i="2"/>
  <c r="N155" i="2"/>
  <c r="O149" i="2"/>
  <c r="M156" i="2"/>
  <c r="K152" i="2"/>
  <c r="M155" i="2"/>
  <c r="K151" i="2"/>
  <c r="O153" i="2"/>
  <c r="M26" i="2" s="1"/>
  <c r="M157" i="2"/>
  <c r="M152" i="2"/>
  <c r="K157" i="2"/>
  <c r="Q157" i="2"/>
  <c r="Q149" i="2"/>
  <c r="L154" i="2"/>
  <c r="Q153" i="2"/>
  <c r="K158" i="2"/>
  <c r="K150" i="2"/>
  <c r="P157" i="2"/>
  <c r="N156" i="2"/>
  <c r="L155" i="2"/>
  <c r="P153" i="2"/>
  <c r="N152" i="2"/>
  <c r="L151" i="2"/>
  <c r="P149" i="2"/>
  <c r="L150" i="2"/>
  <c r="Q154" i="2"/>
  <c r="Q150" i="2"/>
  <c r="K156" i="2"/>
  <c r="P158" i="2"/>
  <c r="N157" i="2"/>
  <c r="L156" i="2"/>
  <c r="P154" i="2"/>
  <c r="N153" i="2"/>
  <c r="L152" i="2"/>
  <c r="P150" i="2"/>
  <c r="N149" i="2"/>
  <c r="O158" i="2"/>
  <c r="Q155" i="2"/>
  <c r="O154" i="2"/>
  <c r="M36" i="2" s="1"/>
  <c r="M153" i="2"/>
  <c r="Q151" i="2"/>
  <c r="O150" i="2"/>
  <c r="M149" i="2"/>
  <c r="L158" i="2"/>
  <c r="N158" i="2"/>
  <c r="L157" i="2"/>
  <c r="P155" i="2"/>
  <c r="N154" i="2"/>
  <c r="L153" i="2"/>
  <c r="U43" i="2"/>
  <c r="Q158" i="2"/>
  <c r="M158" i="2"/>
  <c r="Q156" i="2"/>
  <c r="O155" i="2"/>
  <c r="M154" i="2"/>
  <c r="E80" i="1"/>
  <c r="N37" i="1" s="1"/>
  <c r="E79" i="1"/>
  <c r="N48" i="1" s="1"/>
  <c r="E78" i="1"/>
  <c r="N38" i="1" s="1"/>
  <c r="E88" i="1"/>
  <c r="O40" i="1" s="1"/>
  <c r="O39" i="1" s="1"/>
  <c r="E95" i="1"/>
  <c r="O37" i="1" s="1"/>
  <c r="E96" i="1"/>
  <c r="O54" i="1" s="1"/>
  <c r="O51" i="1" s="1"/>
  <c r="E81" i="1"/>
  <c r="N54" i="1" s="1"/>
  <c r="N51" i="1" s="1"/>
  <c r="E45" i="1"/>
  <c r="E44" i="1"/>
  <c r="L45" i="1" s="1"/>
  <c r="L44" i="1" s="1"/>
  <c r="E75" i="1"/>
  <c r="N43" i="1" s="1"/>
  <c r="E92" i="1"/>
  <c r="E109" i="1"/>
  <c r="Q48" i="1" s="1"/>
  <c r="E43" i="1"/>
  <c r="E77" i="1"/>
  <c r="N47" i="1" s="1"/>
  <c r="E94" i="1"/>
  <c r="O48" i="1" s="1"/>
  <c r="E111" i="1"/>
  <c r="Q54" i="1" s="1"/>
  <c r="Q51" i="1" s="1"/>
  <c r="L40" i="1"/>
  <c r="E42" i="1"/>
  <c r="L42" i="1" s="1"/>
  <c r="E76" i="1"/>
  <c r="N45" i="1" s="1"/>
  <c r="E93" i="1"/>
  <c r="O38" i="1" s="1"/>
  <c r="E110" i="1"/>
  <c r="Q37" i="1" s="1"/>
  <c r="E49" i="1"/>
  <c r="L54" i="1" s="1"/>
  <c r="L51" i="1" s="1"/>
  <c r="E48" i="1"/>
  <c r="L37" i="1" s="1"/>
  <c r="N40" i="1"/>
  <c r="E91" i="1"/>
  <c r="O45" i="1" s="1"/>
  <c r="O44" i="1" s="1"/>
  <c r="E108" i="1"/>
  <c r="Q38" i="1" s="1"/>
  <c r="E47" i="1"/>
  <c r="L48" i="1" s="1"/>
  <c r="E90" i="1"/>
  <c r="E107" i="1"/>
  <c r="Q47" i="1" s="1"/>
  <c r="E106" i="1"/>
  <c r="Q45" i="1" s="1"/>
  <c r="E105" i="1"/>
  <c r="Q43" i="1" s="1"/>
  <c r="E103" i="1"/>
  <c r="Q40" i="1" s="1"/>
  <c r="E119" i="1"/>
  <c r="E125" i="1"/>
  <c r="M37" i="1" s="1"/>
  <c r="E118" i="1"/>
  <c r="M40" i="1" s="1"/>
  <c r="E124" i="1"/>
  <c r="M48" i="1" s="1"/>
  <c r="E120" i="1"/>
  <c r="M43" i="1" s="1"/>
  <c r="E126" i="1"/>
  <c r="M54" i="1" s="1"/>
  <c r="M51" i="1" s="1"/>
  <c r="E123" i="1"/>
  <c r="M38" i="1" s="1"/>
  <c r="E122" i="1"/>
  <c r="M47" i="1" s="1"/>
  <c r="M44" i="1" s="1"/>
  <c r="O55" i="1" l="1"/>
  <c r="N44" i="1"/>
  <c r="P54" i="1"/>
  <c r="P51" i="1" s="1"/>
  <c r="P55" i="1" s="1"/>
  <c r="L39" i="1"/>
  <c r="L55" i="1" s="1"/>
  <c r="Q39" i="1"/>
  <c r="N39" i="1"/>
  <c r="M39" i="1"/>
  <c r="M55" i="1" s="1"/>
  <c r="Q44" i="1"/>
  <c r="S51" i="1"/>
  <c r="S55" i="1" s="1"/>
  <c r="M41" i="2"/>
  <c r="M39" i="2" s="1"/>
  <c r="N28" i="2"/>
  <c r="P39" i="2"/>
  <c r="P43" i="2" s="1"/>
  <c r="T39" i="2"/>
  <c r="T43" i="2" s="1"/>
  <c r="M27" i="2"/>
  <c r="N39" i="2"/>
  <c r="N43" i="2" s="1"/>
  <c r="S39" i="2"/>
  <c r="S28" i="2"/>
  <c r="E99" i="2"/>
  <c r="O42" i="2" s="1"/>
  <c r="E96" i="2"/>
  <c r="O34" i="2" s="1"/>
  <c r="O33" i="2" s="1"/>
  <c r="E100" i="2"/>
  <c r="E97" i="2"/>
  <c r="E98" i="2"/>
  <c r="O26" i="2" s="1"/>
  <c r="E94" i="2"/>
  <c r="O29" i="2" s="1"/>
  <c r="O28" i="2" s="1"/>
  <c r="E112" i="2"/>
  <c r="Q42" i="2" s="1"/>
  <c r="E107" i="2"/>
  <c r="Q29" i="2" s="1"/>
  <c r="E108" i="2"/>
  <c r="Q36" i="2" s="1"/>
  <c r="E109" i="2"/>
  <c r="Q34" i="2" s="1"/>
  <c r="Q33" i="2" s="1"/>
  <c r="E110" i="2"/>
  <c r="E111" i="2"/>
  <c r="Q26" i="2" s="1"/>
  <c r="E126" i="2"/>
  <c r="E120" i="2"/>
  <c r="L29" i="2" s="1"/>
  <c r="L28" i="2" s="1"/>
  <c r="E121" i="2"/>
  <c r="L36" i="2" s="1"/>
  <c r="E122" i="2"/>
  <c r="L34" i="2" s="1"/>
  <c r="L33" i="2" s="1"/>
  <c r="E123" i="2"/>
  <c r="E124" i="2"/>
  <c r="L26" i="2" s="1"/>
  <c r="E125" i="2"/>
  <c r="L42" i="2" s="1"/>
  <c r="E113" i="2"/>
  <c r="E138" i="1"/>
  <c r="E82" i="1"/>
  <c r="F70" i="2"/>
  <c r="C127" i="2"/>
  <c r="E70" i="2"/>
  <c r="F87" i="2"/>
  <c r="E87" i="2"/>
  <c r="E112" i="1"/>
  <c r="E97" i="1"/>
  <c r="E50" i="1"/>
  <c r="E127" i="1"/>
  <c r="Q55" i="1" l="1"/>
  <c r="N55" i="1"/>
  <c r="O41" i="2"/>
  <c r="O39" i="2" s="1"/>
  <c r="M43" i="2"/>
  <c r="S43" i="2"/>
  <c r="Q41" i="2"/>
  <c r="Q39" i="2" s="1"/>
  <c r="Q43" i="2" s="1"/>
  <c r="O43" i="2"/>
  <c r="L41" i="2"/>
  <c r="L39" i="2" s="1"/>
  <c r="L43" i="2" s="1"/>
  <c r="E101" i="2"/>
  <c r="E127" i="2"/>
  <c r="E114" i="2"/>
  <c r="O20" i="5" l="1"/>
  <c r="O28" i="5"/>
  <c r="O26" i="5"/>
  <c r="O27" i="5"/>
  <c r="O22" i="5"/>
  <c r="O23" i="5"/>
  <c r="O24" i="5"/>
  <c r="O25" i="5"/>
  <c r="O21" i="5" l="1"/>
  <c r="M23" i="5"/>
  <c r="M27" i="5"/>
  <c r="M20" i="5"/>
  <c r="M24" i="5"/>
  <c r="M26" i="5"/>
  <c r="M22" i="5"/>
  <c r="M25" i="5"/>
  <c r="M28" i="5"/>
  <c r="M21" i="5" l="1"/>
  <c r="E114" i="5"/>
</calcChain>
</file>

<file path=xl/comments1.xml><?xml version="1.0" encoding="utf-8"?>
<comments xmlns="http://schemas.openxmlformats.org/spreadsheetml/2006/main">
  <authors>
    <author>Ben Morelli</author>
  </authors>
  <commentList>
    <comment ref="F22" authorId="0" shapeId="0">
      <text>
        <r>
          <rPr>
            <b/>
            <sz val="11"/>
            <color indexed="81"/>
            <rFont val="Tahoma"/>
            <family val="2"/>
          </rPr>
          <t>ERG:</t>
        </r>
        <r>
          <rPr>
            <sz val="11"/>
            <color indexed="81"/>
            <rFont val="Tahoma"/>
            <family val="2"/>
          </rPr>
          <t xml:space="preserve">
Original Grid Mix as reported in IEA 2010 did not total to 100% exactly.</t>
        </r>
      </text>
    </comment>
  </commentList>
</comments>
</file>

<file path=xl/comments2.xml><?xml version="1.0" encoding="utf-8"?>
<comments xmlns="http://schemas.openxmlformats.org/spreadsheetml/2006/main">
  <authors>
    <author>Ben Morelli</author>
  </authors>
  <commentList>
    <comment ref="E93" authorId="0" shapeId="0">
      <text>
        <r>
          <rPr>
            <b/>
            <sz val="9"/>
            <color indexed="81"/>
            <rFont val="Tahoma"/>
            <family val="2"/>
          </rPr>
          <t>ERG:</t>
        </r>
        <r>
          <rPr>
            <sz val="9"/>
            <color indexed="81"/>
            <rFont val="Tahoma"/>
            <family val="2"/>
          </rPr>
          <t xml:space="preserve">
from EIA 2013, for 2030</t>
        </r>
      </text>
    </comment>
    <comment ref="E106" authorId="0" shapeId="0">
      <text>
        <r>
          <rPr>
            <b/>
            <sz val="9"/>
            <color indexed="81"/>
            <rFont val="Tahoma"/>
            <family val="2"/>
          </rPr>
          <t>ERG:</t>
        </r>
        <r>
          <rPr>
            <sz val="9"/>
            <color indexed="81"/>
            <rFont val="Tahoma"/>
            <family val="2"/>
          </rPr>
          <t xml:space="preserve">
from EIA 2013, for 2030</t>
        </r>
      </text>
    </comment>
    <comment ref="E119" authorId="0" shapeId="0">
      <text>
        <r>
          <rPr>
            <b/>
            <sz val="9"/>
            <color indexed="81"/>
            <rFont val="Tahoma"/>
            <family val="2"/>
          </rPr>
          <t>ERG:</t>
        </r>
        <r>
          <rPr>
            <sz val="9"/>
            <color indexed="81"/>
            <rFont val="Tahoma"/>
            <family val="2"/>
          </rPr>
          <t xml:space="preserve">
from EIA 2013, for 2030</t>
        </r>
      </text>
    </comment>
  </commentList>
</comments>
</file>

<file path=xl/sharedStrings.xml><?xml version="1.0" encoding="utf-8"?>
<sst xmlns="http://schemas.openxmlformats.org/spreadsheetml/2006/main" count="1956" uniqueCount="500">
  <si>
    <t>India</t>
  </si>
  <si>
    <t>Production Type</t>
  </si>
  <si>
    <t>Coal and Peat</t>
  </si>
  <si>
    <t>Hydroelectric</t>
  </si>
  <si>
    <t>Natural Gas</t>
  </si>
  <si>
    <t>Nuclear</t>
  </si>
  <si>
    <t>Wind</t>
  </si>
  <si>
    <t>Oil</t>
  </si>
  <si>
    <t>Biomass</t>
  </si>
  <si>
    <t>Solar Photovoltaic</t>
  </si>
  <si>
    <t>Waste</t>
  </si>
  <si>
    <t>Total Production</t>
  </si>
  <si>
    <t>China</t>
  </si>
  <si>
    <t>Industrial Waste</t>
  </si>
  <si>
    <t>Citation</t>
  </si>
  <si>
    <t>Full Reference</t>
  </si>
  <si>
    <t>IEA (International Energy Agency). 2012. India: Electricity and heat for 2012 http://www.iea.org/statistics/statisticssearch/report/?country=INDIA&amp;product=electricityandheat&amp;year=2012. Accessed 17 November 2015.</t>
  </si>
  <si>
    <t>IEA 2011</t>
  </si>
  <si>
    <t>IEA 2012</t>
  </si>
  <si>
    <t>Notes:</t>
  </si>
  <si>
    <t>#</t>
  </si>
  <si>
    <t>China has a 2020 target to deploy 380 GW of hydro. Currently at ~200 GW</t>
  </si>
  <si>
    <t>IEA Bluemap and China's ERI Low Carbon scenario projects 318 and 337-388 GW of nuclear by 2050 respectively</t>
  </si>
  <si>
    <t>Southwest China is estimated to have 500 GW of hydro potential (Hirst 2012)</t>
  </si>
  <si>
    <t>Hirst et al. 2012</t>
  </si>
  <si>
    <t>Hirst, N., Brown, T., Riahi, K., Schulz, N., Faist, M., Foster, S., Jennings, M., et al. 2012. China's Energy Technologies to 2050. Grantham Institute for Climate Change. Imperial College. London, EN.</t>
  </si>
  <si>
    <t>IEA Blue Map Scenario, 2050</t>
  </si>
  <si>
    <t>Coal</t>
  </si>
  <si>
    <t>Hydro</t>
  </si>
  <si>
    <t>Other</t>
  </si>
  <si>
    <t>Tansmission and Distribution losses have continued to fall over the last two decades, from 8.9% in 1980 to 7% in 2007 (NBS 2008)</t>
  </si>
  <si>
    <t>Gas</t>
  </si>
  <si>
    <t>Solar</t>
  </si>
  <si>
    <t>Coal + CCS</t>
  </si>
  <si>
    <t>Gas + CCS</t>
  </si>
  <si>
    <t>Biomass + CCS</t>
  </si>
  <si>
    <t>Solar PV</t>
  </si>
  <si>
    <t>Concentrating solar power</t>
  </si>
  <si>
    <t>Wind, onshore</t>
  </si>
  <si>
    <t>Wind, offshore</t>
  </si>
  <si>
    <t>Grid Mix (%)</t>
  </si>
  <si>
    <t>Generating Capacity (GW)</t>
  </si>
  <si>
    <t>IEA Baseline Scenario, 2050</t>
  </si>
  <si>
    <t>IEA 2010</t>
  </si>
  <si>
    <t>Zhou, N., Fridley, D., McNeil, M., Zheng, N., Ke, J., and Levine, M. 2011. China's Energy and Carbon Emissions Outlook to 2050. Ernest Orlando Lawrence Berkeley National Laboratory. LBNL-4472E. https://china.lbl.gov/sites/all/files/lbl-4472e-energy-2050april-2011.pdf  Accessed 28 March, 2016.</t>
  </si>
  <si>
    <t>IEA (International Energy Agency). 2010. Energy Technology Perspectives 2010: Scenarios and Strategies to 2050. 978-92-64-08597-8. https://www.iea.org/publications/freepublications/publication/etp2010.pdf  Accessed 28 March, 2016.</t>
  </si>
  <si>
    <t>Transmission and dist losses of 26%, some states as high as 62%, with theft average losses are 50% (IEA 2010)</t>
  </si>
  <si>
    <t>IEA 2010 assumes grid losses are reduced to 15%</t>
  </si>
  <si>
    <t>Bio/waste</t>
  </si>
  <si>
    <t>Geothermal</t>
  </si>
  <si>
    <t>Tidal</t>
  </si>
  <si>
    <t>Bio + CCS</t>
  </si>
  <si>
    <t>Load Factor (%)</t>
  </si>
  <si>
    <t>IEA 2050 Baseline Scenario</t>
  </si>
  <si>
    <t>IEA 2050 Blue Map Scenario</t>
  </si>
  <si>
    <t>T&amp;D + direct use = 15% (IEA 2010)</t>
  </si>
  <si>
    <t>T&amp;D + Direct Use by plants  33% (IEA 2010)</t>
  </si>
  <si>
    <t>planning to switch from sub-crtical to super critical and ultra-super critical coal power (TERI 2006)</t>
  </si>
  <si>
    <t>TERI 2006</t>
  </si>
  <si>
    <t>India is expeceted to expand installed hydro capacity from 37 GW in 2006 to 150 GW in 2031 (TERI 2006)</t>
  </si>
  <si>
    <t>2011 Generating Capacity estimated at 200-230 GW, 2021 480-550 GW, 2031 650-1100 GW (TERI 2006)</t>
  </si>
  <si>
    <t>Business as Usual 2021</t>
  </si>
  <si>
    <t>Coal Sub-Critical</t>
  </si>
  <si>
    <t>Coal Efficient</t>
  </si>
  <si>
    <t>Coal IGCC</t>
  </si>
  <si>
    <t>Gas ,efficient</t>
  </si>
  <si>
    <t>Diesel</t>
  </si>
  <si>
    <t>Renewables</t>
  </si>
  <si>
    <t>Totals</t>
  </si>
  <si>
    <t>Efficiency 2021</t>
  </si>
  <si>
    <t>Business as Usual 2031</t>
  </si>
  <si>
    <t>Efficiency 2031</t>
  </si>
  <si>
    <t>Hybrid 2021</t>
  </si>
  <si>
    <t>Technology</t>
  </si>
  <si>
    <t>Sub-Critical</t>
  </si>
  <si>
    <t>Regular</t>
  </si>
  <si>
    <t>Oil/Diesel</t>
  </si>
  <si>
    <t>Gas, efficient</t>
  </si>
  <si>
    <t>Fuel</t>
  </si>
  <si>
    <t>All</t>
  </si>
  <si>
    <t>Total</t>
  </si>
  <si>
    <t>Currently all coal in India is sub-critical and has an efficiency of around 33% (Gambhir et al. 2012)</t>
  </si>
  <si>
    <t>TERI (The Energy and Resources Institute). 2006. National Energy Map for India: Technology Vision 2030.  Office of the Principal Scientific Adviser to the Government of India. 81-7993-099-8.  http://www.teriin.org/div/psa-fullreport.pdf  Accessed 29 March, 2016.</t>
  </si>
  <si>
    <t>Gambhir et al. 2012</t>
  </si>
  <si>
    <t xml:space="preserve">Gambhir, A., Napp, T., Emmott, C., Vallejo, L., Anandarajah, G. 2012. India's CO2 Emissions pathway to 2050. The Grantham Institute, Imperial College. London, EN. https://www.imperial.ac.uk/media/imperial-college/grantham-institute/public/publications/institute-reports-and-analytical-notes/India's-emissions-pathways-to-2050---summary-report.pdf  Accessed 29 March, 2016. </t>
  </si>
  <si>
    <t>Indian govt is aiming for 25% of power generation from nuclear by 2050 (Gambhir et al. 2012)</t>
  </si>
  <si>
    <t>Low Carbon in 2050</t>
  </si>
  <si>
    <t>Load Factor</t>
  </si>
  <si>
    <t>Total Capacity</t>
  </si>
  <si>
    <t>Liquids fired</t>
  </si>
  <si>
    <t>Coal Fired</t>
  </si>
  <si>
    <t>Renewable, other</t>
  </si>
  <si>
    <t>Generating Capacity by Year (GW)</t>
  </si>
  <si>
    <t>Fuel Source</t>
  </si>
  <si>
    <t>Electricity Generation by Year (billion kWh)</t>
  </si>
  <si>
    <t>Calculated Load Factors</t>
  </si>
  <si>
    <t>Calculated Grid Mix ((%)</t>
  </si>
  <si>
    <t>EIA Projections</t>
  </si>
  <si>
    <t>EIA 2013</t>
  </si>
  <si>
    <t>EIA (Energy Information Administration). 2013. International Energy Outlook 2013. U.S. Energy Information Administration. DOE/EIA-0484(2013). http://www.eia.gov/forecasts/ieo/pdf/0484(2013).pdf  Accessed 29 March, 2016.</t>
  </si>
  <si>
    <t>Coal, supercritical</t>
  </si>
  <si>
    <t>Coal, ultra-supercritical</t>
  </si>
  <si>
    <t>Natural Gas, Combined Cycle</t>
  </si>
  <si>
    <t>Biomass + Other</t>
  </si>
  <si>
    <t>2030 Grid Mix (%)</t>
  </si>
  <si>
    <t>2050 Grid Mix (%)</t>
  </si>
  <si>
    <t>SuperCritical</t>
  </si>
  <si>
    <t>UltraSuperCritical</t>
  </si>
  <si>
    <t>Coal, subcritical</t>
  </si>
  <si>
    <t>Corrected to 100%</t>
  </si>
  <si>
    <t>BCG Base Case</t>
  </si>
  <si>
    <t>Generation Capacity (GW)</t>
  </si>
  <si>
    <t>Load Factor EIA 2030</t>
  </si>
  <si>
    <t>Michael et al. 2013</t>
  </si>
  <si>
    <t>Michael, D.C., Zhou, S., Wu, X., and Chen, G. 2013. Ghina's Energy Future: Reaching for a Clean World. The Boston Consulting Group. http://www.bcg.com/documents/file127070.pdf  Accessed 29 March, 2016.</t>
  </si>
  <si>
    <t>BCG Clean World</t>
  </si>
  <si>
    <t>BCG Slow Shift</t>
  </si>
  <si>
    <t>Scenario Comparison Chart</t>
  </si>
  <si>
    <t>from IEA 2007</t>
  </si>
  <si>
    <t>Open LCA Grid Select #</t>
  </si>
  <si>
    <t>Odeh and Cockerill 2008</t>
  </si>
  <si>
    <t>Natural Gas, efficient</t>
  </si>
  <si>
    <t>Coal, Ultra-supercritical</t>
  </si>
  <si>
    <t>Thermal Efficiency</t>
  </si>
  <si>
    <t>%</t>
  </si>
  <si>
    <t>original study</t>
  </si>
  <si>
    <t>EIA, 2007</t>
  </si>
  <si>
    <t>&lt;n.a.&gt;</t>
  </si>
  <si>
    <t>NOx</t>
  </si>
  <si>
    <t>calculated based on Odeh and Cockerill 2008</t>
  </si>
  <si>
    <t>&lt;n.a.&gt; - associated with eff increase</t>
  </si>
  <si>
    <t>% of regular</t>
  </si>
  <si>
    <t>g/kWh- original study (Open LCA)</t>
  </si>
  <si>
    <t>PM</t>
  </si>
  <si>
    <t>g/kWh from Odeh and Cockerill 2008</t>
  </si>
  <si>
    <t>Units</t>
  </si>
  <si>
    <t>Source</t>
  </si>
  <si>
    <t>NGCC with CCS/NGCC without</t>
  </si>
  <si>
    <t>Value</t>
  </si>
  <si>
    <t>Coal, IGCC</t>
  </si>
  <si>
    <t>Biofuels</t>
  </si>
  <si>
    <t>Solar Thermal</t>
  </si>
  <si>
    <t>Tide</t>
  </si>
  <si>
    <t>Other Sources</t>
  </si>
  <si>
    <t>Line Loss</t>
  </si>
  <si>
    <t>GWh</t>
  </si>
  <si>
    <t>Description</t>
  </si>
  <si>
    <t>Castellano et al. 2015</t>
  </si>
  <si>
    <t xml:space="preserve">Castellano, A., Kendall, A., Nikomarov, M., and Swemmer, T. 2015. Electric Power &amp; Natural Gas, Brighter Africa: The growth potential of the sub-Saharan electricity sector. McKinsey &amp; Company. http://www.mckinsey.com/~/media/mckinsey/dotcom/client_service/epng/pdfs/brighter_africa-the_growth_potential_of_the_sub-saharan_electricity_sector.ashx Accessed 5 May, 2016. </t>
  </si>
  <si>
    <t>Likelihood of adopting nuclear in SSA is small (Castellano et al. 2015)</t>
  </si>
  <si>
    <t>Grid Imports</t>
  </si>
  <si>
    <t>Adjusted Contribution (%)</t>
  </si>
  <si>
    <t>ROK 2011</t>
  </si>
  <si>
    <t>ROK (Republic of Kenya). 2011. Updated Least Cost Power Development Plan Study Period: 2011-2031. http://erc.go.ke/images/docs/Least_Cost_Power_Development_Plan_2011-2031.pdf  Accessed  6 May, 2016.</t>
  </si>
  <si>
    <t>from Castellano et al. 2015</t>
  </si>
  <si>
    <t>Ghana Strategic National Energy Plan - 2020</t>
  </si>
  <si>
    <t>Thermal</t>
  </si>
  <si>
    <t>39-49</t>
  </si>
  <si>
    <t>41-51</t>
  </si>
  <si>
    <t>GEC (Ghana Energy Commission). 2006. Strategic National Energy Plan 2006-2020. https://s3.amazonaws.com/ndpc-static/pubication/Strategic+National+Energy+Plan+2006-2020.pdf  Accessed 6 May, 2016.</t>
  </si>
  <si>
    <t>MOE 2010</t>
  </si>
  <si>
    <t>MOE (Ministry of Energy). 2010. National Energy Policy. Republic of Ghana. https://s3.amazonaws.com/ndpc-static/pubication/Energy+Policy_Feb2010.pdf  Accessed 6 May, 2016.</t>
  </si>
  <si>
    <t>residential electricity access = 66% (MOE 2010)</t>
  </si>
  <si>
    <t>2010 installed capacity was 1960 MW (MOE 2010), increase to 5000 MW by 2020</t>
  </si>
  <si>
    <t>estimate total system losses at 25%, 11% technical, 14% commercial. (MOE 2010)</t>
  </si>
  <si>
    <t>GEC 2006</t>
  </si>
  <si>
    <t>Coal, CCS</t>
  </si>
  <si>
    <t>Gas, CCS</t>
  </si>
  <si>
    <t>IEA Blue Map - 2050</t>
  </si>
  <si>
    <t>IEA Baseline - 2050</t>
  </si>
  <si>
    <t>EIA - 2030</t>
  </si>
  <si>
    <t>LBNL AIS - 2030</t>
  </si>
  <si>
    <t>LBNL AIS - 2050</t>
  </si>
  <si>
    <t>LBNL CIS - 2030</t>
  </si>
  <si>
    <t>LBNL CIS - 2050</t>
  </si>
  <si>
    <t>BCG Base - 2030</t>
  </si>
  <si>
    <t>BCG Clean - 2030</t>
  </si>
  <si>
    <t>BCG Slow Shift - 2030</t>
  </si>
  <si>
    <t>Low Carbon - 2040</t>
  </si>
  <si>
    <t>Chart Labels</t>
  </si>
  <si>
    <t>Coal, Subcritical</t>
  </si>
  <si>
    <t>Coal, Supercritical</t>
  </si>
  <si>
    <t>Gas, Efficient</t>
  </si>
  <si>
    <t>TERI Efficiency - 2031</t>
  </si>
  <si>
    <t>TERI BAU - 2021</t>
  </si>
  <si>
    <t>TERI Hybrid - 2021</t>
  </si>
  <si>
    <t>TERI Efficiency - 2021</t>
  </si>
  <si>
    <t>TERI BAU - 2031</t>
  </si>
  <si>
    <t>IEA - 2050</t>
  </si>
  <si>
    <t>Low Carbon - 2050</t>
  </si>
  <si>
    <t>World Bank. 2016. Data: Access to electricity (% of population). http://data.worldbank.org/indicator/EG.ELC.ACCS.ZS  Accessed 16 May, 2016.</t>
  </si>
  <si>
    <t>World Bank 2016</t>
  </si>
  <si>
    <t>MiniHydro</t>
  </si>
  <si>
    <t>Potential</t>
  </si>
  <si>
    <t>MW</t>
  </si>
  <si>
    <t>PV</t>
  </si>
  <si>
    <t>GWH</t>
  </si>
  <si>
    <t>Grid Mix Contribution (%))</t>
  </si>
  <si>
    <t>Ghana EC Nuclear -2020</t>
  </si>
  <si>
    <t>Production from:</t>
  </si>
  <si>
    <t>Solar thermal</t>
  </si>
  <si>
    <t>Other sources</t>
  </si>
  <si>
    <t>Total production</t>
  </si>
  <si>
    <t>Imports</t>
  </si>
  <si>
    <t>Exports</t>
  </si>
  <si>
    <t>Domestic supply</t>
  </si>
  <si>
    <t>Statistical differences</t>
  </si>
  <si>
    <t>Electricity plants</t>
  </si>
  <si>
    <t>Losses</t>
  </si>
  <si>
    <t>Final consumption</t>
  </si>
  <si>
    <t>Total distribution losses</t>
  </si>
  <si>
    <t>Kenya</t>
  </si>
  <si>
    <t>Ghana</t>
  </si>
  <si>
    <t>2013 Grid</t>
  </si>
  <si>
    <t>2013 Grid (IEA)</t>
  </si>
  <si>
    <t>IRENA 2013</t>
  </si>
  <si>
    <t>IRENA (International Renewable Energy Agency). 2013. Africa's Renewable Future. http://www.irena.org/DocumentDownloads/Publications/Africa_renewable_future.pdf. Accessed 3 June, 2016.</t>
  </si>
  <si>
    <t>Beer, J. 2005. High Efficiency Electric Power Generation; The Environmental Role. https://mitei.mit.edu/system/files/beer-combustion.pdf. Accessed 8 June, 2016.</t>
  </si>
  <si>
    <t>Zhou et al. 2011</t>
  </si>
  <si>
    <t>McKinsey - 2040</t>
  </si>
  <si>
    <t>ROK Low Demand - 2031</t>
  </si>
  <si>
    <t>ROK High Demand -2031</t>
  </si>
  <si>
    <t>Low Carbon - 2030+</t>
  </si>
  <si>
    <t>Ghana EC Thermal - 2020</t>
  </si>
  <si>
    <t>Ghana EC Renewable -2020</t>
  </si>
  <si>
    <t>IEA_2013</t>
  </si>
  <si>
    <t>Parameter Name</t>
  </si>
  <si>
    <t>Grid Mix</t>
  </si>
  <si>
    <t>Formula</t>
  </si>
  <si>
    <t>Grid Select #</t>
  </si>
  <si>
    <t>ROK_LowDemand</t>
  </si>
  <si>
    <t>ROK_LeastCost</t>
  </si>
  <si>
    <t>ROK_HighDemand</t>
  </si>
  <si>
    <t>McKinsey_2040</t>
  </si>
  <si>
    <t>Low_Carbon_2040</t>
  </si>
  <si>
    <t>production of energy for selected grid with the addition of line losses</t>
  </si>
  <si>
    <t>Thermal_Heavy</t>
  </si>
  <si>
    <t>Nuclear_Heavy</t>
  </si>
  <si>
    <t>Renewable_Heavy</t>
  </si>
  <si>
    <t>LowCarbon_2030</t>
  </si>
  <si>
    <t>Ghana OpenLCA Parameters</t>
  </si>
  <si>
    <t>Kenya OpenLCA Parameters</t>
  </si>
  <si>
    <t>Scenario #</t>
  </si>
  <si>
    <t>Current 2013 Grid Electrical Grid Mix - from International Energy Agency</t>
  </si>
  <si>
    <t>Current and Projected Electricity Grid Mixes - India</t>
  </si>
  <si>
    <t>This project includes an electricity grid sensitivity analysis that looks at the potential affect of shifting electricity grids on cooking stove environmental and human health impacts.</t>
  </si>
  <si>
    <t>2011 Electricity Production (%)</t>
  </si>
  <si>
    <r>
      <rPr>
        <b/>
        <i/>
        <sz val="12"/>
        <color theme="1"/>
        <rFont val="Times New Roman"/>
        <family val="1"/>
      </rPr>
      <t>Source:</t>
    </r>
    <r>
      <rPr>
        <i/>
        <sz val="12"/>
        <color theme="1"/>
        <rFont val="Times New Roman"/>
        <family val="1"/>
      </rPr>
      <t xml:space="preserve"> IEA 2012</t>
    </r>
  </si>
  <si>
    <t>Distribution Losses</t>
  </si>
  <si>
    <t>This sheet documents both the electricity grid mix projections found in the literature and our own adjustments of future grid mixes necessary to meet the study goals.</t>
  </si>
  <si>
    <r>
      <rPr>
        <b/>
        <i/>
        <sz val="12"/>
        <color theme="1"/>
        <rFont val="Times New Roman"/>
        <family val="1"/>
      </rPr>
      <t>Source:</t>
    </r>
    <r>
      <rPr>
        <i/>
        <sz val="12"/>
        <color theme="1"/>
        <rFont val="Times New Roman"/>
        <family val="1"/>
      </rPr>
      <t xml:space="preserve"> IEA 2010, pg. 432</t>
    </r>
  </si>
  <si>
    <t>-</t>
  </si>
  <si>
    <t>Total Generation (GW)</t>
  </si>
  <si>
    <r>
      <rPr>
        <b/>
        <i/>
        <sz val="12"/>
        <color theme="1"/>
        <rFont val="Times New Roman"/>
        <family val="1"/>
      </rPr>
      <t>Source:</t>
    </r>
    <r>
      <rPr>
        <i/>
        <sz val="12"/>
        <color theme="1"/>
        <rFont val="Times New Roman"/>
        <family val="1"/>
      </rPr>
      <t xml:space="preserve"> TERI 2006, pg. 166</t>
    </r>
  </si>
  <si>
    <r>
      <rPr>
        <b/>
        <i/>
        <sz val="12"/>
        <color theme="1"/>
        <rFont val="Times New Roman"/>
        <family val="1"/>
      </rPr>
      <t>Source:</t>
    </r>
    <r>
      <rPr>
        <i/>
        <sz val="12"/>
        <color theme="1"/>
        <rFont val="Times New Roman"/>
        <family val="1"/>
      </rPr>
      <t xml:space="preserve"> EIA 2013</t>
    </r>
  </si>
  <si>
    <t>Apply Load Factors from IEA (%)*</t>
  </si>
  <si>
    <t>*Load factors from IEA 2010</t>
  </si>
  <si>
    <r>
      <t xml:space="preserve">Source: </t>
    </r>
    <r>
      <rPr>
        <i/>
        <sz val="12"/>
        <color theme="1"/>
        <rFont val="Times New Roman"/>
        <family val="1"/>
      </rPr>
      <t>Gambhir et al. 2012</t>
    </r>
  </si>
  <si>
    <t>Distribution &amp; Losses*</t>
  </si>
  <si>
    <r>
      <t xml:space="preserve">IEA (International Energy Agency). 2011a. China, People’s Republic of: Coal and Peat for 2011 </t>
    </r>
    <r>
      <rPr>
        <u/>
        <sz val="12"/>
        <color theme="1"/>
        <rFont val="Times New Roman"/>
        <family val="1"/>
      </rPr>
      <t>http://www.iea.org/statistics/statisticssearch/report/?&amp;country=CHINA&amp;year=2011&amp;product=CoalandPeat</t>
    </r>
    <r>
      <rPr>
        <sz val="12"/>
        <color theme="1"/>
        <rFont val="Times New Roman"/>
        <family val="1"/>
      </rPr>
      <t>.</t>
    </r>
  </si>
  <si>
    <r>
      <t xml:space="preserve">Odeh, N.A., and Cockerill, T.T. 2008. Life Cycle GHG assessment of fossil fuel power plants with carbon capture and storage. </t>
    </r>
    <r>
      <rPr>
        <i/>
        <sz val="12"/>
        <color theme="1"/>
        <rFont val="Times New Roman"/>
        <family val="1"/>
      </rPr>
      <t xml:space="preserve">Energy Policy. </t>
    </r>
    <r>
      <rPr>
        <sz val="12"/>
        <color theme="1"/>
        <rFont val="Times New Roman"/>
        <family val="1"/>
      </rPr>
      <t xml:space="preserve">36: 367-380. </t>
    </r>
  </si>
  <si>
    <t>Beer 2005</t>
  </si>
  <si>
    <t>Power Type</t>
  </si>
  <si>
    <t>Documentation of 2013 electrical grid fuel mix, production capacity, and delivery efficiency for the 4 study countries.</t>
  </si>
  <si>
    <r>
      <rPr>
        <b/>
        <i/>
        <sz val="12"/>
        <color theme="1"/>
        <rFont val="Times New Roman"/>
        <family val="1"/>
      </rPr>
      <t>Source:</t>
    </r>
    <r>
      <rPr>
        <i/>
        <sz val="12"/>
        <color theme="1"/>
        <rFont val="Times New Roman"/>
        <family val="1"/>
      </rPr>
      <t xml:space="preserve"> TERI 2006</t>
    </r>
  </si>
  <si>
    <r>
      <rPr>
        <b/>
        <i/>
        <sz val="12"/>
        <color theme="1"/>
        <rFont val="Times New Roman"/>
        <family val="1"/>
      </rPr>
      <t>Source:</t>
    </r>
    <r>
      <rPr>
        <i/>
        <sz val="12"/>
        <color theme="1"/>
        <rFont val="Times New Roman"/>
        <family val="1"/>
      </rPr>
      <t xml:space="preserve"> TERI 2006, pg. 178</t>
    </r>
  </si>
  <si>
    <t>Current and Future Electrical Grid Mix Scenarios - India</t>
  </si>
  <si>
    <r>
      <t>LBNL Accelerated Improvement Scenario (AIS)</t>
    </r>
    <r>
      <rPr>
        <b/>
        <sz val="12"/>
        <color rgb="FFFF0000"/>
        <rFont val="Times New Roman"/>
        <family val="1"/>
      </rPr>
      <t>-2030/2050</t>
    </r>
  </si>
  <si>
    <r>
      <t>LBNL Continued Improvement Scenario (CIS)</t>
    </r>
    <r>
      <rPr>
        <b/>
        <sz val="12"/>
        <color rgb="FFFF0000"/>
        <rFont val="Times New Roman"/>
        <family val="1"/>
      </rPr>
      <t>-2030/2050</t>
    </r>
  </si>
  <si>
    <t>Current and Projected Electricity Grid Mixes - China</t>
  </si>
  <si>
    <r>
      <rPr>
        <b/>
        <i/>
        <sz val="12"/>
        <color theme="1"/>
        <rFont val="Times New Roman"/>
        <family val="1"/>
      </rPr>
      <t>Source:</t>
    </r>
    <r>
      <rPr>
        <i/>
        <sz val="12"/>
        <color theme="1"/>
        <rFont val="Times New Roman"/>
        <family val="1"/>
      </rPr>
      <t xml:space="preserve"> IEA 2010</t>
    </r>
  </si>
  <si>
    <t>Current and Future Electrical Grid Mix Scenarios - China</t>
  </si>
  <si>
    <t>Note:</t>
  </si>
  <si>
    <t>aggregated with Solar PV</t>
  </si>
  <si>
    <t>Aggregated with wind as it is the most common non-hydro renewable</t>
  </si>
  <si>
    <t>Aggregated with normal biomass in this study.</t>
  </si>
  <si>
    <t xml:space="preserve">* Current and slow shift scenarios use the current estimate of transmission and distribution losses. Slightly more optimistic scenarios use the marginally improved grid loss estimate from IEA 2010. </t>
  </si>
  <si>
    <r>
      <rPr>
        <b/>
        <i/>
        <sz val="12"/>
        <color theme="1"/>
        <rFont val="Times New Roman"/>
        <family val="1"/>
      </rPr>
      <t>Source:</t>
    </r>
    <r>
      <rPr>
        <i/>
        <sz val="12"/>
        <color theme="1"/>
        <rFont val="Times New Roman"/>
        <family val="1"/>
      </rPr>
      <t xml:space="preserve"> Zhou et al. 2011</t>
    </r>
  </si>
  <si>
    <r>
      <rPr>
        <b/>
        <i/>
        <sz val="12"/>
        <color theme="1"/>
        <rFont val="Times New Roman"/>
        <family val="1"/>
      </rPr>
      <t>Source:</t>
    </r>
    <r>
      <rPr>
        <i/>
        <sz val="12"/>
        <color theme="1"/>
        <rFont val="Times New Roman"/>
        <family val="1"/>
      </rPr>
      <t xml:space="preserve"> Michael et al. 2013</t>
    </r>
  </si>
  <si>
    <r>
      <rPr>
        <b/>
        <i/>
        <sz val="12"/>
        <color theme="1"/>
        <rFont val="Times New Roman"/>
        <family val="1"/>
      </rPr>
      <t>Source:</t>
    </r>
    <r>
      <rPr>
        <i/>
        <sz val="12"/>
        <color theme="1"/>
        <rFont val="Times New Roman"/>
        <family val="1"/>
      </rPr>
      <t xml:space="preserve"> IEA 2011</t>
    </r>
  </si>
  <si>
    <r>
      <t xml:space="preserve">Projected 2030 Grid </t>
    </r>
    <r>
      <rPr>
        <b/>
        <sz val="12"/>
        <rFont val="Times New Roman"/>
        <family val="1"/>
      </rPr>
      <t>- West Africa</t>
    </r>
  </si>
  <si>
    <r>
      <t xml:space="preserve">Projected 2040 Grid </t>
    </r>
    <r>
      <rPr>
        <b/>
        <sz val="12"/>
        <rFont val="Times New Roman"/>
        <family val="1"/>
      </rPr>
      <t>- West Africa</t>
    </r>
  </si>
  <si>
    <r>
      <t xml:space="preserve">Projected 2031 Grid </t>
    </r>
    <r>
      <rPr>
        <b/>
        <sz val="12"/>
        <rFont val="Times New Roman"/>
        <family val="1"/>
      </rPr>
      <t>- Kenya, Least Cost Base Scenario</t>
    </r>
  </si>
  <si>
    <r>
      <t xml:space="preserve">Projected 2031 Grid </t>
    </r>
    <r>
      <rPr>
        <b/>
        <sz val="12"/>
        <rFont val="Times New Roman"/>
        <family val="1"/>
      </rPr>
      <t>- Kenya, Least Cost High Demand</t>
    </r>
  </si>
  <si>
    <t>Source: Castellano et al. 2015</t>
  </si>
  <si>
    <t>Current and Projected Electricity Grid Mixes - Kenya</t>
  </si>
  <si>
    <t>Current and Future Electrical Grid Mix Scenarios - Kenya</t>
  </si>
  <si>
    <t>Removed Grid Imports and Increased domestic fuel contributions proportionally.</t>
  </si>
  <si>
    <t>Electricity Generation (GWh)</t>
  </si>
  <si>
    <t>Source: ROK 2011, page 135, Table 57</t>
  </si>
  <si>
    <t>ROK Least Cost Base Scenario - 2031</t>
  </si>
  <si>
    <t>Installed Capacity</t>
  </si>
  <si>
    <r>
      <t xml:space="preserve">Projected 2031 Grid </t>
    </r>
    <r>
      <rPr>
        <b/>
        <sz val="12"/>
        <rFont val="Times New Roman"/>
        <family val="1"/>
      </rPr>
      <t>- Kenya, Least Cost Low Load</t>
    </r>
  </si>
  <si>
    <t>Installed Capacity (MW)</t>
  </si>
  <si>
    <t>Generation (GWh)</t>
  </si>
  <si>
    <t>ERG Balance Clean Grid</t>
  </si>
  <si>
    <r>
      <t xml:space="preserve">Ghana Strategic National Energy Plan - 2020 </t>
    </r>
    <r>
      <rPr>
        <b/>
        <sz val="12"/>
        <rFont val="Times New Roman"/>
        <family val="1"/>
      </rPr>
      <t>(Thermal Heavy)</t>
    </r>
  </si>
  <si>
    <r>
      <t xml:space="preserve">Ghana Strategic National Energy Plan - 2020 </t>
    </r>
    <r>
      <rPr>
        <b/>
        <sz val="12"/>
        <rFont val="Times New Roman"/>
        <family val="1"/>
      </rPr>
      <t>(Renewable Heavy)</t>
    </r>
  </si>
  <si>
    <r>
      <t xml:space="preserve">IRENA - 2030 </t>
    </r>
    <r>
      <rPr>
        <b/>
        <sz val="12"/>
        <rFont val="Times New Roman"/>
        <family val="1"/>
      </rPr>
      <t>(Renewables)</t>
    </r>
  </si>
  <si>
    <t>Current and Projected Electricity Grid Mixes - Ghana</t>
  </si>
  <si>
    <t xml:space="preserve">government is exploring the option of a natural gas pipeline Source: nigeria (GEC 2006). </t>
  </si>
  <si>
    <t>electricity demand is set to grow Source: 9000 GWh in 2012 to 24000 GWh in 2020. (IRENA 2015)</t>
  </si>
  <si>
    <t>Source: GEC 2006, page 47</t>
  </si>
  <si>
    <t>Adjusted  to 100%</t>
  </si>
  <si>
    <r>
      <rPr>
        <b/>
        <i/>
        <sz val="12"/>
        <color theme="1"/>
        <rFont val="Times New Roman"/>
        <family val="1"/>
      </rPr>
      <t xml:space="preserve">Rationale: </t>
    </r>
    <r>
      <rPr>
        <sz val="12"/>
        <color theme="1"/>
        <rFont val="Times New Roman"/>
        <family val="1"/>
      </rPr>
      <t>Adaptation of Grid Mix ranges presented in GEC 2006. Started by assuming the maximum proportion of thermal energy. Assume 1/3 of thermal energy from coal, 2/3 from natural gas. Then start with the midpoint of the estimate for each hydro, nuclear, and renewables and then adjust each of these down proportionally till the grid mix value equals 100%.</t>
    </r>
  </si>
  <si>
    <t>the Ghana Energy Commission determined that coal fired eletrical energy is the most competitve source of centralised grid electricity (GEC 2006, pg. 46)</t>
  </si>
  <si>
    <t>Fuel Type</t>
  </si>
  <si>
    <r>
      <t xml:space="preserve">Source: </t>
    </r>
    <r>
      <rPr>
        <i/>
        <sz val="12"/>
        <color theme="1"/>
        <rFont val="Times New Roman"/>
        <family val="1"/>
      </rPr>
      <t>adapted from Irena 2013.</t>
    </r>
  </si>
  <si>
    <r>
      <rPr>
        <b/>
        <i/>
        <sz val="12"/>
        <color theme="1"/>
        <rFont val="Times New Roman"/>
        <family val="1"/>
      </rPr>
      <t xml:space="preserve">Rationale: </t>
    </r>
    <r>
      <rPr>
        <sz val="12"/>
        <color theme="1"/>
        <rFont val="Times New Roman"/>
        <family val="1"/>
      </rPr>
      <t>Adaptation of Grid Mix ranges presented in GEC 2006. Started by assuming the maximum proportion of hydropower and alternative renewables. Nuclear, coal thermal, and gas thermal power are all started at the minimum of their expected range and adjusted downwards proportionally until the total grid mix equals 100%.</t>
    </r>
  </si>
  <si>
    <r>
      <t xml:space="preserve">Ghana Strategic National Energy Plan - 2020 </t>
    </r>
    <r>
      <rPr>
        <b/>
        <sz val="12"/>
        <rFont val="Times New Roman"/>
        <family val="1"/>
      </rPr>
      <t>(Nuclear)</t>
    </r>
  </si>
  <si>
    <r>
      <rPr>
        <b/>
        <i/>
        <sz val="12"/>
        <color theme="1"/>
        <rFont val="Times New Roman"/>
        <family val="1"/>
      </rPr>
      <t xml:space="preserve">Rationale: </t>
    </r>
    <r>
      <rPr>
        <sz val="12"/>
        <color theme="1"/>
        <rFont val="Times New Roman"/>
        <family val="1"/>
      </rPr>
      <t>Adaptation of Grid Mix ranges presented in GEC 2006. Started by assuming the maximum proportion of nuclear energy. Thermal, hydropower, and alternative renewables are all started at the bottom of their expected range and are adjusted upwards until the total grid mix equals 100%.  One hundred percent of thermal power is assumed to come from natural gas.</t>
    </r>
  </si>
  <si>
    <t>Renewable Energy Potential</t>
  </si>
  <si>
    <t>at load factor of 0.3 = 14565 GWh</t>
  </si>
  <si>
    <t>5% land utilization at national average solar potential of 5 kwh/m2/day</t>
  </si>
  <si>
    <t>Assumptions</t>
  </si>
  <si>
    <t>*Based on information from IRENA 2013 and the noted assumptions.</t>
  </si>
  <si>
    <r>
      <rPr>
        <b/>
        <i/>
        <sz val="12"/>
        <color theme="1"/>
        <rFont val="Times New Roman"/>
        <family val="1"/>
      </rPr>
      <t xml:space="preserve">Source: </t>
    </r>
    <r>
      <rPr>
        <i/>
        <sz val="12"/>
        <color theme="1"/>
        <rFont val="Times New Roman"/>
        <family val="1"/>
      </rPr>
      <t>ROK 2011, page 137</t>
    </r>
  </si>
  <si>
    <t>Source: ROK 2011, page 139</t>
  </si>
  <si>
    <r>
      <rPr>
        <b/>
        <i/>
        <sz val="12"/>
        <color theme="1"/>
        <rFont val="Times New Roman"/>
        <family val="1"/>
      </rPr>
      <t xml:space="preserve">Rationale: </t>
    </r>
    <r>
      <rPr>
        <sz val="12"/>
        <color theme="1"/>
        <rFont val="Times New Roman"/>
        <family val="1"/>
      </rPr>
      <t>This grid mix was created to approximate a clean and diverse electrical grid mix that is possible given the renewable energy potential as described in IRENA 2013.</t>
    </r>
  </si>
  <si>
    <t>Static Copy of Electricity Grid Mix Value - 8/28/16</t>
  </si>
  <si>
    <t>Use to test if values have been updated.</t>
  </si>
  <si>
    <t>Gas_efficient</t>
  </si>
  <si>
    <t>Parameter Fuel Name</t>
  </si>
  <si>
    <t>Geo</t>
  </si>
  <si>
    <t>Parameter Fuel Names</t>
  </si>
  <si>
    <t>system is planned to operate efficiently with power Solar likely not to excee 5% (ROK 2011)</t>
  </si>
  <si>
    <t>Distribution Solar</t>
  </si>
  <si>
    <t>Geo Generating Capacity = 7 GW (Castellano et al. 2015)</t>
  </si>
  <si>
    <t>IEA_2013_Geo+ROK_LowDemand_Geo+ROK_LeastCost_Geo+ROK_HighDemand_Geo+McKinsey_2040_Geo+Low_Carbon_2040_Geo</t>
  </si>
  <si>
    <t>BCG_Base</t>
  </si>
  <si>
    <t>BCG_Clean</t>
  </si>
  <si>
    <t>BCG_Slow</t>
  </si>
  <si>
    <t>EIA_2030</t>
  </si>
  <si>
    <t>IEA_Base</t>
  </si>
  <si>
    <t>IEA_Blue</t>
  </si>
  <si>
    <t>LBNL_AIS_2030</t>
  </si>
  <si>
    <t>LBNL_AIS_2050</t>
  </si>
  <si>
    <t>LBNL_CIS_2030</t>
  </si>
  <si>
    <t>LBNL_CIS_2050</t>
  </si>
  <si>
    <t>Coal_Sub</t>
  </si>
  <si>
    <t>Coal_Super</t>
  </si>
  <si>
    <t>Coal_Ultra</t>
  </si>
  <si>
    <t>Coal_CCS</t>
  </si>
  <si>
    <t>Gas_CCS</t>
  </si>
  <si>
    <t>OpenLCA Unit process</t>
  </si>
  <si>
    <t>Unit</t>
  </si>
  <si>
    <t>electricity, natural gas, efficient, at power plant</t>
  </si>
  <si>
    <t>electricity, hard coal, at power plant, supercritical, with CCS</t>
  </si>
  <si>
    <t>electricity, hard coal, at power plant, supercritical</t>
  </si>
  <si>
    <t>electricity, natural gas, efficient, at power plant, with CCS</t>
  </si>
  <si>
    <t>electricity, hard coal, at power plant, IGCC</t>
  </si>
  <si>
    <t>electricity, geothermal</t>
  </si>
  <si>
    <t>electricity, natural gas, at power plant - IN</t>
  </si>
  <si>
    <t>electricity, hard coal, at power plant - IN</t>
  </si>
  <si>
    <t>electricity, production mix photovoltaic, at plant - US</t>
  </si>
  <si>
    <t>electricity, at wind power plant - RER</t>
  </si>
  <si>
    <t>electricity, hydropower, at reservoir power plant, non alpine regions - RER</t>
  </si>
  <si>
    <t>Electricity, biomass, at power plant - US</t>
  </si>
  <si>
    <t>electricity, oil, at power plant - IN</t>
  </si>
  <si>
    <t>electricity, nuclear, at power plant - UCTE</t>
  </si>
  <si>
    <t>Water Use, Average</t>
  </si>
  <si>
    <t>Water Use, Min</t>
  </si>
  <si>
    <t>Water Use, Max</t>
  </si>
  <si>
    <t>Electricity Water Consumption Factors</t>
  </si>
  <si>
    <t>electricity, at wind power plant 600kW - CH</t>
  </si>
  <si>
    <t>electricity, natural gas, at power plant 2011, with CCS - CN</t>
  </si>
  <si>
    <t>electricity, hard coal, at power plant 2011, supercritical</t>
  </si>
  <si>
    <t>electricity, at cogen ORC 1400kWth, wood, allocation energy - CH</t>
  </si>
  <si>
    <t>electricity, hard coal, at power plant 2011, supercritical, with CCS - CN</t>
  </si>
  <si>
    <t>electricity, production mix photovoltaic, at plant - CH</t>
  </si>
  <si>
    <t>electricity, natural gas, at power plant 2011 - CN</t>
  </si>
  <si>
    <t>electricity, hard coal, at power plant 2011 - CN</t>
  </si>
  <si>
    <t>electricity, hard coal, at power plant 2011, ultra supercritical</t>
  </si>
  <si>
    <t>electricity, nuclear, at power plant pressure water reactor - CN</t>
  </si>
  <si>
    <t>China Electricity Water Use</t>
  </si>
  <si>
    <t>Kenya Electricity Water Use</t>
  </si>
  <si>
    <t>Ghana Electricity Water Use</t>
  </si>
  <si>
    <t xml:space="preserve">Value 1 </t>
  </si>
  <si>
    <t>Units 1</t>
  </si>
  <si>
    <t>Source 1</t>
  </si>
  <si>
    <t>Electricity UP</t>
  </si>
  <si>
    <t>Lampert et al. 2015</t>
  </si>
  <si>
    <t xml:space="preserve">Lampert, D., H. Cai, Z. Wang, M. Wu, J. Han, J. Dunn, J. Sullivan, A. Elgowainy, et al. 2015. Development of Life Cycle Inventory of Water Consumption Associated with the Production of Transportation Fuels. Argonne National Laboratory, Energy Systems Division. ANL/ESD-15/27. </t>
  </si>
  <si>
    <t>Parameter</t>
  </si>
  <si>
    <t>m3/gal</t>
  </si>
  <si>
    <t>lb/kg</t>
  </si>
  <si>
    <t>m/mile</t>
  </si>
  <si>
    <t>ft3/m3</t>
  </si>
  <si>
    <t>Water Density</t>
  </si>
  <si>
    <t xml:space="preserve"> kg/m³</t>
  </si>
  <si>
    <t>sqft/m2</t>
  </si>
  <si>
    <t>MJ/kWh</t>
  </si>
  <si>
    <t>Btu/ft3</t>
  </si>
  <si>
    <t>BTU/MJ</t>
  </si>
  <si>
    <t>MJ/m3</t>
  </si>
  <si>
    <t>Handrail</t>
  </si>
  <si>
    <t>kg/ft</t>
  </si>
  <si>
    <t>BOD/cBOD ratio</t>
  </si>
  <si>
    <t>Source: Brake 2007</t>
  </si>
  <si>
    <t>ft/m</t>
  </si>
  <si>
    <t>biogas Density</t>
  </si>
  <si>
    <t>kg/m3</t>
  </si>
  <si>
    <t>ft2/acre</t>
  </si>
  <si>
    <t>gallons/ft3</t>
  </si>
  <si>
    <t>ft2/m2</t>
  </si>
  <si>
    <t>L/gallon</t>
  </si>
  <si>
    <t>Compost Density</t>
  </si>
  <si>
    <t>m3/yd3</t>
  </si>
  <si>
    <t>g/kg, ml/L, etc…</t>
  </si>
  <si>
    <t>water density</t>
  </si>
  <si>
    <t>lb/gal @ 60*F</t>
  </si>
  <si>
    <t xml:space="preserve">1 MCF = </t>
  </si>
  <si>
    <t>ft3 of natural gas</t>
  </si>
  <si>
    <t>Common Conversion Factors</t>
  </si>
  <si>
    <t>Binary</t>
  </si>
  <si>
    <t>Flash</t>
  </si>
  <si>
    <t>EGS</t>
  </si>
  <si>
    <t>Turbine</t>
  </si>
  <si>
    <t>NGCC with CCS</t>
  </si>
  <si>
    <t>NGCC turbine</t>
  </si>
  <si>
    <t>hydroelectric power plant</t>
  </si>
  <si>
    <t>biomass boiler</t>
  </si>
  <si>
    <t>gal/kWh</t>
  </si>
  <si>
    <t>coal boilers</t>
  </si>
  <si>
    <t xml:space="preserve">coal + CCS </t>
  </si>
  <si>
    <t>IGCC</t>
  </si>
  <si>
    <t>residual oil boiler</t>
  </si>
  <si>
    <t>residual oil turbine</t>
  </si>
  <si>
    <t>coal boiler+CCS</t>
  </si>
  <si>
    <t>coal boiler</t>
  </si>
  <si>
    <t>none stated</t>
  </si>
  <si>
    <t>Torcellini et al. 2003</t>
  </si>
  <si>
    <t>Torcellini, P. N. Long, and R. Judkoff. 2003. Consumptive Water Use for U.S. Power Production. National Renewable Energy Laboratory. NREL/TP-550-33905.</t>
  </si>
  <si>
    <t>Fuel Name Lookup</t>
  </si>
  <si>
    <t>Standard Units 1 (kg/kWh)</t>
  </si>
  <si>
    <r>
      <t>Distribution &amp; Losses</t>
    </r>
    <r>
      <rPr>
        <b/>
        <vertAlign val="superscript"/>
        <sz val="12"/>
        <color theme="0"/>
        <rFont val="Times New Roman"/>
        <family val="1"/>
      </rPr>
      <t>1</t>
    </r>
  </si>
  <si>
    <r>
      <rPr>
        <vertAlign val="superscript"/>
        <sz val="12"/>
        <color theme="1"/>
        <rFont val="Times New Roman"/>
        <family val="1"/>
      </rPr>
      <t xml:space="preserve">1 </t>
    </r>
    <r>
      <rPr>
        <sz val="12"/>
        <color theme="1"/>
        <rFont val="Times New Roman"/>
        <family val="1"/>
      </rPr>
      <t>Current transmission and distribution losses are approximately 26% as a nationwide average. IEA 2010 assumes that a reduction to 15% losses is possible by 2050. Based on this information we assume that T&amp;D losses are reduced to 15% for all 2050 scenarios, 20% for 2030 scenarios, 23% for 2021 efficiency/hybrid scenarios, and 26% for BAU 2021 scenarios.</t>
    </r>
  </si>
  <si>
    <t xml:space="preserve">* Current and slow shift scenarios use the current estimate of transmission and distribution losses. More optimistic scenarios use the reduced grid loss estimate from IEA 2010. </t>
  </si>
  <si>
    <r>
      <t>Phase I Electrical Grid Mix</t>
    </r>
    <r>
      <rPr>
        <b/>
        <vertAlign val="superscript"/>
        <sz val="12"/>
        <color theme="1"/>
        <rFont val="Times New Roman"/>
        <family val="1"/>
      </rPr>
      <t>1</t>
    </r>
  </si>
  <si>
    <r>
      <t>Phase I Clean Grid Mix</t>
    </r>
    <r>
      <rPr>
        <b/>
        <vertAlign val="superscript"/>
        <sz val="12"/>
        <color theme="1"/>
        <rFont val="Times New Roman"/>
        <family val="1"/>
      </rPr>
      <t>1</t>
    </r>
  </si>
  <si>
    <r>
      <rPr>
        <i/>
        <vertAlign val="superscript"/>
        <sz val="12"/>
        <color theme="1"/>
        <rFont val="Times New Roman"/>
        <family val="1"/>
      </rPr>
      <t>1</t>
    </r>
    <r>
      <rPr>
        <i/>
        <sz val="12"/>
        <color theme="1"/>
        <rFont val="Times New Roman"/>
        <family val="1"/>
      </rPr>
      <t xml:space="preserve"> From Phase I study. Not used in Phase II. Included for ease of reference.</t>
    </r>
  </si>
  <si>
    <t>IEA (International Energy Agency). 2016. Kenya: Electricity and heat for 2013. http://www.iea.org/statistics/statisticssearch/ Accessed 1 December 2016.</t>
  </si>
  <si>
    <t>IEA 2016</t>
  </si>
  <si>
    <r>
      <rPr>
        <b/>
        <sz val="12"/>
        <color theme="1"/>
        <rFont val="Times New Roman"/>
        <family val="1"/>
      </rPr>
      <t>Rationale:</t>
    </r>
    <r>
      <rPr>
        <sz val="12"/>
        <color theme="1"/>
        <rFont val="Times New Roman"/>
        <family val="1"/>
      </rPr>
      <t xml:space="preserve"> This grid mix was created to approximate a clean and diverse electrical grid mix that is possible given the renewable energy potential as outlined in the above references. This grid mix focuses less on Geo energy and places more emphasis on drawing upon a diverse array of renewables.</t>
    </r>
  </si>
  <si>
    <r>
      <t xml:space="preserve">Source: </t>
    </r>
    <r>
      <rPr>
        <i/>
        <sz val="11"/>
        <color theme="1"/>
        <rFont val="Times New Roman"/>
        <family val="1"/>
      </rPr>
      <t>IEA 2016, data year 2013</t>
    </r>
  </si>
  <si>
    <t>Electricity Water Consumption Values from Literature</t>
  </si>
  <si>
    <t>Electricity UP column assigns water use values from the literature to the electricity generation technologies included in this study.</t>
  </si>
  <si>
    <t>India Electricity Water Use by Electricity Generation Technology</t>
  </si>
  <si>
    <t>China Electricity Water Use by Electricity Generation Technology</t>
  </si>
  <si>
    <t>Kenya Electricity Water Use by Electricity Generation Technology</t>
  </si>
  <si>
    <t>Ghana Electricity Water Use by Electricity Generation Technology</t>
  </si>
  <si>
    <t>Coal, baseline</t>
  </si>
  <si>
    <r>
      <t>Value (% reduction)-relative to baseline option</t>
    </r>
    <r>
      <rPr>
        <b/>
        <vertAlign val="superscript"/>
        <sz val="12"/>
        <color theme="0"/>
        <rFont val="Times New Roman"/>
        <family val="1"/>
      </rPr>
      <t>1</t>
    </r>
  </si>
  <si>
    <r>
      <t>SOx</t>
    </r>
    <r>
      <rPr>
        <b/>
        <vertAlign val="superscript"/>
        <sz val="12"/>
        <color theme="0"/>
        <rFont val="Times New Roman"/>
        <family val="1"/>
      </rPr>
      <t>2</t>
    </r>
  </si>
  <si>
    <t>baseline (984 kg CO2-eq/kWh)</t>
  </si>
  <si>
    <t>Calculated Emission Adjustments for Upgraded Coal and Natural Gas Electricity Generation Technologies</t>
  </si>
  <si>
    <t>Natural Gas, baseline</t>
  </si>
  <si>
    <t>Percent reduction values reported by Odeh and Cockerill 2008 are applied to the baseline coal and natural gas unit processes to estimate emission reductions associated with documented technology upgrades.</t>
  </si>
  <si>
    <t>Life Cycle Emissions (GWP)</t>
  </si>
  <si>
    <r>
      <t>Value</t>
    </r>
    <r>
      <rPr>
        <b/>
        <vertAlign val="superscript"/>
        <sz val="12"/>
        <color theme="0"/>
        <rFont val="Times New Roman"/>
        <family val="1"/>
      </rPr>
      <t>3</t>
    </r>
  </si>
  <si>
    <r>
      <rPr>
        <vertAlign val="superscript"/>
        <sz val="12"/>
        <color theme="1"/>
        <rFont val="Times New Roman"/>
        <family val="1"/>
      </rPr>
      <t>1</t>
    </r>
    <r>
      <rPr>
        <sz val="12"/>
        <color theme="1"/>
        <rFont val="Times New Roman"/>
        <family val="1"/>
      </rPr>
      <t xml:space="preserve"> Percent reductions in life cycle CO2eq. emissions are provided as a reference. Values in this column not used in LCI.</t>
    </r>
  </si>
  <si>
    <r>
      <rPr>
        <vertAlign val="superscript"/>
        <sz val="12"/>
        <color theme="1"/>
        <rFont val="Times New Roman"/>
        <family val="1"/>
      </rPr>
      <t>2</t>
    </r>
    <r>
      <rPr>
        <sz val="12"/>
        <color theme="1"/>
        <rFont val="Times New Roman"/>
        <family val="1"/>
      </rPr>
      <t xml:space="preserve"> Reductions seem plausible based on Beer 2012</t>
    </r>
  </si>
  <si>
    <r>
      <rPr>
        <vertAlign val="superscript"/>
        <sz val="12"/>
        <color theme="1"/>
        <rFont val="Times New Roman"/>
        <family val="1"/>
      </rPr>
      <t>3</t>
    </r>
    <r>
      <rPr>
        <sz val="12"/>
        <color theme="1"/>
        <rFont val="Times New Roman"/>
        <family val="1"/>
      </rPr>
      <t xml:space="preserve"> Values reported as percent of regular emissions are applied to baseline LCI values in OpenLCA, and are included as formula values.</t>
    </r>
  </si>
  <si>
    <r>
      <t>Coal, supercritical</t>
    </r>
    <r>
      <rPr>
        <vertAlign val="superscript"/>
        <sz val="12"/>
        <color theme="1"/>
        <rFont val="Times New Roman"/>
        <family val="1"/>
      </rPr>
      <t>4</t>
    </r>
  </si>
  <si>
    <r>
      <t>Coal IGCC</t>
    </r>
    <r>
      <rPr>
        <vertAlign val="superscript"/>
        <sz val="12"/>
        <color theme="1"/>
        <rFont val="Times New Roman"/>
        <family val="1"/>
      </rPr>
      <t>4</t>
    </r>
  </si>
  <si>
    <r>
      <rPr>
        <vertAlign val="superscript"/>
        <sz val="12"/>
        <color theme="1"/>
        <rFont val="Times New Roman"/>
        <family val="1"/>
      </rPr>
      <t>4</t>
    </r>
    <r>
      <rPr>
        <sz val="12"/>
        <color theme="1"/>
        <rFont val="Times New Roman"/>
        <family val="1"/>
      </rPr>
      <t xml:space="preserve"> CO2 emission reductions associated with these technologies are realized through thermal efficiency increases and are modeled in OpenLCA as less coal being burnt per kWh of delivered electrical energy.</t>
    </r>
  </si>
  <si>
    <t>EPA Contract No. EP-D-011-006, WA 5-10</t>
  </si>
  <si>
    <t>TABLE OF CONTENTS</t>
  </si>
  <si>
    <t>Sheet</t>
  </si>
  <si>
    <t>References</t>
  </si>
  <si>
    <t>List of references used throughout this workbook.</t>
  </si>
  <si>
    <t>Cookstove Electricity Scenario Development: Life Cycle Assessment of Cookstove Use in India, China, Kenya, and Ghana.</t>
  </si>
  <si>
    <t>CurrentGrids</t>
  </si>
  <si>
    <t>IN</t>
  </si>
  <si>
    <t>CN</t>
  </si>
  <si>
    <t>KE</t>
  </si>
  <si>
    <t>GH</t>
  </si>
  <si>
    <t>E_Tech</t>
  </si>
  <si>
    <t>Water Use</t>
  </si>
  <si>
    <t>Summary of current electricity grids in study nations.</t>
  </si>
  <si>
    <t>Current and projected electricity grid mixes in India.</t>
  </si>
  <si>
    <t>Current and projected electricity grid mixes in China.</t>
  </si>
  <si>
    <t>Current and projected electricity grid mixes in Kenya.</t>
  </si>
  <si>
    <t>Current and projected electricity grid mixes in Ghana.</t>
  </si>
  <si>
    <t>Calculated emission adjustments for upgraded coal and natural gas electricity generation technologies.</t>
  </si>
  <si>
    <t>Electricity water consumption factors.</t>
  </si>
  <si>
    <t>Transformation</t>
  </si>
  <si>
    <t>Energy industry own use</t>
  </si>
  <si>
    <t>Heat plants</t>
  </si>
  <si>
    <t>Column H through N provide the developed scenarios based on the values reported in literature (scenario names from literature in red text; these names are not directly used in this study).</t>
  </si>
  <si>
    <t>Column K through Q provide the developed scenarios based on the values reported in literature (scenario names from literature in red text; these names are not directly used in this study).</t>
  </si>
  <si>
    <r>
      <t xml:space="preserve">Alliance Baseline Grid </t>
    </r>
    <r>
      <rPr>
        <b/>
        <sz val="12"/>
        <rFont val="Times New Roman"/>
        <family val="1"/>
      </rPr>
      <t>- Kenya (not used, provided for reference)</t>
    </r>
  </si>
  <si>
    <r>
      <t xml:space="preserve">Alliance Baseline Grid </t>
    </r>
    <r>
      <rPr>
        <b/>
        <sz val="12"/>
        <color theme="1"/>
        <rFont val="Times New Roman"/>
        <family val="1"/>
      </rPr>
      <t>- Ghana (not used, provided for reference)</t>
    </r>
  </si>
  <si>
    <t>g/kWh- original study (openLCA)</t>
  </si>
  <si>
    <r>
      <rPr>
        <vertAlign val="superscript"/>
        <sz val="12"/>
        <color theme="1"/>
        <rFont val="Times New Roman"/>
        <family val="1"/>
      </rPr>
      <t xml:space="preserve">5 </t>
    </r>
    <r>
      <rPr>
        <sz val="12"/>
        <color theme="1"/>
        <rFont val="Times New Roman"/>
        <family val="1"/>
      </rPr>
      <t>CCS technology captures 90 percent of CO2 emissions (Odeh and Cockerill 2008). Realized life cycle CO2eq emission reductions are less than 90% due to additional energy burden of CCS, which is modeled in openLCA as a reduction in thermal efficiency as recorded here.</t>
    </r>
  </si>
  <si>
    <r>
      <t>Natural Gas + CCS</t>
    </r>
    <r>
      <rPr>
        <vertAlign val="superscript"/>
        <sz val="12"/>
        <color theme="1"/>
        <rFont val="Times New Roman"/>
        <family val="1"/>
      </rPr>
      <t>5</t>
    </r>
  </si>
  <si>
    <r>
      <t>Coal, supercritical + CCS</t>
    </r>
    <r>
      <rPr>
        <vertAlign val="superscript"/>
        <sz val="12"/>
        <color theme="1"/>
        <rFont val="Times New Roman"/>
        <family val="1"/>
      </rPr>
      <t>5</t>
    </r>
  </si>
  <si>
    <r>
      <t>Coal IGCC + CCS</t>
    </r>
    <r>
      <rPr>
        <vertAlign val="superscript"/>
        <sz val="12"/>
        <color theme="1"/>
        <rFont val="Times New Roman"/>
        <family val="1"/>
      </rPr>
      <t>5</t>
    </r>
  </si>
  <si>
    <r>
      <rPr>
        <b/>
        <i/>
        <sz val="12"/>
        <color theme="1"/>
        <rFont val="Times New Roman"/>
        <family val="1"/>
      </rPr>
      <t>Source:</t>
    </r>
    <r>
      <rPr>
        <i/>
        <sz val="12"/>
        <color theme="1"/>
        <rFont val="Times New Roman"/>
        <family val="1"/>
      </rPr>
      <t xml:space="preserve"> IEA 2010, pg. 389</t>
    </r>
  </si>
  <si>
    <t>Version 2.0, 4/14/2017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</si>
</sst>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_(* \(#,##0.00\);_(* &quot;-&quot;??_);_(@_)"/>
    <numFmt numFmtId="164" formatCode="0.0"/>
    <numFmt numFmtId="165" formatCode="0.0%"/>
    <numFmt numFmtId="166" formatCode="_(* #,##0_);_(* \(#,##0\);_(* &quot;-&quot;??_);_(@_)"/>
    <numFmt numFmtId="167" formatCode="00.0"/>
    <numFmt numFmtId="168" formatCode="0.0000000"/>
    <numFmt numFmtId="169" formatCode="0.000000"/>
    <numFmt numFmtId="170" formatCode="0.00000000"/>
    <numFmt numFmtId="171" formatCode="0.000000000"/>
    <numFmt numFmtId="172" formatCode="0.000"/>
    <numFmt numFmtId="173" formatCode="0.00E+0"/>
    <numFmt numFmtId="174" formatCode="000"/>
    <numFmt numFmtId="175" formatCode="0;0;&quot;-&quot;"/>
    <numFmt numFmtId="176" formatCode="000.0"/>
    <numFmt numFmtId="177" formatCode="00"/>
  </numFmts>
  <fonts count="39" x14ac:knownFonts="1">
    <font>
      <sz val="11"/>
      <color theme="1"/>
      <name val="Calibri"/>
      <family val="2"/>
      <scheme val="minor"/>
    </font>
    <font>
      <b/>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2"/>
      <color theme="1"/>
      <name val="Times New Roman"/>
      <family val="1"/>
    </font>
    <font>
      <b/>
      <sz val="11"/>
      <color indexed="81"/>
      <name val="Tahoma"/>
      <family val="2"/>
    </font>
    <font>
      <sz val="11"/>
      <color indexed="81"/>
      <name val="Tahoma"/>
      <family val="2"/>
    </font>
    <font>
      <b/>
      <i/>
      <sz val="11"/>
      <color theme="1"/>
      <name val="Calibri"/>
      <family val="2"/>
      <scheme val="minor"/>
    </font>
    <font>
      <i/>
      <sz val="11"/>
      <color theme="1"/>
      <name val="Times New Roman"/>
      <family val="1"/>
    </font>
    <font>
      <b/>
      <sz val="12"/>
      <color theme="1"/>
      <name val="Times New Roman"/>
      <family val="1"/>
    </font>
    <font>
      <i/>
      <sz val="12"/>
      <color theme="1"/>
      <name val="Times New Roman"/>
      <family val="1"/>
    </font>
    <font>
      <sz val="12"/>
      <name val="Times New Roman"/>
      <family val="1"/>
    </font>
    <font>
      <i/>
      <sz val="12"/>
      <name val="Times New Roman"/>
      <family val="1"/>
    </font>
    <font>
      <b/>
      <i/>
      <sz val="12"/>
      <color theme="1"/>
      <name val="Times New Roman"/>
      <family val="1"/>
    </font>
    <font>
      <b/>
      <sz val="12"/>
      <color theme="0"/>
      <name val="Times New Roman"/>
      <family val="1"/>
    </font>
    <font>
      <sz val="12"/>
      <color theme="0" tint="-0.249977111117893"/>
      <name val="Times New Roman"/>
      <family val="1"/>
    </font>
    <font>
      <b/>
      <sz val="12"/>
      <color theme="0" tint="-0.249977111117893"/>
      <name val="Times New Roman"/>
      <family val="1"/>
    </font>
    <font>
      <u/>
      <sz val="12"/>
      <color theme="1"/>
      <name val="Times New Roman"/>
      <family val="1"/>
    </font>
    <font>
      <b/>
      <sz val="12"/>
      <color rgb="FFFF0000"/>
      <name val="Times New Roman"/>
      <family val="1"/>
    </font>
    <font>
      <b/>
      <i/>
      <sz val="11"/>
      <color theme="1"/>
      <name val="Times New Roman"/>
      <family val="1"/>
    </font>
    <font>
      <b/>
      <sz val="11"/>
      <name val="Times New Roman"/>
      <family val="1"/>
    </font>
    <font>
      <b/>
      <sz val="11"/>
      <color theme="0"/>
      <name val="Times New Roman"/>
      <family val="1"/>
    </font>
    <font>
      <sz val="11"/>
      <color theme="0"/>
      <name val="Times New Roman"/>
      <family val="1"/>
    </font>
    <font>
      <sz val="11"/>
      <name val="Times New Roman"/>
      <family val="1"/>
    </font>
    <font>
      <i/>
      <sz val="11"/>
      <color theme="0"/>
      <name val="Times New Roman"/>
      <family val="1"/>
    </font>
    <font>
      <b/>
      <sz val="12"/>
      <name val="Times New Roman"/>
      <family val="1"/>
    </font>
    <font>
      <sz val="12"/>
      <color theme="2" tint="-0.249977111117893"/>
      <name val="Times New Roman"/>
      <family val="1"/>
    </font>
    <font>
      <sz val="12"/>
      <color rgb="FFFF0000"/>
      <name val="Times New Roman"/>
      <family val="1"/>
    </font>
    <font>
      <sz val="12"/>
      <color theme="0"/>
      <name val="Times New Roman"/>
      <family val="1"/>
    </font>
    <font>
      <i/>
      <sz val="11"/>
      <color rgb="FFFF0000"/>
      <name val="Times New Roman"/>
      <family val="1"/>
    </font>
    <font>
      <b/>
      <vertAlign val="superscript"/>
      <sz val="12"/>
      <color theme="0"/>
      <name val="Times New Roman"/>
      <family val="1"/>
    </font>
    <font>
      <vertAlign val="superscript"/>
      <sz val="12"/>
      <color theme="1"/>
      <name val="Times New Roman"/>
      <family val="1"/>
    </font>
    <font>
      <b/>
      <vertAlign val="superscript"/>
      <sz val="12"/>
      <color theme="1"/>
      <name val="Times New Roman"/>
      <family val="1"/>
    </font>
    <font>
      <i/>
      <vertAlign val="superscript"/>
      <sz val="12"/>
      <color theme="1"/>
      <name val="Times New Roman"/>
      <family val="1"/>
    </font>
    <font>
      <u/>
      <sz val="11"/>
      <color theme="10"/>
      <name val="Calibri"/>
      <family val="2"/>
      <scheme val="minor"/>
    </font>
    <font>
      <u/>
      <sz val="12"/>
      <color theme="10"/>
      <name val="Times New Roman"/>
      <family val="1"/>
    </font>
  </fonts>
  <fills count="10">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rgb="FF44546A"/>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rgb="FF225686"/>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9" fontId="2" fillId="0" borderId="0" applyFont="0" applyFill="0" applyBorder="0" applyAlignment="0" applyProtection="0"/>
    <xf numFmtId="43" fontId="2" fillId="0" borderId="0" applyFont="0" applyFill="0" applyBorder="0" applyAlignment="0" applyProtection="0"/>
    <xf numFmtId="0" fontId="5" fillId="0" borderId="0"/>
    <xf numFmtId="0" fontId="37" fillId="0" borderId="0" applyNumberFormat="0" applyFill="0" applyBorder="0" applyAlignment="0" applyProtection="0"/>
  </cellStyleXfs>
  <cellXfs count="271">
    <xf numFmtId="0" fontId="0" fillId="0" borderId="0" xfId="0"/>
    <xf numFmtId="0" fontId="0" fillId="0" borderId="0" xfId="0" applyBorder="1"/>
    <xf numFmtId="0" fontId="1" fillId="0" borderId="0" xfId="0" applyFont="1" applyBorder="1"/>
    <xf numFmtId="0" fontId="0" fillId="0" borderId="0" xfId="0" applyFill="1" applyBorder="1"/>
    <xf numFmtId="0" fontId="1" fillId="0" borderId="0" xfId="0" applyFont="1"/>
    <xf numFmtId="168" fontId="0" fillId="0" borderId="0" xfId="0" applyNumberFormat="1" applyBorder="1"/>
    <xf numFmtId="0" fontId="0" fillId="0" borderId="0" xfId="0" applyFill="1" applyBorder="1" applyAlignment="1">
      <alignment horizontal="left"/>
    </xf>
    <xf numFmtId="0" fontId="10" fillId="0" borderId="0" xfId="0" applyFont="1" applyBorder="1"/>
    <xf numFmtId="0" fontId="10" fillId="0" borderId="0" xfId="0" applyFont="1" applyFill="1" applyBorder="1"/>
    <xf numFmtId="0" fontId="5" fillId="4" borderId="0" xfId="0" applyFont="1" applyFill="1"/>
    <xf numFmtId="0" fontId="11" fillId="4" borderId="0" xfId="0" applyFont="1" applyFill="1"/>
    <xf numFmtId="0" fontId="7" fillId="0" borderId="0" xfId="0" applyFont="1"/>
    <xf numFmtId="0" fontId="13" fillId="0" borderId="0" xfId="0" applyFont="1"/>
    <xf numFmtId="0" fontId="7" fillId="2" borderId="2" xfId="0" applyFont="1" applyFill="1" applyBorder="1"/>
    <xf numFmtId="2" fontId="7" fillId="2" borderId="2" xfId="1" applyNumberFormat="1" applyFont="1" applyFill="1" applyBorder="1"/>
    <xf numFmtId="2" fontId="7" fillId="2" borderId="2" xfId="0" applyNumberFormat="1" applyFont="1" applyFill="1" applyBorder="1"/>
    <xf numFmtId="0" fontId="15" fillId="4" borderId="0" xfId="0" applyFont="1" applyFill="1"/>
    <xf numFmtId="0" fontId="13" fillId="4" borderId="0" xfId="0" applyFont="1" applyFill="1"/>
    <xf numFmtId="0" fontId="7" fillId="4" borderId="0" xfId="0" applyFont="1" applyFill="1"/>
    <xf numFmtId="0" fontId="7" fillId="4" borderId="0" xfId="0" applyFont="1" applyFill="1" applyAlignment="1">
      <alignment horizontal="right"/>
    </xf>
    <xf numFmtId="0" fontId="12" fillId="4" borderId="0" xfId="0" applyFont="1" applyFill="1" applyBorder="1"/>
    <xf numFmtId="0" fontId="7" fillId="4" borderId="0" xfId="0" applyFont="1" applyFill="1" applyBorder="1"/>
    <xf numFmtId="164" fontId="7" fillId="4" borderId="0" xfId="0" applyNumberFormat="1" applyFont="1" applyFill="1"/>
    <xf numFmtId="1" fontId="7" fillId="4" borderId="0" xfId="0" applyNumberFormat="1" applyFont="1" applyFill="1"/>
    <xf numFmtId="9" fontId="7" fillId="4" borderId="0" xfId="1" applyFont="1" applyFill="1" applyBorder="1"/>
    <xf numFmtId="0" fontId="7" fillId="0" borderId="2" xfId="0" applyFont="1" applyFill="1" applyBorder="1"/>
    <xf numFmtId="2" fontId="7" fillId="4" borderId="0" xfId="1" applyNumberFormat="1" applyFont="1" applyFill="1" applyBorder="1"/>
    <xf numFmtId="164" fontId="7" fillId="4" borderId="0" xfId="0" applyNumberFormat="1" applyFont="1" applyFill="1" applyBorder="1"/>
    <xf numFmtId="169" fontId="7" fillId="4" borderId="0" xfId="0" applyNumberFormat="1" applyFont="1" applyFill="1"/>
    <xf numFmtId="0" fontId="17" fillId="5" borderId="2" xfId="0" applyFont="1" applyFill="1" applyBorder="1" applyAlignment="1">
      <alignment vertical="top"/>
    </xf>
    <xf numFmtId="2" fontId="7" fillId="0" borderId="2" xfId="1" applyNumberFormat="1" applyFont="1" applyFill="1" applyBorder="1"/>
    <xf numFmtId="0" fontId="7" fillId="4" borderId="2" xfId="0" applyFont="1" applyFill="1" applyBorder="1" applyAlignment="1">
      <alignment vertical="center"/>
    </xf>
    <xf numFmtId="0" fontId="7" fillId="4" borderId="2" xfId="0" applyFont="1" applyFill="1" applyBorder="1"/>
    <xf numFmtId="0" fontId="21" fillId="4" borderId="0" xfId="0" applyFont="1" applyFill="1"/>
    <xf numFmtId="0" fontId="17" fillId="5" borderId="3" xfId="0" applyFont="1" applyFill="1" applyBorder="1" applyAlignment="1">
      <alignment horizontal="center"/>
    </xf>
    <xf numFmtId="0" fontId="17" fillId="5" borderId="2" xfId="0" applyFont="1" applyFill="1" applyBorder="1" applyAlignment="1">
      <alignment horizontal="center"/>
    </xf>
    <xf numFmtId="0" fontId="12" fillId="4" borderId="0" xfId="0" applyFont="1" applyFill="1"/>
    <xf numFmtId="0" fontId="17" fillId="5" borderId="6" xfId="0" applyFont="1" applyFill="1" applyBorder="1" applyAlignment="1">
      <alignment horizontal="center"/>
    </xf>
    <xf numFmtId="9" fontId="7" fillId="4" borderId="2" xfId="1" applyFont="1" applyFill="1" applyBorder="1"/>
    <xf numFmtId="10" fontId="7" fillId="4" borderId="2" xfId="1" applyNumberFormat="1" applyFont="1" applyFill="1" applyBorder="1"/>
    <xf numFmtId="0" fontId="7" fillId="4" borderId="0" xfId="0" applyFont="1" applyFill="1" applyBorder="1" applyAlignment="1">
      <alignment vertical="top" wrapText="1"/>
    </xf>
    <xf numFmtId="0" fontId="21" fillId="4" borderId="0" xfId="0" applyFont="1" applyFill="1" applyBorder="1"/>
    <xf numFmtId="0" fontId="7" fillId="4" borderId="0" xfId="0" applyFont="1" applyFill="1" applyBorder="1" applyAlignment="1">
      <alignment horizontal="left" vertical="top"/>
    </xf>
    <xf numFmtId="0" fontId="7" fillId="4" borderId="0" xfId="0" applyFont="1" applyFill="1" applyBorder="1" applyAlignment="1">
      <alignment horizontal="left" vertical="top" wrapText="1"/>
    </xf>
    <xf numFmtId="0" fontId="22" fillId="4" borderId="0" xfId="0" applyFont="1" applyFill="1"/>
    <xf numFmtId="0" fontId="23" fillId="6" borderId="2" xfId="0" applyFont="1" applyFill="1" applyBorder="1"/>
    <xf numFmtId="0" fontId="24" fillId="5" borderId="2" xfId="0" applyFont="1" applyFill="1" applyBorder="1"/>
    <xf numFmtId="9" fontId="25" fillId="5" borderId="2" xfId="1" applyFont="1" applyFill="1" applyBorder="1"/>
    <xf numFmtId="0" fontId="26" fillId="6" borderId="2" xfId="0" applyFont="1" applyFill="1" applyBorder="1"/>
    <xf numFmtId="2" fontId="5" fillId="0" borderId="2" xfId="2" applyNumberFormat="1" applyFont="1" applyBorder="1"/>
    <xf numFmtId="167" fontId="5" fillId="0" borderId="2" xfId="2" applyNumberFormat="1" applyFont="1" applyBorder="1"/>
    <xf numFmtId="10" fontId="11" fillId="4" borderId="2" xfId="1" applyNumberFormat="1" applyFont="1" applyFill="1" applyBorder="1"/>
    <xf numFmtId="165" fontId="22" fillId="4" borderId="2" xfId="1" applyNumberFormat="1" applyFont="1" applyFill="1" applyBorder="1"/>
    <xf numFmtId="0" fontId="5" fillId="0" borderId="2" xfId="0" applyFont="1" applyBorder="1" applyAlignment="1">
      <alignment horizontal="center"/>
    </xf>
    <xf numFmtId="9" fontId="27" fillId="5" borderId="3" xfId="1" applyFont="1" applyFill="1" applyBorder="1"/>
    <xf numFmtId="9" fontId="25" fillId="5" borderId="6" xfId="1" applyFont="1" applyFill="1" applyBorder="1"/>
    <xf numFmtId="0" fontId="25" fillId="5" borderId="6" xfId="0" applyFont="1" applyFill="1" applyBorder="1"/>
    <xf numFmtId="165" fontId="22" fillId="4" borderId="5" xfId="1" applyNumberFormat="1" applyFont="1" applyFill="1" applyBorder="1"/>
    <xf numFmtId="0" fontId="5" fillId="4" borderId="2" xfId="0" applyFont="1" applyFill="1" applyBorder="1"/>
    <xf numFmtId="3" fontId="5" fillId="7" borderId="3" xfId="0" applyNumberFormat="1" applyFont="1" applyFill="1" applyBorder="1"/>
    <xf numFmtId="3" fontId="5" fillId="7" borderId="4" xfId="0" applyNumberFormat="1" applyFont="1" applyFill="1" applyBorder="1"/>
    <xf numFmtId="3" fontId="6" fillId="7" borderId="4" xfId="0" applyNumberFormat="1" applyFont="1" applyFill="1" applyBorder="1"/>
    <xf numFmtId="3" fontId="6" fillId="7" borderId="6" xfId="0" applyNumberFormat="1" applyFont="1" applyFill="1" applyBorder="1"/>
    <xf numFmtId="0" fontId="12" fillId="0" borderId="2" xfId="0" applyFont="1" applyBorder="1"/>
    <xf numFmtId="0" fontId="12" fillId="0" borderId="2" xfId="0" applyFont="1" applyFill="1" applyBorder="1"/>
    <xf numFmtId="9" fontId="7" fillId="0" borderId="2" xfId="1" applyFont="1" applyBorder="1"/>
    <xf numFmtId="165" fontId="7" fillId="0" borderId="2" xfId="1" applyNumberFormat="1" applyFont="1" applyBorder="1"/>
    <xf numFmtId="0" fontId="16" fillId="4" borderId="8" xfId="0" applyFont="1" applyFill="1" applyBorder="1"/>
    <xf numFmtId="0" fontId="7" fillId="0" borderId="8" xfId="0" applyFont="1" applyBorder="1"/>
    <xf numFmtId="9" fontId="7" fillId="3" borderId="2" xfId="1" applyFont="1" applyFill="1" applyBorder="1"/>
    <xf numFmtId="9" fontId="7" fillId="0" borderId="2" xfId="1" applyNumberFormat="1" applyFont="1" applyBorder="1"/>
    <xf numFmtId="0" fontId="17" fillId="5" borderId="2" xfId="0" applyFont="1" applyFill="1" applyBorder="1" applyAlignment="1">
      <alignment horizontal="center"/>
    </xf>
    <xf numFmtId="0" fontId="17" fillId="5" borderId="2" xfId="0" applyFont="1" applyFill="1" applyBorder="1"/>
    <xf numFmtId="0" fontId="7" fillId="6" borderId="2" xfId="0" applyFont="1" applyFill="1" applyBorder="1"/>
    <xf numFmtId="0" fontId="12" fillId="6" borderId="2" xfId="0" applyFont="1" applyFill="1" applyBorder="1"/>
    <xf numFmtId="0" fontId="7" fillId="6" borderId="2" xfId="0" applyFont="1" applyFill="1" applyBorder="1" applyAlignment="1">
      <alignment horizontal="right"/>
    </xf>
    <xf numFmtId="1" fontId="7" fillId="6" borderId="2" xfId="0" applyNumberFormat="1" applyFont="1" applyFill="1" applyBorder="1"/>
    <xf numFmtId="9" fontId="7" fillId="6" borderId="2" xfId="1" applyFont="1" applyFill="1" applyBorder="1"/>
    <xf numFmtId="0" fontId="17" fillId="5" borderId="2" xfId="0" applyFont="1" applyFill="1" applyBorder="1" applyAlignment="1">
      <alignment horizontal="left"/>
    </xf>
    <xf numFmtId="0" fontId="18" fillId="0" borderId="2" xfId="0" applyFont="1" applyBorder="1"/>
    <xf numFmtId="0" fontId="19" fillId="0" borderId="2" xfId="0" applyFont="1" applyBorder="1"/>
    <xf numFmtId="0" fontId="18" fillId="0" borderId="2" xfId="0" applyFont="1" applyFill="1" applyBorder="1"/>
    <xf numFmtId="9" fontId="18" fillId="0" borderId="2" xfId="1" applyFont="1" applyBorder="1"/>
    <xf numFmtId="0" fontId="17" fillId="5" borderId="2" xfId="0" applyFont="1" applyFill="1" applyBorder="1" applyAlignment="1"/>
    <xf numFmtId="0" fontId="12" fillId="4" borderId="9" xfId="0" applyFont="1" applyFill="1" applyBorder="1"/>
    <xf numFmtId="0" fontId="7" fillId="4" borderId="9" xfId="0" applyFont="1" applyFill="1" applyBorder="1"/>
    <xf numFmtId="9" fontId="7" fillId="6" borderId="2" xfId="1" applyNumberFormat="1" applyFont="1" applyFill="1" applyBorder="1"/>
    <xf numFmtId="1" fontId="7" fillId="2" borderId="2" xfId="1" applyNumberFormat="1" applyFont="1" applyFill="1" applyBorder="1"/>
    <xf numFmtId="1" fontId="7" fillId="2" borderId="2" xfId="0" applyNumberFormat="1" applyFont="1" applyFill="1" applyBorder="1"/>
    <xf numFmtId="0" fontId="28" fillId="4" borderId="0" xfId="0" applyFont="1" applyFill="1"/>
    <xf numFmtId="0" fontId="17" fillId="5" borderId="6" xfId="0" applyFont="1" applyFill="1" applyBorder="1" applyAlignment="1">
      <alignment horizontal="centerContinuous"/>
    </xf>
    <xf numFmtId="0" fontId="17" fillId="5" borderId="2" xfId="0" applyFont="1" applyFill="1" applyBorder="1" applyAlignment="1">
      <alignment horizontal="centerContinuous"/>
    </xf>
    <xf numFmtId="0" fontId="29" fillId="4" borderId="2" xfId="0" applyFont="1" applyFill="1" applyBorder="1"/>
    <xf numFmtId="164" fontId="7" fillId="4" borderId="2" xfId="0" applyNumberFormat="1" applyFont="1" applyFill="1" applyBorder="1"/>
    <xf numFmtId="165" fontId="7" fillId="4" borderId="2" xfId="1" applyNumberFormat="1" applyFont="1" applyFill="1" applyBorder="1"/>
    <xf numFmtId="0" fontId="13" fillId="4" borderId="0" xfId="0" applyFont="1" applyFill="1" applyBorder="1"/>
    <xf numFmtId="0" fontId="30" fillId="4" borderId="0" xfId="0" applyFont="1" applyFill="1" applyBorder="1"/>
    <xf numFmtId="9" fontId="14" fillId="4" borderId="2" xfId="1" applyFont="1" applyFill="1" applyBorder="1"/>
    <xf numFmtId="0" fontId="17" fillId="5" borderId="2" xfId="0" applyFont="1" applyFill="1" applyBorder="1" applyAlignment="1">
      <alignment horizontal="left" vertical="top" wrapText="1"/>
    </xf>
    <xf numFmtId="0" fontId="14" fillId="6" borderId="2" xfId="0" applyFont="1" applyFill="1" applyBorder="1"/>
    <xf numFmtId="0" fontId="17" fillId="5" borderId="2" xfId="0" applyFont="1" applyFill="1" applyBorder="1" applyAlignment="1">
      <alignment horizontal="centerContinuous" vertical="top"/>
    </xf>
    <xf numFmtId="164" fontId="7" fillId="4" borderId="2" xfId="0" applyNumberFormat="1" applyFont="1" applyFill="1" applyBorder="1" applyAlignment="1">
      <alignment horizontal="fill"/>
    </xf>
    <xf numFmtId="1" fontId="14" fillId="8" borderId="2" xfId="0" applyNumberFormat="1" applyFont="1" applyFill="1" applyBorder="1"/>
    <xf numFmtId="165" fontId="7" fillId="4" borderId="0" xfId="0" applyNumberFormat="1" applyFont="1" applyFill="1"/>
    <xf numFmtId="166" fontId="7" fillId="6" borderId="2" xfId="2" applyNumberFormat="1" applyFont="1" applyFill="1" applyBorder="1"/>
    <xf numFmtId="9" fontId="7" fillId="4" borderId="2" xfId="0" applyNumberFormat="1" applyFont="1" applyFill="1" applyBorder="1"/>
    <xf numFmtId="2" fontId="7" fillId="4" borderId="2" xfId="0" applyNumberFormat="1" applyFont="1" applyFill="1" applyBorder="1"/>
    <xf numFmtId="0" fontId="17" fillId="5" borderId="2" xfId="0" applyFont="1" applyFill="1" applyBorder="1" applyAlignment="1">
      <alignment horizontal="right"/>
    </xf>
    <xf numFmtId="165" fontId="7" fillId="4" borderId="2" xfId="0" applyNumberFormat="1" applyFont="1" applyFill="1" applyBorder="1"/>
    <xf numFmtId="0" fontId="7" fillId="8" borderId="2" xfId="0" applyFont="1" applyFill="1" applyBorder="1"/>
    <xf numFmtId="9" fontId="7" fillId="8" borderId="2" xfId="1" applyFont="1" applyFill="1" applyBorder="1"/>
    <xf numFmtId="0" fontId="7" fillId="4" borderId="2" xfId="0" applyFont="1" applyFill="1" applyBorder="1" applyAlignment="1">
      <alignment horizontal="fill"/>
    </xf>
    <xf numFmtId="0" fontId="17" fillId="5" borderId="2" xfId="0" applyFont="1" applyFill="1" applyBorder="1" applyAlignment="1">
      <alignment horizontal="left" vertical="top"/>
    </xf>
    <xf numFmtId="166" fontId="7" fillId="4" borderId="2" xfId="2" applyNumberFormat="1" applyFont="1" applyFill="1" applyBorder="1"/>
    <xf numFmtId="2" fontId="7" fillId="8" borderId="2" xfId="0" applyNumberFormat="1" applyFont="1" applyFill="1" applyBorder="1"/>
    <xf numFmtId="10" fontId="7" fillId="4" borderId="0" xfId="0" applyNumberFormat="1" applyFont="1" applyFill="1"/>
    <xf numFmtId="165" fontId="7" fillId="4" borderId="0" xfId="1" applyNumberFormat="1" applyFont="1" applyFill="1" applyBorder="1"/>
    <xf numFmtId="0" fontId="28" fillId="4" borderId="0" xfId="0" applyFont="1" applyFill="1" applyBorder="1"/>
    <xf numFmtId="16" fontId="7" fillId="4" borderId="2" xfId="0" applyNumberFormat="1" applyFont="1" applyFill="1" applyBorder="1"/>
    <xf numFmtId="0" fontId="31" fillId="5" borderId="7" xfId="0" applyFont="1" applyFill="1" applyBorder="1" applyAlignment="1">
      <alignment horizontal="centerContinuous"/>
    </xf>
    <xf numFmtId="0" fontId="31" fillId="5" borderId="10" xfId="0" applyFont="1" applyFill="1" applyBorder="1" applyAlignment="1">
      <alignment horizontal="centerContinuous"/>
    </xf>
    <xf numFmtId="9" fontId="7" fillId="6" borderId="2" xfId="0" applyNumberFormat="1" applyFont="1" applyFill="1" applyBorder="1"/>
    <xf numFmtId="10" fontId="7" fillId="6" borderId="2" xfId="0" applyNumberFormat="1" applyFont="1" applyFill="1" applyBorder="1"/>
    <xf numFmtId="0" fontId="7" fillId="6" borderId="3" xfId="0" applyFont="1" applyFill="1" applyBorder="1"/>
    <xf numFmtId="0" fontId="16" fillId="4" borderId="0" xfId="0" applyFont="1" applyFill="1"/>
    <xf numFmtId="0" fontId="17" fillId="5" borderId="2" xfId="0" applyFont="1" applyFill="1" applyBorder="1" applyAlignment="1">
      <alignment horizontal="center"/>
    </xf>
    <xf numFmtId="169" fontId="7" fillId="4" borderId="2" xfId="0" applyNumberFormat="1" applyFont="1" applyFill="1" applyBorder="1"/>
    <xf numFmtId="169" fontId="7" fillId="6" borderId="2" xfId="0" applyNumberFormat="1" applyFont="1" applyFill="1" applyBorder="1"/>
    <xf numFmtId="0" fontId="30" fillId="4" borderId="0" xfId="0" applyFont="1" applyFill="1"/>
    <xf numFmtId="171" fontId="7" fillId="4" borderId="2" xfId="0" applyNumberFormat="1" applyFont="1" applyFill="1" applyBorder="1"/>
    <xf numFmtId="171" fontId="7" fillId="4" borderId="2" xfId="1" applyNumberFormat="1" applyFont="1" applyFill="1" applyBorder="1"/>
    <xf numFmtId="170" fontId="7" fillId="6" borderId="2" xfId="1" applyNumberFormat="1" applyFont="1" applyFill="1" applyBorder="1"/>
    <xf numFmtId="0" fontId="29" fillId="8" borderId="2" xfId="0" applyFont="1" applyFill="1" applyBorder="1"/>
    <xf numFmtId="0" fontId="17" fillId="8" borderId="2" xfId="0" applyFont="1" applyFill="1" applyBorder="1" applyAlignment="1">
      <alignment horizontal="left" vertical="top" wrapText="1"/>
    </xf>
    <xf numFmtId="170" fontId="7" fillId="8" borderId="2" xfId="1" applyNumberFormat="1" applyFont="1" applyFill="1" applyBorder="1"/>
    <xf numFmtId="169" fontId="7" fillId="2" borderId="2" xfId="1" applyNumberFormat="1" applyFont="1" applyFill="1" applyBorder="1"/>
    <xf numFmtId="168" fontId="7" fillId="2" borderId="2" xfId="0" applyNumberFormat="1" applyFont="1" applyFill="1" applyBorder="1"/>
    <xf numFmtId="170" fontId="7" fillId="2" borderId="2" xfId="1" applyNumberFormat="1" applyFont="1" applyFill="1" applyBorder="1"/>
    <xf numFmtId="170" fontId="7" fillId="2" borderId="2" xfId="0" applyNumberFormat="1" applyFont="1" applyFill="1" applyBorder="1"/>
    <xf numFmtId="172" fontId="7" fillId="0" borderId="2" xfId="0" applyNumberFormat="1" applyFont="1" applyFill="1" applyBorder="1"/>
    <xf numFmtId="9" fontId="7" fillId="4" borderId="0" xfId="1" applyFont="1" applyFill="1" applyBorder="1" applyAlignment="1">
      <alignment vertical="top" wrapText="1"/>
    </xf>
    <xf numFmtId="0" fontId="24" fillId="5" borderId="2" xfId="0" applyFont="1" applyFill="1" applyBorder="1" applyAlignment="1">
      <alignment horizontal="left"/>
    </xf>
    <xf numFmtId="0" fontId="5" fillId="0" borderId="2" xfId="0" applyFont="1" applyBorder="1"/>
    <xf numFmtId="0" fontId="14" fillId="6" borderId="2" xfId="0" applyFont="1" applyFill="1" applyBorder="1" applyAlignment="1">
      <alignment horizontal="left"/>
    </xf>
    <xf numFmtId="0" fontId="14" fillId="6" borderId="2" xfId="0" applyFont="1" applyFill="1" applyBorder="1" applyAlignment="1">
      <alignment horizontal="left" vertical="top" wrapText="1"/>
    </xf>
    <xf numFmtId="0" fontId="26" fillId="6" borderId="2" xfId="0" applyFont="1" applyFill="1" applyBorder="1" applyAlignment="1">
      <alignment horizontal="left"/>
    </xf>
    <xf numFmtId="0" fontId="26" fillId="6" borderId="2" xfId="0" applyFont="1" applyFill="1" applyBorder="1" applyAlignment="1">
      <alignment vertical="top"/>
    </xf>
    <xf numFmtId="0" fontId="32" fillId="0" borderId="0" xfId="0" applyFont="1"/>
    <xf numFmtId="9" fontId="25" fillId="5" borderId="2" xfId="1" applyNumberFormat="1" applyFont="1" applyFill="1" applyBorder="1"/>
    <xf numFmtId="173" fontId="5" fillId="0" borderId="2" xfId="2" applyNumberFormat="1" applyFont="1" applyBorder="1"/>
    <xf numFmtId="174" fontId="5" fillId="0" borderId="2" xfId="2" applyNumberFormat="1" applyFont="1" applyBorder="1"/>
    <xf numFmtId="175" fontId="5" fillId="0" borderId="2" xfId="2" applyNumberFormat="1" applyFont="1" applyBorder="1"/>
    <xf numFmtId="173" fontId="25" fillId="5" borderId="2" xfId="2" applyNumberFormat="1" applyFont="1" applyFill="1" applyBorder="1"/>
    <xf numFmtId="0" fontId="12" fillId="4" borderId="1" xfId="0" applyFont="1" applyFill="1" applyBorder="1"/>
    <xf numFmtId="0" fontId="7" fillId="4" borderId="15" xfId="0" applyFont="1" applyFill="1" applyBorder="1" applyAlignment="1">
      <alignment vertical="top" wrapText="1"/>
    </xf>
    <xf numFmtId="173" fontId="5" fillId="0" borderId="5" xfId="0" applyNumberFormat="1" applyFont="1" applyBorder="1"/>
    <xf numFmtId="173" fontId="6" fillId="0" borderId="5" xfId="0" applyNumberFormat="1" applyFont="1" applyBorder="1"/>
    <xf numFmtId="167" fontId="5" fillId="0" borderId="5" xfId="0" applyNumberFormat="1" applyFont="1" applyBorder="1"/>
    <xf numFmtId="175" fontId="5" fillId="0" borderId="5" xfId="0" applyNumberFormat="1" applyFont="1" applyBorder="1"/>
    <xf numFmtId="173" fontId="5" fillId="4" borderId="2" xfId="2" applyNumberFormat="1" applyFont="1" applyFill="1" applyBorder="1"/>
    <xf numFmtId="175" fontId="5" fillId="4" borderId="2" xfId="2" applyNumberFormat="1" applyFont="1" applyFill="1" applyBorder="1"/>
    <xf numFmtId="173" fontId="5" fillId="0" borderId="7" xfId="0" applyNumberFormat="1" applyFont="1" applyBorder="1"/>
    <xf numFmtId="175" fontId="5" fillId="0" borderId="7" xfId="0" applyNumberFormat="1" applyFont="1" applyBorder="1"/>
    <xf numFmtId="173" fontId="6" fillId="0" borderId="7" xfId="0" applyNumberFormat="1" applyFont="1" applyBorder="1"/>
    <xf numFmtId="174" fontId="5" fillId="4" borderId="2" xfId="2" applyNumberFormat="1" applyFont="1" applyFill="1" applyBorder="1"/>
    <xf numFmtId="2" fontId="5" fillId="4" borderId="2" xfId="2" applyNumberFormat="1" applyFont="1" applyFill="1" applyBorder="1"/>
    <xf numFmtId="167" fontId="5" fillId="4" borderId="2" xfId="2" applyNumberFormat="1" applyFont="1" applyFill="1" applyBorder="1"/>
    <xf numFmtId="167" fontId="5" fillId="0" borderId="7" xfId="0" applyNumberFormat="1" applyFont="1" applyBorder="1"/>
    <xf numFmtId="174" fontId="5" fillId="0" borderId="7" xfId="0" applyNumberFormat="1" applyFont="1" applyBorder="1"/>
    <xf numFmtId="167" fontId="7" fillId="0" borderId="2" xfId="0" applyNumberFormat="1" applyFont="1" applyBorder="1"/>
    <xf numFmtId="2" fontId="7" fillId="0" borderId="2" xfId="0" applyNumberFormat="1" applyFont="1" applyBorder="1"/>
    <xf numFmtId="172" fontId="7" fillId="0" borderId="2" xfId="0" applyNumberFormat="1" applyFont="1" applyBorder="1"/>
    <xf numFmtId="174" fontId="7" fillId="0" borderId="2" xfId="0" applyNumberFormat="1" applyFont="1" applyBorder="1"/>
    <xf numFmtId="175" fontId="7" fillId="0" borderId="2" xfId="0" applyNumberFormat="1" applyFont="1" applyBorder="1"/>
    <xf numFmtId="174" fontId="7" fillId="6" borderId="2" xfId="0" applyNumberFormat="1" applyFont="1" applyFill="1" applyBorder="1"/>
    <xf numFmtId="167" fontId="7" fillId="6" borderId="2" xfId="0" applyNumberFormat="1" applyFont="1" applyFill="1" applyBorder="1"/>
    <xf numFmtId="167" fontId="7" fillId="2" borderId="2" xfId="0" applyNumberFormat="1" applyFont="1" applyFill="1" applyBorder="1"/>
    <xf numFmtId="175" fontId="7" fillId="2" borderId="2" xfId="0" applyNumberFormat="1" applyFont="1" applyFill="1" applyBorder="1"/>
    <xf numFmtId="172" fontId="7" fillId="2" borderId="2" xfId="0" applyNumberFormat="1" applyFont="1" applyFill="1" applyBorder="1"/>
    <xf numFmtId="167" fontId="7" fillId="0" borderId="2" xfId="1" applyNumberFormat="1" applyFont="1" applyFill="1" applyBorder="1"/>
    <xf numFmtId="167" fontId="7" fillId="0" borderId="2" xfId="0" applyNumberFormat="1" applyFont="1" applyFill="1" applyBorder="1"/>
    <xf numFmtId="175" fontId="7" fillId="0" borderId="2" xfId="0" applyNumberFormat="1" applyFont="1" applyFill="1" applyBorder="1"/>
    <xf numFmtId="2" fontId="7" fillId="0" borderId="2" xfId="0" applyNumberFormat="1" applyFont="1" applyFill="1" applyBorder="1"/>
    <xf numFmtId="175" fontId="7" fillId="0" borderId="2" xfId="1" applyNumberFormat="1" applyFont="1" applyFill="1" applyBorder="1"/>
    <xf numFmtId="167" fontId="7" fillId="2" borderId="2" xfId="1" applyNumberFormat="1" applyFont="1" applyFill="1" applyBorder="1"/>
    <xf numFmtId="172" fontId="7" fillId="0" borderId="2" xfId="1" applyNumberFormat="1" applyFont="1" applyFill="1" applyBorder="1"/>
    <xf numFmtId="174" fontId="7" fillId="2" borderId="2" xfId="1" applyNumberFormat="1" applyFont="1" applyFill="1" applyBorder="1"/>
    <xf numFmtId="177" fontId="7" fillId="2" borderId="2" xfId="1" applyNumberFormat="1" applyFont="1" applyFill="1" applyBorder="1"/>
    <xf numFmtId="172" fontId="7" fillId="0" borderId="2" xfId="1" applyNumberFormat="1" applyFont="1" applyBorder="1"/>
    <xf numFmtId="175" fontId="7" fillId="0" borderId="2" xfId="1" applyNumberFormat="1" applyFont="1" applyBorder="1"/>
    <xf numFmtId="173" fontId="7" fillId="0" borderId="2" xfId="1" applyNumberFormat="1" applyFont="1" applyBorder="1"/>
    <xf numFmtId="2" fontId="7" fillId="6" borderId="2" xfId="1" applyNumberFormat="1" applyFont="1" applyFill="1" applyBorder="1"/>
    <xf numFmtId="174" fontId="7" fillId="0" borderId="2" xfId="0" applyNumberFormat="1" applyFont="1" applyFill="1" applyBorder="1"/>
    <xf numFmtId="173" fontId="7" fillId="6" borderId="2" xfId="0" applyNumberFormat="1" applyFont="1" applyFill="1" applyBorder="1"/>
    <xf numFmtId="173" fontId="7" fillId="0" borderId="2" xfId="0" applyNumberFormat="1" applyFont="1" applyBorder="1"/>
    <xf numFmtId="9" fontId="7" fillId="0" borderId="2" xfId="0" applyNumberFormat="1" applyFont="1" applyBorder="1"/>
    <xf numFmtId="9" fontId="7" fillId="2" borderId="2" xfId="1" applyFont="1" applyFill="1" applyBorder="1"/>
    <xf numFmtId="167" fontId="7" fillId="4" borderId="2" xfId="0" applyNumberFormat="1" applyFont="1" applyFill="1" applyBorder="1"/>
    <xf numFmtId="172" fontId="7" fillId="4" borderId="2" xfId="0" applyNumberFormat="1" applyFont="1" applyFill="1" applyBorder="1"/>
    <xf numFmtId="174" fontId="7" fillId="4" borderId="2" xfId="0" applyNumberFormat="1" applyFont="1" applyFill="1" applyBorder="1"/>
    <xf numFmtId="173" fontId="7" fillId="4" borderId="2" xfId="0" applyNumberFormat="1" applyFont="1" applyFill="1" applyBorder="1"/>
    <xf numFmtId="175" fontId="7" fillId="4" borderId="2" xfId="0" applyNumberFormat="1" applyFont="1" applyFill="1" applyBorder="1"/>
    <xf numFmtId="167" fontId="14" fillId="6" borderId="2" xfId="0" applyNumberFormat="1" applyFont="1" applyFill="1" applyBorder="1"/>
    <xf numFmtId="173" fontId="14" fillId="6" borderId="2" xfId="2" applyNumberFormat="1" applyFont="1" applyFill="1" applyBorder="1"/>
    <xf numFmtId="173" fontId="14" fillId="6" borderId="2" xfId="0" applyNumberFormat="1" applyFont="1" applyFill="1" applyBorder="1"/>
    <xf numFmtId="174" fontId="14" fillId="6" borderId="2" xfId="0" applyNumberFormat="1" applyFont="1" applyFill="1" applyBorder="1"/>
    <xf numFmtId="174" fontId="12" fillId="6" borderId="2" xfId="0" applyNumberFormat="1" applyFont="1" applyFill="1" applyBorder="1"/>
    <xf numFmtId="173" fontId="7" fillId="6" borderId="2" xfId="2" applyNumberFormat="1" applyFont="1" applyFill="1" applyBorder="1"/>
    <xf numFmtId="2" fontId="7" fillId="6" borderId="2" xfId="0" applyNumberFormat="1" applyFont="1" applyFill="1" applyBorder="1"/>
    <xf numFmtId="172" fontId="7" fillId="6" borderId="2" xfId="1" applyNumberFormat="1" applyFont="1" applyFill="1" applyBorder="1"/>
    <xf numFmtId="175" fontId="7" fillId="6" borderId="2" xfId="0" applyNumberFormat="1" applyFont="1" applyFill="1" applyBorder="1"/>
    <xf numFmtId="172" fontId="7" fillId="6" borderId="2" xfId="0" applyNumberFormat="1" applyFont="1" applyFill="1" applyBorder="1"/>
    <xf numFmtId="167" fontId="7" fillId="4" borderId="2" xfId="1" applyNumberFormat="1" applyFont="1" applyFill="1" applyBorder="1"/>
    <xf numFmtId="175" fontId="7" fillId="4" borderId="2" xfId="1" applyNumberFormat="1" applyFont="1" applyFill="1" applyBorder="1"/>
    <xf numFmtId="2" fontId="7" fillId="4" borderId="2" xfId="1" applyNumberFormat="1" applyFont="1" applyFill="1" applyBorder="1"/>
    <xf numFmtId="167" fontId="7" fillId="6" borderId="2" xfId="1" applyNumberFormat="1" applyFont="1" applyFill="1" applyBorder="1"/>
    <xf numFmtId="172" fontId="7" fillId="4" borderId="2" xfId="1" applyNumberFormat="1" applyFont="1" applyFill="1" applyBorder="1"/>
    <xf numFmtId="173" fontId="7" fillId="4" borderId="2" xfId="1" applyNumberFormat="1" applyFont="1" applyFill="1" applyBorder="1"/>
    <xf numFmtId="176" fontId="7" fillId="6" borderId="2" xfId="1" applyNumberFormat="1" applyFont="1" applyFill="1" applyBorder="1"/>
    <xf numFmtId="176" fontId="7" fillId="6" borderId="2" xfId="0" applyNumberFormat="1" applyFont="1" applyFill="1" applyBorder="1"/>
    <xf numFmtId="173" fontId="7" fillId="4" borderId="2" xfId="2" applyNumberFormat="1" applyFont="1" applyFill="1" applyBorder="1"/>
    <xf numFmtId="174" fontId="14" fillId="4" borderId="2" xfId="2" applyNumberFormat="1" applyFont="1" applyFill="1" applyBorder="1"/>
    <xf numFmtId="175" fontId="7" fillId="4" borderId="2" xfId="2" applyNumberFormat="1" applyFont="1" applyFill="1" applyBorder="1"/>
    <xf numFmtId="173" fontId="14" fillId="4" borderId="2" xfId="2" applyNumberFormat="1" applyFont="1" applyFill="1" applyBorder="1"/>
    <xf numFmtId="174" fontId="7" fillId="4" borderId="2" xfId="2" applyNumberFormat="1" applyFont="1" applyFill="1" applyBorder="1"/>
    <xf numFmtId="167" fontId="7" fillId="4" borderId="2" xfId="2" applyNumberFormat="1" applyFont="1" applyFill="1" applyBorder="1"/>
    <xf numFmtId="9" fontId="7" fillId="6" borderId="3" xfId="0" applyNumberFormat="1" applyFont="1" applyFill="1" applyBorder="1"/>
    <xf numFmtId="0" fontId="23" fillId="4" borderId="0" xfId="0" applyFont="1" applyFill="1"/>
    <xf numFmtId="0" fontId="6" fillId="4" borderId="0" xfId="0" applyFont="1" applyFill="1"/>
    <xf numFmtId="0" fontId="5" fillId="4" borderId="2" xfId="0" applyFont="1" applyFill="1" applyBorder="1" applyAlignment="1">
      <alignment horizontal="center"/>
    </xf>
    <xf numFmtId="0" fontId="5" fillId="4" borderId="2" xfId="0" applyFont="1" applyFill="1" applyBorder="1" applyAlignment="1">
      <alignment horizontal="right"/>
    </xf>
    <xf numFmtId="1" fontId="5" fillId="4" borderId="2" xfId="0" applyNumberFormat="1" applyFont="1" applyFill="1" applyBorder="1"/>
    <xf numFmtId="0" fontId="32" fillId="4" borderId="0" xfId="0" applyFont="1" applyFill="1"/>
    <xf numFmtId="0" fontId="0" fillId="4" borderId="0" xfId="0" applyFill="1"/>
    <xf numFmtId="2" fontId="5" fillId="0" borderId="2" xfId="0" applyNumberFormat="1" applyFont="1" applyBorder="1"/>
    <xf numFmtId="0" fontId="7" fillId="0" borderId="2" xfId="0" applyFont="1" applyBorder="1"/>
    <xf numFmtId="172" fontId="5" fillId="0" borderId="2" xfId="0" applyNumberFormat="1" applyFont="1" applyBorder="1"/>
    <xf numFmtId="175" fontId="5" fillId="0" borderId="2" xfId="0" applyNumberFormat="1" applyFont="1" applyBorder="1"/>
    <xf numFmtId="167" fontId="5" fillId="0" borderId="2" xfId="0" applyNumberFormat="1" applyFont="1" applyBorder="1"/>
    <xf numFmtId="174" fontId="5" fillId="0" borderId="2" xfId="0" applyNumberFormat="1" applyFont="1" applyBorder="1"/>
    <xf numFmtId="173" fontId="5" fillId="0" borderId="2" xfId="0" applyNumberFormat="1" applyFont="1" applyBorder="1"/>
    <xf numFmtId="175" fontId="5" fillId="4" borderId="0" xfId="0" applyNumberFormat="1" applyFont="1" applyFill="1"/>
    <xf numFmtId="175" fontId="0" fillId="0" borderId="2" xfId="0" applyNumberFormat="1" applyBorder="1"/>
    <xf numFmtId="2" fontId="0" fillId="0" borderId="2" xfId="0" applyNumberFormat="1" applyBorder="1"/>
    <xf numFmtId="174" fontId="0" fillId="0" borderId="2" xfId="0" applyNumberFormat="1" applyBorder="1"/>
    <xf numFmtId="172" fontId="0" fillId="0" borderId="2" xfId="0" applyNumberFormat="1" applyBorder="1"/>
    <xf numFmtId="167" fontId="7" fillId="4" borderId="2" xfId="0" applyNumberFormat="1" applyFont="1" applyFill="1" applyBorder="1" applyAlignment="1">
      <alignment vertical="center"/>
    </xf>
    <xf numFmtId="0" fontId="7" fillId="4" borderId="2" xfId="0" applyFont="1" applyFill="1" applyBorder="1" applyAlignment="1">
      <alignment horizontal="right"/>
    </xf>
    <xf numFmtId="167" fontId="7" fillId="4" borderId="2" xfId="0" applyNumberFormat="1" applyFont="1" applyFill="1" applyBorder="1" applyAlignment="1">
      <alignment horizontal="right"/>
    </xf>
    <xf numFmtId="0" fontId="5" fillId="0" borderId="0" xfId="3"/>
    <xf numFmtId="0" fontId="12" fillId="4" borderId="0" xfId="3" applyFont="1" applyFill="1"/>
    <xf numFmtId="0" fontId="13" fillId="4" borderId="0" xfId="3" applyFont="1" applyFill="1"/>
    <xf numFmtId="0" fontId="12" fillId="6" borderId="2" xfId="3" applyFont="1" applyFill="1" applyBorder="1"/>
    <xf numFmtId="0" fontId="38" fillId="6" borderId="2" xfId="4" applyFont="1" applyFill="1" applyBorder="1"/>
    <xf numFmtId="0" fontId="7" fillId="2" borderId="10" xfId="3" applyFont="1" applyFill="1" applyBorder="1"/>
    <xf numFmtId="0" fontId="6" fillId="4" borderId="0" xfId="3" applyFont="1" applyFill="1"/>
    <xf numFmtId="0" fontId="17" fillId="9" borderId="2" xfId="3" applyFont="1" applyFill="1" applyBorder="1" applyAlignment="1">
      <alignment horizontal="left"/>
    </xf>
    <xf numFmtId="0" fontId="24" fillId="5" borderId="2" xfId="0" applyFont="1" applyFill="1" applyBorder="1" applyAlignment="1">
      <alignment horizontal="center"/>
    </xf>
    <xf numFmtId="0" fontId="17" fillId="5" borderId="2" xfId="0" applyFont="1" applyFill="1" applyBorder="1" applyAlignment="1">
      <alignment horizontal="center"/>
    </xf>
    <xf numFmtId="9" fontId="7" fillId="4" borderId="8" xfId="1" applyFont="1" applyFill="1" applyBorder="1" applyAlignment="1">
      <alignment horizontal="left" vertical="top" wrapText="1"/>
    </xf>
    <xf numFmtId="9" fontId="7" fillId="4" borderId="0" xfId="1" applyFont="1" applyFill="1" applyBorder="1" applyAlignment="1">
      <alignment horizontal="left" vertical="top" wrapText="1"/>
    </xf>
    <xf numFmtId="0" fontId="12" fillId="4" borderId="0" xfId="0" applyFont="1" applyFill="1" applyBorder="1" applyAlignment="1">
      <alignment horizontal="center"/>
    </xf>
    <xf numFmtId="0" fontId="7" fillId="6" borderId="2" xfId="0" applyFont="1" applyFill="1" applyBorder="1" applyAlignment="1">
      <alignment horizontal="left" vertical="top" wrapText="1"/>
    </xf>
    <xf numFmtId="0" fontId="7" fillId="6" borderId="11" xfId="0" applyFont="1" applyFill="1" applyBorder="1" applyAlignment="1">
      <alignment horizontal="left" vertical="top" wrapText="1"/>
    </xf>
    <xf numFmtId="0" fontId="7" fillId="6" borderId="8" xfId="0" applyFont="1" applyFill="1" applyBorder="1" applyAlignment="1">
      <alignment horizontal="left" vertical="top" wrapText="1"/>
    </xf>
    <xf numFmtId="0" fontId="7" fillId="6" borderId="12" xfId="0" applyFont="1" applyFill="1" applyBorder="1" applyAlignment="1">
      <alignment horizontal="left" vertical="top" wrapText="1"/>
    </xf>
    <xf numFmtId="0" fontId="7" fillId="6" borderId="13" xfId="0" applyFont="1" applyFill="1" applyBorder="1" applyAlignment="1">
      <alignment horizontal="left" vertical="top" wrapText="1"/>
    </xf>
    <xf numFmtId="0" fontId="7" fillId="6" borderId="9" xfId="0" applyFont="1" applyFill="1" applyBorder="1" applyAlignment="1">
      <alignment horizontal="left" vertical="top" wrapText="1"/>
    </xf>
    <xf numFmtId="0" fontId="7" fillId="6" borderId="14" xfId="0" applyFont="1" applyFill="1" applyBorder="1" applyAlignment="1">
      <alignment horizontal="left" vertical="top" wrapText="1"/>
    </xf>
    <xf numFmtId="0" fontId="7" fillId="4" borderId="8" xfId="0" applyFont="1" applyFill="1" applyBorder="1" applyAlignment="1">
      <alignment horizontal="left"/>
    </xf>
    <xf numFmtId="0" fontId="7" fillId="4" borderId="0" xfId="0" applyFont="1" applyFill="1" applyBorder="1" applyAlignment="1">
      <alignment horizontal="left" vertical="top" wrapText="1"/>
    </xf>
  </cellXfs>
  <cellStyles count="5">
    <cellStyle name="Comma" xfId="2" builtinId="3"/>
    <cellStyle name="Hyperlink" xfId="4" builtinId="8"/>
    <cellStyle name="Normal" xfId="0" builtinId="0"/>
    <cellStyle name="Normal 2" xfId="3"/>
    <cellStyle name="Percent" xfId="1" builtinId="5"/>
  </cellStyles>
  <dxfs count="0"/>
  <tableStyles count="0" defaultTableStyle="TableStyleMedium2" defaultPivotStyle="PivotStyleLight16"/>
  <colors>
    <mruColors>
      <color rgb="FF85BD5F"/>
      <color rgb="FF44546A"/>
      <color rgb="FFF1975A"/>
      <color rgb="FFEC7524"/>
      <color rgb="FF3865B6"/>
      <color rgb="FFFA8A4C"/>
      <color rgb="FFF85A4E"/>
      <color rgb="FFFF4747"/>
      <color rgb="FFDEC8EE"/>
      <color rgb="FFBA8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IN!$H$37</c:f>
              <c:strCache>
                <c:ptCount val="1"/>
                <c:pt idx="0">
                  <c:v>Nuclear</c:v>
                </c:pt>
              </c:strCache>
            </c:strRef>
          </c:tx>
          <c:spPr>
            <a:solidFill>
              <a:srgbClr val="00B0F0"/>
            </a:solid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IN!$K$37:$T$37</c:f>
              <c:numCache>
                <c:formatCode>0.00</c:formatCode>
                <c:ptCount val="10"/>
                <c:pt idx="0">
                  <c:v>2.8681559938996801</c:v>
                </c:pt>
                <c:pt idx="1">
                  <c:v>6.7693664958773034</c:v>
                </c:pt>
                <c:pt idx="2" formatCode="00.0">
                  <c:v>14.815970056144728</c:v>
                </c:pt>
                <c:pt idx="3">
                  <c:v>7.7593248026136665</c:v>
                </c:pt>
                <c:pt idx="4">
                  <c:v>3.3915305237747133</c:v>
                </c:pt>
                <c:pt idx="5" formatCode="00.0">
                  <c:v>11.681508643268728</c:v>
                </c:pt>
                <c:pt idx="6">
                  <c:v>4.1139958344503329</c:v>
                </c:pt>
                <c:pt idx="7">
                  <c:v>6.9306930693069306</c:v>
                </c:pt>
                <c:pt idx="8" formatCode="00.0">
                  <c:v>19.291348832365728</c:v>
                </c:pt>
                <c:pt idx="9" formatCode="00.0">
                  <c:v>26.732673267326732</c:v>
                </c:pt>
              </c:numCache>
            </c:numRef>
          </c:val>
          <c:extLst>
            <c:ext xmlns:c16="http://schemas.microsoft.com/office/drawing/2014/chart" uri="{C3380CC4-5D6E-409C-BE32-E72D297353CC}">
              <c16:uniqueId val="{00000000-F081-49BB-AFC9-2B7BF46978B7}"/>
            </c:ext>
          </c:extLst>
        </c:ser>
        <c:ser>
          <c:idx val="1"/>
          <c:order val="1"/>
          <c:tx>
            <c:strRef>
              <c:f>IN!$H$38</c:f>
              <c:strCache>
                <c:ptCount val="1"/>
                <c:pt idx="0">
                  <c:v>Oil/Diesel</c:v>
                </c:pt>
              </c:strCache>
            </c:strRef>
          </c:tx>
          <c:spPr>
            <a:solidFill>
              <a:schemeClr val="bg1">
                <a:lumMod val="65000"/>
              </a:schemeClr>
            </a:solid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IN!$K$38:$T$38</c:f>
              <c:numCache>
                <c:formatCode>0.00</c:formatCode>
                <c:ptCount val="10"/>
                <c:pt idx="0">
                  <c:v>1.9414603898171581</c:v>
                </c:pt>
                <c:pt idx="1">
                  <c:v>1.1876081571714567</c:v>
                </c:pt>
                <c:pt idx="2" formatCode="0;0;&quot;-&quot;">
                  <c:v>0</c:v>
                </c:pt>
                <c:pt idx="3">
                  <c:v>1.361285053090117</c:v>
                </c:pt>
                <c:pt idx="4" formatCode="0.000">
                  <c:v>0.68000612005508032</c:v>
                </c:pt>
                <c:pt idx="5">
                  <c:v>1.1000523834468308</c:v>
                </c:pt>
                <c:pt idx="6" formatCode="0.000">
                  <c:v>0.82486132019054281</c:v>
                </c:pt>
                <c:pt idx="7" formatCode="0;0;&quot;-&quot;">
                  <c:v>0</c:v>
                </c:pt>
                <c:pt idx="9" formatCode="0.000">
                  <c:v>0.99009900990099009</c:v>
                </c:pt>
              </c:numCache>
            </c:numRef>
          </c:val>
          <c:extLst>
            <c:ext xmlns:c16="http://schemas.microsoft.com/office/drawing/2014/chart" uri="{C3380CC4-5D6E-409C-BE32-E72D297353CC}">
              <c16:uniqueId val="{00000001-F081-49BB-AFC9-2B7BF46978B7}"/>
            </c:ext>
          </c:extLst>
        </c:ser>
        <c:ser>
          <c:idx val="4"/>
          <c:order val="3"/>
          <c:tx>
            <c:strRef>
              <c:f>IN!$H$40</c:f>
              <c:strCache>
                <c:ptCount val="1"/>
                <c:pt idx="0">
                  <c:v>Coal, Subcritical</c:v>
                </c:pt>
              </c:strCache>
            </c:strRef>
          </c:tx>
          <c:spPr>
            <a:solidFill>
              <a:schemeClr val="accent6"/>
            </a:solid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IN!$K$40:$T$40</c:f>
              <c:numCache>
                <c:formatCode>00.0</c:formatCode>
                <c:ptCount val="10"/>
                <c:pt idx="0">
                  <c:v>72.833548408721455</c:v>
                </c:pt>
                <c:pt idx="1">
                  <c:v>51.915442299209388</c:v>
                </c:pt>
                <c:pt idx="2">
                  <c:v>30.879600748596381</c:v>
                </c:pt>
                <c:pt idx="3">
                  <c:v>32.204114970246195</c:v>
                </c:pt>
                <c:pt idx="4">
                  <c:v>69.768627917651244</c:v>
                </c:pt>
                <c:pt idx="5">
                  <c:v>58.250392875851233</c:v>
                </c:pt>
                <c:pt idx="6">
                  <c:v>25.055162600787739</c:v>
                </c:pt>
                <c:pt idx="7">
                  <c:v>69.306930693069305</c:v>
                </c:pt>
                <c:pt idx="9" formatCode="0.00">
                  <c:v>1.9801980198019802</c:v>
                </c:pt>
              </c:numCache>
            </c:numRef>
          </c:val>
          <c:extLst>
            <c:ext xmlns:c16="http://schemas.microsoft.com/office/drawing/2014/chart" uri="{C3380CC4-5D6E-409C-BE32-E72D297353CC}">
              <c16:uniqueId val="{00000004-F081-49BB-AFC9-2B7BF46978B7}"/>
            </c:ext>
          </c:extLst>
        </c:ser>
        <c:ser>
          <c:idx val="5"/>
          <c:order val="4"/>
          <c:tx>
            <c:strRef>
              <c:f>IN!$H$41</c:f>
              <c:strCache>
                <c:ptCount val="1"/>
                <c:pt idx="0">
                  <c:v>Coal, CCS</c:v>
                </c:pt>
              </c:strCache>
            </c:strRef>
          </c:tx>
          <c:spPr>
            <a:pattFill prst="narHorz">
              <a:fgClr>
                <a:schemeClr val="accent6"/>
              </a:fgClr>
              <a:bgClr>
                <a:schemeClr val="bg1"/>
              </a:bgClr>
            </a:patt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IN!$K$41:$T$41</c:f>
              <c:numCache>
                <c:formatCode>0;0;"-"</c:formatCode>
                <c:ptCount val="10"/>
                <c:pt idx="9" formatCode="00.0">
                  <c:v>15.841584158415841</c:v>
                </c:pt>
              </c:numCache>
            </c:numRef>
          </c:val>
          <c:extLst>
            <c:ext xmlns:c16="http://schemas.microsoft.com/office/drawing/2014/chart" uri="{C3380CC4-5D6E-409C-BE32-E72D297353CC}">
              <c16:uniqueId val="{00000005-F081-49BB-AFC9-2B7BF46978B7}"/>
            </c:ext>
          </c:extLst>
        </c:ser>
        <c:ser>
          <c:idx val="3"/>
          <c:order val="5"/>
          <c:tx>
            <c:strRef>
              <c:f>IN!$H$42</c:f>
              <c:strCache>
                <c:ptCount val="1"/>
                <c:pt idx="0">
                  <c:v>Coal, Supercritical</c:v>
                </c:pt>
              </c:strCache>
            </c:strRef>
          </c:tx>
          <c:spPr>
            <a:pattFill prst="wdDnDiag">
              <a:fgClr>
                <a:schemeClr val="accent6"/>
              </a:fgClr>
              <a:bgClr>
                <a:schemeClr val="bg1"/>
              </a:bgClr>
            </a:patt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IN!$K$42:$T$42</c:f>
              <c:numCache>
                <c:formatCode>0.00</c:formatCode>
                <c:ptCount val="10"/>
                <c:pt idx="1">
                  <c:v>1.5269247735061589</c:v>
                </c:pt>
                <c:pt idx="4">
                  <c:v>1.5300137701239307</c:v>
                </c:pt>
                <c:pt idx="6" formatCode="0.000">
                  <c:v>0.18559379704287216</c:v>
                </c:pt>
              </c:numCache>
            </c:numRef>
          </c:val>
          <c:extLst>
            <c:ext xmlns:c16="http://schemas.microsoft.com/office/drawing/2014/chart" uri="{C3380CC4-5D6E-409C-BE32-E72D297353CC}">
              <c16:uniqueId val="{00000003-F081-49BB-AFC9-2B7BF46978B7}"/>
            </c:ext>
          </c:extLst>
        </c:ser>
        <c:ser>
          <c:idx val="6"/>
          <c:order val="6"/>
          <c:tx>
            <c:strRef>
              <c:f>IN!$H$43</c:f>
              <c:strCache>
                <c:ptCount val="1"/>
                <c:pt idx="0">
                  <c:v>Coal, IGCC</c:v>
                </c:pt>
              </c:strCache>
            </c:strRef>
          </c:tx>
          <c:spPr>
            <a:pattFill prst="dkUpDiag">
              <a:fgClr>
                <a:schemeClr val="accent6"/>
              </a:fgClr>
              <a:bgClr>
                <a:schemeClr val="bg1"/>
              </a:bgClr>
            </a:patt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IN!$K$43:$T$43</c:f>
              <c:numCache>
                <c:formatCode>0;0;"-"</c:formatCode>
                <c:ptCount val="10"/>
                <c:pt idx="2" formatCode="00.0">
                  <c:v>11.228945726762319</c:v>
                </c:pt>
                <c:pt idx="3" formatCode="00.0">
                  <c:v>16.452102213060559</c:v>
                </c:pt>
                <c:pt idx="6" formatCode="00.0">
                  <c:v>39.53147877013177</c:v>
                </c:pt>
              </c:numCache>
            </c:numRef>
          </c:val>
          <c:extLst>
            <c:ext xmlns:c16="http://schemas.microsoft.com/office/drawing/2014/chart" uri="{C3380CC4-5D6E-409C-BE32-E72D297353CC}">
              <c16:uniqueId val="{00000006-F081-49BB-AFC9-2B7BF46978B7}"/>
            </c:ext>
          </c:extLst>
        </c:ser>
        <c:ser>
          <c:idx val="7"/>
          <c:order val="8"/>
          <c:tx>
            <c:strRef>
              <c:f>IN!$H$45</c:f>
              <c:strCache>
                <c:ptCount val="1"/>
                <c:pt idx="0">
                  <c:v>Gas</c:v>
                </c:pt>
              </c:strCache>
            </c:strRef>
          </c:tx>
          <c:spPr>
            <a:solidFill>
              <a:srgbClr val="F1975A"/>
            </a:solid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IN!$K$45:$T$45</c:f>
              <c:numCache>
                <c:formatCode>00.0</c:formatCode>
                <c:ptCount val="10"/>
                <c:pt idx="0" formatCode="0.00">
                  <c:v>5.4552615260855717</c:v>
                </c:pt>
                <c:pt idx="1">
                  <c:v>16.015744290997933</c:v>
                </c:pt>
                <c:pt idx="2">
                  <c:v>13.880224578914536</c:v>
                </c:pt>
                <c:pt idx="3">
                  <c:v>14.779666290692701</c:v>
                </c:pt>
                <c:pt idx="4" formatCode="0.00">
                  <c:v>9.3160838447546013</c:v>
                </c:pt>
                <c:pt idx="5" formatCode="0.00">
                  <c:v>8.695652173913043</c:v>
                </c:pt>
                <c:pt idx="6" formatCode="0.00">
                  <c:v>7.3412657496958316</c:v>
                </c:pt>
                <c:pt idx="7">
                  <c:v>10.891089108910892</c:v>
                </c:pt>
                <c:pt idx="8">
                  <c:v>16.766030564161309</c:v>
                </c:pt>
                <c:pt idx="9">
                  <c:v>11.881188118811881</c:v>
                </c:pt>
              </c:numCache>
            </c:numRef>
          </c:val>
          <c:extLst>
            <c:ext xmlns:c16="http://schemas.microsoft.com/office/drawing/2014/chart" uri="{C3380CC4-5D6E-409C-BE32-E72D297353CC}">
              <c16:uniqueId val="{00000007-F081-49BB-AFC9-2B7BF46978B7}"/>
            </c:ext>
          </c:extLst>
        </c:ser>
        <c:ser>
          <c:idx val="13"/>
          <c:order val="9"/>
          <c:tx>
            <c:strRef>
              <c:f>IN!$H$46</c:f>
              <c:strCache>
                <c:ptCount val="1"/>
                <c:pt idx="0">
                  <c:v>Gas, CCS</c:v>
                </c:pt>
              </c:strCache>
            </c:strRef>
          </c:tx>
          <c:spPr>
            <a:pattFill prst="dkUpDiag">
              <a:fgClr>
                <a:srgbClr val="F1975A"/>
              </a:fgClr>
              <a:bgClr>
                <a:schemeClr val="bg1"/>
              </a:bgClr>
            </a:patt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IN!$K$46:$T$46</c:f>
              <c:numCache>
                <c:formatCode>0;0;"-"</c:formatCode>
                <c:ptCount val="10"/>
                <c:pt idx="9" formatCode="0.00">
                  <c:v>3.9603960396039604</c:v>
                </c:pt>
              </c:numCache>
            </c:numRef>
          </c:val>
          <c:extLst>
            <c:ext xmlns:c16="http://schemas.microsoft.com/office/drawing/2014/chart" uri="{C3380CC4-5D6E-409C-BE32-E72D297353CC}">
              <c16:uniqueId val="{00000000-F15C-49F4-963C-9369CAC7D5CF}"/>
            </c:ext>
          </c:extLst>
        </c:ser>
        <c:ser>
          <c:idx val="9"/>
          <c:order val="10"/>
          <c:tx>
            <c:strRef>
              <c:f>IN!$H$47</c:f>
              <c:strCache>
                <c:ptCount val="1"/>
                <c:pt idx="0">
                  <c:v>Gas, Efficient</c:v>
                </c:pt>
              </c:strCache>
            </c:strRef>
          </c:tx>
          <c:spPr>
            <a:pattFill prst="narHorz">
              <a:fgClr>
                <a:srgbClr val="F1975A"/>
              </a:fgClr>
              <a:bgClr>
                <a:schemeClr val="bg1"/>
              </a:bgClr>
            </a:patt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IN!$K$47:$T$47</c:f>
              <c:numCache>
                <c:formatCode>0;0;"-"</c:formatCode>
                <c:ptCount val="10"/>
                <c:pt idx="2" formatCode="0.00">
                  <c:v>1.5595757953836555</c:v>
                </c:pt>
                <c:pt idx="3" formatCode="0.00">
                  <c:v>1.5557543463887051</c:v>
                </c:pt>
                <c:pt idx="6" formatCode="0.00">
                  <c:v>4.371764997009878</c:v>
                </c:pt>
              </c:numCache>
            </c:numRef>
          </c:val>
          <c:extLst>
            <c:ext xmlns:c16="http://schemas.microsoft.com/office/drawing/2014/chart" uri="{C3380CC4-5D6E-409C-BE32-E72D297353CC}">
              <c16:uniqueId val="{00000009-F081-49BB-AFC9-2B7BF46978B7}"/>
            </c:ext>
          </c:extLst>
        </c:ser>
        <c:ser>
          <c:idx val="11"/>
          <c:order val="11"/>
          <c:tx>
            <c:strRef>
              <c:f>IN!$H$48</c:f>
              <c:strCache>
                <c:ptCount val="1"/>
                <c:pt idx="0">
                  <c:v>Hydro</c:v>
                </c:pt>
              </c:strCache>
            </c:strRef>
          </c:tx>
          <c:spPr>
            <a:pattFill prst="pct90">
              <a:fgClr>
                <a:srgbClr val="3865B6"/>
              </a:fgClr>
              <a:bgClr>
                <a:schemeClr val="bg1"/>
              </a:bgClr>
            </a:patt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IN!$K$48:$T$48</c:f>
              <c:numCache>
                <c:formatCode>00.0</c:formatCode>
                <c:ptCount val="10"/>
                <c:pt idx="0">
                  <c:v>11.86855821280732</c:v>
                </c:pt>
                <c:pt idx="1">
                  <c:v>22.042007397102239</c:v>
                </c:pt>
                <c:pt idx="2">
                  <c:v>25.764192139737997</c:v>
                </c:pt>
                <c:pt idx="3">
                  <c:v>25.265450585352571</c:v>
                </c:pt>
                <c:pt idx="4">
                  <c:v>15.041735375618378</c:v>
                </c:pt>
                <c:pt idx="5">
                  <c:v>16.291251964379256</c:v>
                </c:pt>
                <c:pt idx="6">
                  <c:v>18.245932402614809</c:v>
                </c:pt>
                <c:pt idx="7" formatCode="0.00">
                  <c:v>8.9108910891089117</c:v>
                </c:pt>
                <c:pt idx="8">
                  <c:v>10.35120147874307</c:v>
                </c:pt>
                <c:pt idx="9">
                  <c:v>10.89108910891089</c:v>
                </c:pt>
              </c:numCache>
            </c:numRef>
          </c:val>
          <c:extLst>
            <c:ext xmlns:c16="http://schemas.microsoft.com/office/drawing/2014/chart" uri="{C3380CC4-5D6E-409C-BE32-E72D297353CC}">
              <c16:uniqueId val="{0000000B-F081-49BB-AFC9-2B7BF46978B7}"/>
            </c:ext>
          </c:extLst>
        </c:ser>
        <c:ser>
          <c:idx val="12"/>
          <c:order val="13"/>
          <c:tx>
            <c:strRef>
              <c:f>IN!$H$50</c:f>
              <c:strCache>
                <c:ptCount val="1"/>
                <c:pt idx="0">
                  <c:v>Biomass</c:v>
                </c:pt>
              </c:strCache>
            </c:strRef>
          </c:tx>
          <c:spPr>
            <a:pattFill prst="trellis">
              <a:fgClr>
                <a:srgbClr val="FFC000"/>
              </a:fgClr>
              <a:bgClr>
                <a:schemeClr val="bg1"/>
              </a:bgClr>
            </a:patt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IN!$K$50:$T$50</c:f>
              <c:numCache>
                <c:formatCode>0;0;"-"</c:formatCode>
                <c:ptCount val="10"/>
                <c:pt idx="0" formatCode="0.00">
                  <c:v>1.9396168864904721</c:v>
                </c:pt>
                <c:pt idx="7" formatCode="0.000">
                  <c:v>0.99009900990099009</c:v>
                </c:pt>
                <c:pt idx="8" formatCode="0.00">
                  <c:v>1.9525656712920776</c:v>
                </c:pt>
                <c:pt idx="9" formatCode="0.00">
                  <c:v>4.9504950495049505</c:v>
                </c:pt>
              </c:numCache>
            </c:numRef>
          </c:val>
          <c:extLst>
            <c:ext xmlns:c16="http://schemas.microsoft.com/office/drawing/2014/chart" uri="{C3380CC4-5D6E-409C-BE32-E72D297353CC}">
              <c16:uniqueId val="{0000000C-F081-49BB-AFC9-2B7BF46978B7}"/>
            </c:ext>
          </c:extLst>
        </c:ser>
        <c:ser>
          <c:idx val="15"/>
          <c:order val="15"/>
          <c:tx>
            <c:strRef>
              <c:f>IN!$H$52</c:f>
              <c:strCache>
                <c:ptCount val="1"/>
                <c:pt idx="0">
                  <c:v>Geothermal</c:v>
                </c:pt>
              </c:strCache>
            </c:strRef>
          </c:tx>
          <c:spPr>
            <a:solidFill>
              <a:schemeClr val="accent4">
                <a:lumMod val="80000"/>
                <a:lumOff val="20000"/>
              </a:schemeClr>
            </a:solid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IN!$K$52:$T$52</c:f>
              <c:numCache>
                <c:formatCode>0;0;"-"</c:formatCode>
                <c:ptCount val="10"/>
                <c:pt idx="0">
                  <c:v>0</c:v>
                </c:pt>
                <c:pt idx="5" formatCode="0.000">
                  <c:v>5.2383446830801469E-2</c:v>
                </c:pt>
              </c:numCache>
            </c:numRef>
          </c:val>
          <c:extLst>
            <c:ext xmlns:c16="http://schemas.microsoft.com/office/drawing/2014/chart" uri="{C3380CC4-5D6E-409C-BE32-E72D297353CC}">
              <c16:uniqueId val="{0000002A-D9F4-499C-AFAA-664872D24F55}"/>
            </c:ext>
          </c:extLst>
        </c:ser>
        <c:ser>
          <c:idx val="16"/>
          <c:order val="16"/>
          <c:tx>
            <c:strRef>
              <c:f>IN!$H$53</c:f>
              <c:strCache>
                <c:ptCount val="1"/>
                <c:pt idx="0">
                  <c:v>Wind</c:v>
                </c:pt>
              </c:strCache>
            </c:strRef>
          </c:tx>
          <c:spPr>
            <a:solidFill>
              <a:srgbClr val="FFC000"/>
            </a:solid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IN!$K$53:$T$53</c:f>
              <c:numCache>
                <c:formatCode>0;0;"-"</c:formatCode>
                <c:ptCount val="10"/>
                <c:pt idx="0" formatCode="0.00">
                  <c:v>2.8057282676096467</c:v>
                </c:pt>
                <c:pt idx="5" formatCode="0.00">
                  <c:v>2.3572551073860661</c:v>
                </c:pt>
                <c:pt idx="7" formatCode="0.00">
                  <c:v>1.9801980198019802</c:v>
                </c:pt>
                <c:pt idx="8" formatCode="0.00">
                  <c:v>8.9427507745177159</c:v>
                </c:pt>
                <c:pt idx="9" formatCode="0.00">
                  <c:v>4.9504950495049505</c:v>
                </c:pt>
              </c:numCache>
            </c:numRef>
          </c:val>
          <c:extLst>
            <c:ext xmlns:c16="http://schemas.microsoft.com/office/drawing/2014/chart" uri="{C3380CC4-5D6E-409C-BE32-E72D297353CC}">
              <c16:uniqueId val="{0000002B-D9F4-499C-AFAA-664872D24F55}"/>
            </c:ext>
          </c:extLst>
        </c:ser>
        <c:ser>
          <c:idx val="17"/>
          <c:order val="17"/>
          <c:tx>
            <c:strRef>
              <c:f>IN!$H$54</c:f>
              <c:strCache>
                <c:ptCount val="1"/>
                <c:pt idx="0">
                  <c:v>Solar</c:v>
                </c:pt>
              </c:strCache>
            </c:strRef>
          </c:tx>
          <c:spPr>
            <a:pattFill prst="pct70">
              <a:fgClr>
                <a:srgbClr val="FFC000"/>
              </a:fgClr>
              <a:bgClr>
                <a:schemeClr val="bg1"/>
              </a:bgClr>
            </a:pattFill>
            <a:ln>
              <a:noFill/>
            </a:ln>
            <a:effectLst/>
          </c:spPr>
          <c:invertIfNegative val="0"/>
          <c:cat>
            <c:strRef>
              <c:f>IN!$K$36:$T$36</c:f>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f>IN!$K$54:$T$54</c:f>
              <c:numCache>
                <c:formatCode>0.000</c:formatCode>
                <c:ptCount val="10"/>
                <c:pt idx="0">
                  <c:v>0.28767031456870401</c:v>
                </c:pt>
                <c:pt idx="1">
                  <c:v>0.54290658613552312</c:v>
                </c:pt>
                <c:pt idx="2" formatCode="0.00">
                  <c:v>1.871490954460387</c:v>
                </c:pt>
                <c:pt idx="3">
                  <c:v>0.6223017385554821</c:v>
                </c:pt>
                <c:pt idx="4">
                  <c:v>0.27200244802203216</c:v>
                </c:pt>
                <c:pt idx="5" formatCode="0.00">
                  <c:v>1.5715034049240439</c:v>
                </c:pt>
                <c:pt idx="6">
                  <c:v>0.32994452807621716</c:v>
                </c:pt>
                <c:pt idx="7">
                  <c:v>0.99009900990099009</c:v>
                </c:pt>
                <c:pt idx="8" formatCode="00.0">
                  <c:v>42.696102678920099</c:v>
                </c:pt>
                <c:pt idx="9" formatCode="00.0">
                  <c:v>17.821782178217823</c:v>
                </c:pt>
              </c:numCache>
            </c:numRef>
          </c:val>
          <c:extLst>
            <c:ext xmlns:c16="http://schemas.microsoft.com/office/drawing/2014/chart" uri="{C3380CC4-5D6E-409C-BE32-E72D297353CC}">
              <c16:uniqueId val="{0000002C-D9F4-499C-AFAA-664872D24F55}"/>
            </c:ext>
          </c:extLst>
        </c:ser>
        <c:dLbls>
          <c:showLegendKey val="0"/>
          <c:showVal val="0"/>
          <c:showCatName val="0"/>
          <c:showSerName val="0"/>
          <c:showPercent val="0"/>
          <c:showBubbleSize val="0"/>
        </c:dLbls>
        <c:gapWidth val="150"/>
        <c:overlap val="100"/>
        <c:axId val="330504976"/>
        <c:axId val="330512464"/>
        <c:extLst>
          <c:ext xmlns:c15="http://schemas.microsoft.com/office/drawing/2012/chart" uri="{02D57815-91ED-43cb-92C2-25804820EDAC}">
            <c15:filteredBarSeries>
              <c15:ser>
                <c:idx val="2"/>
                <c:order val="2"/>
                <c:tx>
                  <c:strRef>
                    <c:extLst>
                      <c:ext uri="{02D57815-91ED-43cb-92C2-25804820EDAC}">
                        <c15:formulaRef>
                          <c15:sqref>IN!$H$39</c15:sqref>
                        </c15:formulaRef>
                      </c:ext>
                    </c:extLst>
                    <c:strCache>
                      <c:ptCount val="1"/>
                    </c:strCache>
                  </c:strRef>
                </c:tx>
                <c:spPr>
                  <a:solidFill>
                    <a:schemeClr val="accent3"/>
                  </a:solidFill>
                  <a:ln>
                    <a:noFill/>
                  </a:ln>
                  <a:effectLst/>
                </c:spPr>
                <c:invertIfNegative val="0"/>
                <c:cat>
                  <c:strRef>
                    <c:extLst>
                      <c:ext uri="{02D57815-91ED-43cb-92C2-25804820EDAC}">
                        <c15:formulaRef>
                          <c15:sqref>IN!$K$36:$T$36</c15:sqref>
                        </c15:formulaRef>
                      </c:ext>
                    </c:extLst>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extLst>
                      <c:ext uri="{02D57815-91ED-43cb-92C2-25804820EDAC}">
                        <c15:formulaRef>
                          <c15:sqref>IN!$K$39:$T$39</c15:sqref>
                        </c15:formulaRef>
                      </c:ext>
                    </c:extLst>
                    <c:numCache>
                      <c:formatCode>00.0</c:formatCode>
                      <c:ptCount val="10"/>
                      <c:pt idx="0">
                        <c:v>72.833548408721455</c:v>
                      </c:pt>
                      <c:pt idx="1">
                        <c:v>53.442367072715548</c:v>
                      </c:pt>
                      <c:pt idx="2">
                        <c:v>42.1085464753587</c:v>
                      </c:pt>
                      <c:pt idx="3">
                        <c:v>48.656217183306751</c:v>
                      </c:pt>
                      <c:pt idx="4">
                        <c:v>71.298641687775174</c:v>
                      </c:pt>
                      <c:pt idx="5">
                        <c:v>58.250392875851233</c:v>
                      </c:pt>
                      <c:pt idx="6">
                        <c:v>64.772235167962378</c:v>
                      </c:pt>
                      <c:pt idx="7">
                        <c:v>69.306930693069305</c:v>
                      </c:pt>
                      <c:pt idx="9">
                        <c:v>17.821782178217823</c:v>
                      </c:pt>
                    </c:numCache>
                  </c:numRef>
                </c:val>
                <c:extLst>
                  <c:ext xmlns:c16="http://schemas.microsoft.com/office/drawing/2014/chart" uri="{C3380CC4-5D6E-409C-BE32-E72D297353CC}">
                    <c16:uniqueId val="{00000002-F081-49BB-AFC9-2B7BF46978B7}"/>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IN!$H$44</c15:sqref>
                        </c15:formulaRef>
                      </c:ext>
                    </c:extLst>
                    <c:strCache>
                      <c:ptCount val="1"/>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IN!$K$36:$T$36</c15:sqref>
                        </c15:formulaRef>
                      </c:ext>
                    </c:extLst>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extLst xmlns:c15="http://schemas.microsoft.com/office/drawing/2012/chart">
                      <c:ext xmlns:c15="http://schemas.microsoft.com/office/drawing/2012/chart" uri="{02D57815-91ED-43cb-92C2-25804820EDAC}">
                        <c15:formulaRef>
                          <c15:sqref>IN!$K$44:$T$44</c15:sqref>
                        </c15:formulaRef>
                      </c:ext>
                    </c:extLst>
                    <c:numCache>
                      <c:formatCode>00.0</c:formatCode>
                      <c:ptCount val="10"/>
                      <c:pt idx="0" formatCode="0.00">
                        <c:v>5.4552615260855717</c:v>
                      </c:pt>
                      <c:pt idx="1">
                        <c:v>16.015744290997933</c:v>
                      </c:pt>
                      <c:pt idx="2">
                        <c:v>15.439800374298191</c:v>
                      </c:pt>
                      <c:pt idx="3">
                        <c:v>16.335420637081405</c:v>
                      </c:pt>
                      <c:pt idx="4" formatCode="0.00">
                        <c:v>9.3160838447546013</c:v>
                      </c:pt>
                      <c:pt idx="5" formatCode="0.00">
                        <c:v>8.695652173913043</c:v>
                      </c:pt>
                      <c:pt idx="6">
                        <c:v>11.713030746705709</c:v>
                      </c:pt>
                      <c:pt idx="7">
                        <c:v>10.891089108910892</c:v>
                      </c:pt>
                      <c:pt idx="8">
                        <c:v>16.766030564161309</c:v>
                      </c:pt>
                      <c:pt idx="9">
                        <c:v>15.841584158415841</c:v>
                      </c:pt>
                    </c:numCache>
                  </c:numRef>
                </c:val>
                <c:extLst xmlns:c15="http://schemas.microsoft.com/office/drawing/2012/chart">
                  <c:ext xmlns:c16="http://schemas.microsoft.com/office/drawing/2014/chart" uri="{C3380CC4-5D6E-409C-BE32-E72D297353CC}">
                    <c16:uniqueId val="{00000008-F081-49BB-AFC9-2B7BF46978B7}"/>
                  </c:ext>
                </c:extLst>
              </c15:ser>
            </c15:filteredBarSeries>
            <c15:filteredBarSeries>
              <c15:ser>
                <c:idx val="10"/>
                <c:order val="12"/>
                <c:tx>
                  <c:strRef>
                    <c:extLst xmlns:c15="http://schemas.microsoft.com/office/drawing/2012/chart">
                      <c:ext xmlns:c15="http://schemas.microsoft.com/office/drawing/2012/chart" uri="{02D57815-91ED-43cb-92C2-25804820EDAC}">
                        <c15:formulaRef>
                          <c15:sqref>IN!$H$49</c15:sqref>
                        </c15:formulaRef>
                      </c:ext>
                    </c:extLst>
                    <c:strCache>
                      <c:ptCount val="1"/>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IN!$K$36:$T$36</c15:sqref>
                        </c15:formulaRef>
                      </c:ext>
                    </c:extLst>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extLst xmlns:c15="http://schemas.microsoft.com/office/drawing/2012/chart">
                      <c:ext xmlns:c15="http://schemas.microsoft.com/office/drawing/2012/chart" uri="{02D57815-91ED-43cb-92C2-25804820EDAC}">
                        <c15:formulaRef>
                          <c15:sqref>IN!$K$49:$T$49</c15:sqref>
                        </c15:formulaRef>
                      </c:ext>
                    </c:extLst>
                    <c:numCache>
                      <c:formatCode>0;0;"-"</c:formatCode>
                      <c:ptCount val="10"/>
                      <c:pt idx="0" formatCode="0.00">
                        <c:v>1.9396168864904721</c:v>
                      </c:pt>
                      <c:pt idx="1">
                        <c:v>0</c:v>
                      </c:pt>
                      <c:pt idx="2">
                        <c:v>0</c:v>
                      </c:pt>
                      <c:pt idx="3">
                        <c:v>0</c:v>
                      </c:pt>
                      <c:pt idx="4">
                        <c:v>0</c:v>
                      </c:pt>
                      <c:pt idx="5">
                        <c:v>0</c:v>
                      </c:pt>
                      <c:pt idx="6">
                        <c:v>0</c:v>
                      </c:pt>
                      <c:pt idx="7" formatCode="0.000">
                        <c:v>0.99009900990099009</c:v>
                      </c:pt>
                      <c:pt idx="8" formatCode="0.00">
                        <c:v>1.9525656712920776</c:v>
                      </c:pt>
                      <c:pt idx="9" formatCode="0.00">
                        <c:v>4.9504950495049505</c:v>
                      </c:pt>
                    </c:numCache>
                  </c:numRef>
                </c:val>
                <c:extLst xmlns:c15="http://schemas.microsoft.com/office/drawing/2012/chart">
                  <c:ext xmlns:c16="http://schemas.microsoft.com/office/drawing/2014/chart" uri="{C3380CC4-5D6E-409C-BE32-E72D297353CC}">
                    <c16:uniqueId val="{0000000A-F081-49BB-AFC9-2B7BF46978B7}"/>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IN!$H$51</c15:sqref>
                        </c15:formulaRef>
                      </c:ext>
                    </c:extLst>
                    <c:strCache>
                      <c:ptCount val="1"/>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IN!$K$36:$T$36</c15:sqref>
                        </c15:formulaRef>
                      </c:ext>
                    </c:extLst>
                    <c:strCache>
                      <c:ptCount val="10"/>
                      <c:pt idx="0">
                        <c:v>2013 Grid (IEA)</c:v>
                      </c:pt>
                      <c:pt idx="1">
                        <c:v>TERI BAU - 2021</c:v>
                      </c:pt>
                      <c:pt idx="2">
                        <c:v>TERI Hybrid - 2021</c:v>
                      </c:pt>
                      <c:pt idx="3">
                        <c:v>TERI Efficiency - 2021</c:v>
                      </c:pt>
                      <c:pt idx="4">
                        <c:v>TERI BAU - 2031</c:v>
                      </c:pt>
                      <c:pt idx="5">
                        <c:v>EIA - 2030</c:v>
                      </c:pt>
                      <c:pt idx="6">
                        <c:v>TERI Efficiency - 2031</c:v>
                      </c:pt>
                      <c:pt idx="7">
                        <c:v>IEA - 2050</c:v>
                      </c:pt>
                      <c:pt idx="8">
                        <c:v>Low Carbon - 2050</c:v>
                      </c:pt>
                      <c:pt idx="9">
                        <c:v>IEA Blue Map - 2050</c:v>
                      </c:pt>
                    </c:strCache>
                  </c:strRef>
                </c:cat>
                <c:val>
                  <c:numRef>
                    <c:extLst xmlns:c15="http://schemas.microsoft.com/office/drawing/2012/chart">
                      <c:ext xmlns:c15="http://schemas.microsoft.com/office/drawing/2012/chart" uri="{02D57815-91ED-43cb-92C2-25804820EDAC}">
                        <c15:formulaRef>
                          <c15:sqref>IN!$K$51:$T$51</c15:sqref>
                        </c15:formulaRef>
                      </c:ext>
                    </c:extLst>
                    <c:numCache>
                      <c:formatCode>0.000</c:formatCode>
                      <c:ptCount val="10"/>
                      <c:pt idx="0" formatCode="0.00">
                        <c:v>3.0933985821783505</c:v>
                      </c:pt>
                      <c:pt idx="1">
                        <c:v>0.54290658613552312</c:v>
                      </c:pt>
                      <c:pt idx="2" formatCode="0.00">
                        <c:v>1.871490954460387</c:v>
                      </c:pt>
                      <c:pt idx="3">
                        <c:v>0.6223017385554821</c:v>
                      </c:pt>
                      <c:pt idx="4">
                        <c:v>0.27200244802203216</c:v>
                      </c:pt>
                      <c:pt idx="5" formatCode="0.00">
                        <c:v>3.9811419591409116</c:v>
                      </c:pt>
                      <c:pt idx="6">
                        <c:v>0.32994452807621716</c:v>
                      </c:pt>
                      <c:pt idx="7" formatCode="0.00">
                        <c:v>2.9702970297029703</c:v>
                      </c:pt>
                      <c:pt idx="8" formatCode="00.0">
                        <c:v>51.638853453437818</c:v>
                      </c:pt>
                      <c:pt idx="9" formatCode="00.0">
                        <c:v>22.772277227722775</c:v>
                      </c:pt>
                    </c:numCache>
                  </c:numRef>
                </c:val>
                <c:extLst xmlns:c15="http://schemas.microsoft.com/office/drawing/2012/chart">
                  <c:ext xmlns:c16="http://schemas.microsoft.com/office/drawing/2014/chart" uri="{C3380CC4-5D6E-409C-BE32-E72D297353CC}">
                    <c16:uniqueId val="{00000029-D9F4-499C-AFAA-664872D24F55}"/>
                  </c:ext>
                </c:extLst>
              </c15:ser>
            </c15:filteredBarSeries>
          </c:ext>
        </c:extLst>
      </c:barChart>
      <c:catAx>
        <c:axId val="3305049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30512464"/>
        <c:crosses val="autoZero"/>
        <c:auto val="1"/>
        <c:lblAlgn val="ctr"/>
        <c:lblOffset val="100"/>
        <c:noMultiLvlLbl val="0"/>
      </c:catAx>
      <c:valAx>
        <c:axId val="330512464"/>
        <c:scaling>
          <c:orientation val="minMax"/>
        </c:scaling>
        <c:delete val="0"/>
        <c:axPos val="l"/>
        <c:majorGridlines>
          <c:spPr>
            <a:ln w="0" cap="flat" cmpd="sng" algn="ctr">
              <a:solidFill>
                <a:schemeClr val="tx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Percent Contribution</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30504976"/>
        <c:crosses val="autoZero"/>
        <c:crossBetween val="between"/>
      </c:valAx>
      <c:spPr>
        <a:noFill/>
        <a:ln>
          <a:noFill/>
        </a:ln>
        <a:effectLst/>
      </c:spPr>
    </c:plotArea>
    <c:legend>
      <c:legendPos val="b"/>
      <c:layout>
        <c:manualLayout>
          <c:xMode val="edge"/>
          <c:yMode val="edge"/>
          <c:x val="6.5684303666587118E-2"/>
          <c:y val="0.87774559430071242"/>
          <c:w val="0.88504543466157637"/>
          <c:h val="0.10439726284214473"/>
        </c:manualLayout>
      </c:layout>
      <c:overlay val="0"/>
      <c:spPr>
        <a:noFill/>
        <a:ln w="0">
          <a:solidFill>
            <a:schemeClr val="tx1"/>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3787878787877E-2"/>
          <c:y val="2.3105236845394325E-2"/>
          <c:w val="0.92107323232323235"/>
          <c:h val="0.82869766279215096"/>
        </c:manualLayout>
      </c:layout>
      <c:barChart>
        <c:barDir val="col"/>
        <c:grouping val="stacked"/>
        <c:varyColors val="0"/>
        <c:ser>
          <c:idx val="0"/>
          <c:order val="0"/>
          <c:tx>
            <c:strRef>
              <c:f>CN!$H$26</c:f>
              <c:strCache>
                <c:ptCount val="1"/>
                <c:pt idx="0">
                  <c:v>Nuclear</c:v>
                </c:pt>
              </c:strCache>
            </c:strRef>
          </c:tx>
          <c:spPr>
            <a:solidFill>
              <a:srgbClr val="00B0F0"/>
            </a:solid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CN!$K$26:$U$26</c:f>
              <c:numCache>
                <c:formatCode>0.00</c:formatCode>
                <c:ptCount val="11"/>
                <c:pt idx="0">
                  <c:v>2.0489859893953457</c:v>
                </c:pt>
                <c:pt idx="1">
                  <c:v>7.3350232866522536</c:v>
                </c:pt>
                <c:pt idx="2">
                  <c:v>9.5161452570163974</c:v>
                </c:pt>
                <c:pt idx="3" formatCode="00.0">
                  <c:v>12.807881773399014</c:v>
                </c:pt>
                <c:pt idx="4" formatCode="00.0">
                  <c:v>11.111628948697517</c:v>
                </c:pt>
                <c:pt idx="5" formatCode="00.0">
                  <c:v>18.7192118226601</c:v>
                </c:pt>
                <c:pt idx="6" formatCode="00.0">
                  <c:v>13.122750387873285</c:v>
                </c:pt>
                <c:pt idx="7">
                  <c:v>7.3</c:v>
                </c:pt>
                <c:pt idx="8" formatCode="00.0">
                  <c:v>24.03846153846154</c:v>
                </c:pt>
                <c:pt idx="9" formatCode="00.0">
                  <c:v>54</c:v>
                </c:pt>
                <c:pt idx="10" formatCode="00.0">
                  <c:v>25.625625625625627</c:v>
                </c:pt>
              </c:numCache>
            </c:numRef>
          </c:val>
          <c:extLst>
            <c:ext xmlns:c16="http://schemas.microsoft.com/office/drawing/2014/chart" uri="{C3380CC4-5D6E-409C-BE32-E72D297353CC}">
              <c16:uniqueId val="{00000000-94CD-4836-A7C5-B8F98F82F6C4}"/>
            </c:ext>
          </c:extLst>
        </c:ser>
        <c:ser>
          <c:idx val="1"/>
          <c:order val="1"/>
          <c:tx>
            <c:strRef>
              <c:f>CN!$H$27</c:f>
              <c:strCache>
                <c:ptCount val="1"/>
                <c:pt idx="0">
                  <c:v>Oil</c:v>
                </c:pt>
              </c:strCache>
            </c:strRef>
          </c:tx>
          <c:spPr>
            <a:solidFill>
              <a:schemeClr val="bg1">
                <a:lumMod val="65000"/>
              </a:schemeClr>
            </a:solid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CN!$K$27:$U$27</c:f>
              <c:numCache>
                <c:formatCode>0;0;"-"</c:formatCode>
                <c:ptCount val="11"/>
                <c:pt idx="0" formatCode="0.000">
                  <c:v>0.11940011356228514</c:v>
                </c:pt>
                <c:pt idx="2" formatCode="0.000">
                  <c:v>0.11065285182577204</c:v>
                </c:pt>
                <c:pt idx="7" formatCode="0.000">
                  <c:v>0.1</c:v>
                </c:pt>
                <c:pt idx="10" formatCode="0.000">
                  <c:v>0.90090090090090091</c:v>
                </c:pt>
              </c:numCache>
            </c:numRef>
          </c:val>
          <c:extLst>
            <c:ext xmlns:c16="http://schemas.microsoft.com/office/drawing/2014/chart" uri="{C3380CC4-5D6E-409C-BE32-E72D297353CC}">
              <c16:uniqueId val="{00000001-94CD-4836-A7C5-B8F98F82F6C4}"/>
            </c:ext>
          </c:extLst>
        </c:ser>
        <c:ser>
          <c:idx val="3"/>
          <c:order val="3"/>
          <c:tx>
            <c:strRef>
              <c:f>CN!$H$29</c:f>
              <c:strCache>
                <c:ptCount val="1"/>
                <c:pt idx="0">
                  <c:v>Coal, subcritical</c:v>
                </c:pt>
              </c:strCache>
            </c:strRef>
          </c:tx>
          <c:spPr>
            <a:solidFill>
              <a:srgbClr val="85BD5F"/>
            </a:solid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CN!$K$29:$U$29</c:f>
              <c:numCache>
                <c:formatCode>00.0</c:formatCode>
                <c:ptCount val="11"/>
                <c:pt idx="0">
                  <c:v>75.466342440774042</c:v>
                </c:pt>
                <c:pt idx="1">
                  <c:v>73.826186931530614</c:v>
                </c:pt>
                <c:pt idx="2">
                  <c:v>65.013580122724065</c:v>
                </c:pt>
                <c:pt idx="3" formatCode="0.000">
                  <c:v>0.98522167487684731</c:v>
                </c:pt>
                <c:pt idx="4">
                  <c:v>64.935392853666968</c:v>
                </c:pt>
                <c:pt idx="6">
                  <c:v>52.901484150959121</c:v>
                </c:pt>
                <c:pt idx="7">
                  <c:v>69.099999999999994</c:v>
                </c:pt>
                <c:pt idx="10" formatCode="0.00">
                  <c:v>1.0010010010010009</c:v>
                </c:pt>
              </c:numCache>
            </c:numRef>
          </c:val>
          <c:extLst>
            <c:ext xmlns:c16="http://schemas.microsoft.com/office/drawing/2014/chart" uri="{C3380CC4-5D6E-409C-BE32-E72D297353CC}">
              <c16:uniqueId val="{0000000D-20F5-430B-A1A3-FCA17249A364}"/>
            </c:ext>
          </c:extLst>
        </c:ser>
        <c:ser>
          <c:idx val="4"/>
          <c:order val="4"/>
          <c:tx>
            <c:strRef>
              <c:f>CN!$H$30</c:f>
              <c:strCache>
                <c:ptCount val="1"/>
                <c:pt idx="0">
                  <c:v>Coal, supercritical</c:v>
                </c:pt>
              </c:strCache>
            </c:strRef>
          </c:tx>
          <c:spPr>
            <a:pattFill prst="wdDnDiag">
              <a:fgClr>
                <a:schemeClr val="accent6"/>
              </a:fgClr>
              <a:bgClr>
                <a:schemeClr val="bg1"/>
              </a:bgClr>
            </a:patt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CN!$K$30:$U$30</c:f>
              <c:numCache>
                <c:formatCode>0;0;"-"</c:formatCode>
                <c:ptCount val="11"/>
                <c:pt idx="3" formatCode="00.0">
                  <c:v>21.674876847290641</c:v>
                </c:pt>
                <c:pt idx="5" formatCode="00.0">
                  <c:v>18.7192118226601</c:v>
                </c:pt>
                <c:pt idx="8" formatCode="0.00">
                  <c:v>7.6923076923076925</c:v>
                </c:pt>
              </c:numCache>
            </c:numRef>
          </c:val>
          <c:extLst>
            <c:ext xmlns:c16="http://schemas.microsoft.com/office/drawing/2014/chart" uri="{C3380CC4-5D6E-409C-BE32-E72D297353CC}">
              <c16:uniqueId val="{0000000E-20F5-430B-A1A3-FCA17249A364}"/>
            </c:ext>
          </c:extLst>
        </c:ser>
        <c:ser>
          <c:idx val="5"/>
          <c:order val="5"/>
          <c:tx>
            <c:strRef>
              <c:f>CN!$H$31</c:f>
              <c:strCache>
                <c:ptCount val="1"/>
                <c:pt idx="0">
                  <c:v>Coal, ultra-supercritical</c:v>
                </c:pt>
              </c:strCache>
            </c:strRef>
          </c:tx>
          <c:spPr>
            <a:pattFill prst="trellis">
              <a:fgClr>
                <a:schemeClr val="accent6"/>
              </a:fgClr>
              <a:bgClr>
                <a:schemeClr val="bg1"/>
              </a:bgClr>
            </a:patt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CN!$K$31:$U$31</c:f>
              <c:numCache>
                <c:formatCode>0;0;"-"</c:formatCode>
                <c:ptCount val="11"/>
                <c:pt idx="3" formatCode="00.0">
                  <c:v>43.349753694581281</c:v>
                </c:pt>
                <c:pt idx="5" formatCode="00.0">
                  <c:v>29.55665024630542</c:v>
                </c:pt>
                <c:pt idx="8" formatCode="00.0">
                  <c:v>39.42307692307692</c:v>
                </c:pt>
                <c:pt idx="9" formatCode="0.00">
                  <c:v>9</c:v>
                </c:pt>
              </c:numCache>
            </c:numRef>
          </c:val>
          <c:extLst>
            <c:ext xmlns:c16="http://schemas.microsoft.com/office/drawing/2014/chart" uri="{C3380CC4-5D6E-409C-BE32-E72D297353CC}">
              <c16:uniqueId val="{0000000F-20F5-430B-A1A3-FCA17249A364}"/>
            </c:ext>
          </c:extLst>
        </c:ser>
        <c:ser>
          <c:idx val="6"/>
          <c:order val="6"/>
          <c:tx>
            <c:strRef>
              <c:f>CN!$H$32</c:f>
              <c:strCache>
                <c:ptCount val="1"/>
                <c:pt idx="0">
                  <c:v>Coal, CCS</c:v>
                </c:pt>
              </c:strCache>
            </c:strRef>
          </c:tx>
          <c:spPr>
            <a:pattFill prst="narHorz">
              <a:fgClr>
                <a:schemeClr val="accent6"/>
              </a:fgClr>
              <a:bgClr>
                <a:schemeClr val="bg1"/>
              </a:bgClr>
            </a:patt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CN!$K$32:$U$32</c:f>
              <c:numCache>
                <c:formatCode>0;0;"-"</c:formatCode>
                <c:ptCount val="11"/>
                <c:pt idx="10" formatCode="00.0">
                  <c:v>14.814814814814815</c:v>
                </c:pt>
              </c:numCache>
            </c:numRef>
          </c:val>
          <c:extLst>
            <c:ext xmlns:c16="http://schemas.microsoft.com/office/drawing/2014/chart" uri="{C3380CC4-5D6E-409C-BE32-E72D297353CC}">
              <c16:uniqueId val="{00000010-20F5-430B-A1A3-FCA17249A364}"/>
            </c:ext>
          </c:extLst>
        </c:ser>
        <c:ser>
          <c:idx val="8"/>
          <c:order val="8"/>
          <c:tx>
            <c:strRef>
              <c:f>CN!$H$34</c:f>
              <c:strCache>
                <c:ptCount val="1"/>
                <c:pt idx="0">
                  <c:v>Gas</c:v>
                </c:pt>
              </c:strCache>
            </c:strRef>
          </c:tx>
          <c:spPr>
            <a:solidFill>
              <a:srgbClr val="F1975A"/>
            </a:solid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CN!$K$34:$U$34</c:f>
              <c:numCache>
                <c:formatCode>0.00</c:formatCode>
                <c:ptCount val="11"/>
                <c:pt idx="0">
                  <c:v>1.6632670800999627</c:v>
                </c:pt>
                <c:pt idx="1">
                  <c:v>5.7021903527204714</c:v>
                </c:pt>
                <c:pt idx="2">
                  <c:v>4.2450457700432551</c:v>
                </c:pt>
                <c:pt idx="3">
                  <c:v>1.9704433497536946</c:v>
                </c:pt>
                <c:pt idx="4">
                  <c:v>8.5598894055318588</c:v>
                </c:pt>
                <c:pt idx="5">
                  <c:v>3.9408866995073892</c:v>
                </c:pt>
                <c:pt idx="6" formatCode="00.0">
                  <c:v>15.166114456924268</c:v>
                </c:pt>
                <c:pt idx="7">
                  <c:v>8.4</c:v>
                </c:pt>
                <c:pt idx="8">
                  <c:v>1.9230769230769231</c:v>
                </c:pt>
                <c:pt idx="9">
                  <c:v>2</c:v>
                </c:pt>
                <c:pt idx="10" formatCode="00.0">
                  <c:v>19.119119119119119</c:v>
                </c:pt>
              </c:numCache>
            </c:numRef>
          </c:val>
          <c:extLst>
            <c:ext xmlns:c16="http://schemas.microsoft.com/office/drawing/2014/chart" uri="{C3380CC4-5D6E-409C-BE32-E72D297353CC}">
              <c16:uniqueId val="{00000012-20F5-430B-A1A3-FCA17249A364}"/>
            </c:ext>
          </c:extLst>
        </c:ser>
        <c:ser>
          <c:idx val="9"/>
          <c:order val="9"/>
          <c:tx>
            <c:strRef>
              <c:f>CN!$H$35</c:f>
              <c:strCache>
                <c:ptCount val="1"/>
                <c:pt idx="0">
                  <c:v>Gas, CCS</c:v>
                </c:pt>
              </c:strCache>
            </c:strRef>
          </c:tx>
          <c:spPr>
            <a:pattFill prst="dkUpDiag">
              <a:fgClr>
                <a:srgbClr val="F1975A"/>
              </a:fgClr>
              <a:bgClr>
                <a:schemeClr val="bg1"/>
              </a:bgClr>
            </a:patt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CN!$K$35:$U$35</c:f>
              <c:numCache>
                <c:formatCode>0;0;"-"</c:formatCode>
                <c:ptCount val="11"/>
                <c:pt idx="10" formatCode="0.00">
                  <c:v>3.7037037037037037</c:v>
                </c:pt>
              </c:numCache>
            </c:numRef>
          </c:val>
          <c:extLst>
            <c:ext xmlns:c16="http://schemas.microsoft.com/office/drawing/2014/chart" uri="{C3380CC4-5D6E-409C-BE32-E72D297353CC}">
              <c16:uniqueId val="{00000013-20F5-430B-A1A3-FCA17249A364}"/>
            </c:ext>
          </c:extLst>
        </c:ser>
        <c:ser>
          <c:idx val="10"/>
          <c:order val="10"/>
          <c:tx>
            <c:strRef>
              <c:f>CN!$H$36</c:f>
              <c:strCache>
                <c:ptCount val="1"/>
                <c:pt idx="0">
                  <c:v>Hydro</c:v>
                </c:pt>
              </c:strCache>
            </c:strRef>
          </c:tx>
          <c:spPr>
            <a:pattFill prst="pct90">
              <a:fgClr>
                <a:srgbClr val="3865B6"/>
              </a:fgClr>
              <a:bgClr>
                <a:schemeClr val="bg1"/>
              </a:bgClr>
            </a:patt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CN!$K$36:$U$36</c:f>
              <c:numCache>
                <c:formatCode>0.00</c:formatCode>
                <c:ptCount val="11"/>
                <c:pt idx="0" formatCode="00.0">
                  <c:v>16.894657120287356</c:v>
                </c:pt>
                <c:pt idx="1">
                  <c:v>5.8975572636479914</c:v>
                </c:pt>
                <c:pt idx="2" formatCode="00.0">
                  <c:v>12.302585252992657</c:v>
                </c:pt>
                <c:pt idx="3" formatCode="00.0">
                  <c:v>11.822660098522167</c:v>
                </c:pt>
                <c:pt idx="4">
                  <c:v>6.9315061302626253</c:v>
                </c:pt>
                <c:pt idx="5" formatCode="00.0">
                  <c:v>16.748768472906406</c:v>
                </c:pt>
                <c:pt idx="6">
                  <c:v>7.773938715700031</c:v>
                </c:pt>
                <c:pt idx="7">
                  <c:v>9.1999999999999993</c:v>
                </c:pt>
                <c:pt idx="8" formatCode="00.0">
                  <c:v>11.538461538461538</c:v>
                </c:pt>
                <c:pt idx="9" formatCode="00.0">
                  <c:v>16</c:v>
                </c:pt>
                <c:pt idx="10" formatCode="00.0">
                  <c:v>12.512512512512512</c:v>
                </c:pt>
              </c:numCache>
            </c:numRef>
          </c:val>
          <c:extLst>
            <c:ext xmlns:c16="http://schemas.microsoft.com/office/drawing/2014/chart" uri="{C3380CC4-5D6E-409C-BE32-E72D297353CC}">
              <c16:uniqueId val="{00000014-20F5-430B-A1A3-FCA17249A364}"/>
            </c:ext>
          </c:extLst>
        </c:ser>
        <c:ser>
          <c:idx val="12"/>
          <c:order val="12"/>
          <c:tx>
            <c:strRef>
              <c:f>CN!$H$38</c:f>
              <c:strCache>
                <c:ptCount val="1"/>
                <c:pt idx="0">
                  <c:v>Biomass</c:v>
                </c:pt>
              </c:strCache>
            </c:strRef>
          </c:tx>
          <c:spPr>
            <a:pattFill prst="trellis">
              <a:fgClr>
                <a:srgbClr val="FFC000"/>
              </a:fgClr>
              <a:bgClr>
                <a:schemeClr val="bg1"/>
              </a:bgClr>
            </a:patt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CN!$K$38:$U$38</c:f>
              <c:numCache>
                <c:formatCode>0;0;"-"</c:formatCode>
                <c:ptCount val="11"/>
                <c:pt idx="0" formatCode="0.000">
                  <c:v>0.92898575441357267</c:v>
                </c:pt>
                <c:pt idx="3" formatCode="0.000">
                  <c:v>0.49261083743842365</c:v>
                </c:pt>
                <c:pt idx="5" formatCode="0.000">
                  <c:v>0.49261083743842365</c:v>
                </c:pt>
                <c:pt idx="7" formatCode="0.00">
                  <c:v>1.3</c:v>
                </c:pt>
                <c:pt idx="8" formatCode="0.000">
                  <c:v>0.96153846153846156</c:v>
                </c:pt>
                <c:pt idx="9" formatCode="0.00">
                  <c:v>1</c:v>
                </c:pt>
                <c:pt idx="10" formatCode="0.00">
                  <c:v>3.9039039039039034</c:v>
                </c:pt>
              </c:numCache>
            </c:numRef>
          </c:val>
          <c:extLst>
            <c:ext xmlns:c16="http://schemas.microsoft.com/office/drawing/2014/chart" uri="{C3380CC4-5D6E-409C-BE32-E72D297353CC}">
              <c16:uniqueId val="{00000016-20F5-430B-A1A3-FCA17249A364}"/>
            </c:ext>
          </c:extLst>
        </c:ser>
        <c:ser>
          <c:idx val="15"/>
          <c:order val="15"/>
          <c:tx>
            <c:strRef>
              <c:f>CN!$H$41</c:f>
              <c:strCache>
                <c:ptCount val="1"/>
                <c:pt idx="0">
                  <c:v>Wind</c:v>
                </c:pt>
              </c:strCache>
            </c:strRef>
          </c:tx>
          <c:spPr>
            <a:solidFill>
              <a:srgbClr val="FFC000"/>
            </a:solid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CN!$K$41:$U$41</c:f>
              <c:numCache>
                <c:formatCode>0.00</c:formatCode>
                <c:ptCount val="11"/>
                <c:pt idx="0">
                  <c:v>2.5922344765624956</c:v>
                </c:pt>
                <c:pt idx="1">
                  <c:v>6.6159750258017329</c:v>
                </c:pt>
                <c:pt idx="2">
                  <c:v>7.9066492304597125</c:v>
                </c:pt>
                <c:pt idx="3">
                  <c:v>5.9113300492610836</c:v>
                </c:pt>
                <c:pt idx="4">
                  <c:v>7.2442294176432531</c:v>
                </c:pt>
                <c:pt idx="5">
                  <c:v>9.8522167487684733</c:v>
                </c:pt>
                <c:pt idx="6">
                  <c:v>9.765671849082409</c:v>
                </c:pt>
                <c:pt idx="7">
                  <c:v>3.5</c:v>
                </c:pt>
                <c:pt idx="8" formatCode="00.0">
                  <c:v>12.5</c:v>
                </c:pt>
                <c:pt idx="9" formatCode="00.0">
                  <c:v>16</c:v>
                </c:pt>
                <c:pt idx="10" formatCode="00.0">
                  <c:v>11.611611611611611</c:v>
                </c:pt>
              </c:numCache>
            </c:numRef>
          </c:val>
          <c:extLst>
            <c:ext xmlns:c16="http://schemas.microsoft.com/office/drawing/2014/chart" uri="{C3380CC4-5D6E-409C-BE32-E72D297353CC}">
              <c16:uniqueId val="{00000002-ABA7-44A0-B4A8-3FF8893C35CA}"/>
            </c:ext>
          </c:extLst>
        </c:ser>
        <c:ser>
          <c:idx val="16"/>
          <c:order val="16"/>
          <c:tx>
            <c:strRef>
              <c:f>CN!$H$42</c:f>
              <c:strCache>
                <c:ptCount val="1"/>
                <c:pt idx="0">
                  <c:v>Solar</c:v>
                </c:pt>
              </c:strCache>
            </c:strRef>
          </c:tx>
          <c:spPr>
            <a:pattFill prst="pct70">
              <a:fgClr>
                <a:srgbClr val="FFC000"/>
              </a:fgClr>
              <a:bgClr>
                <a:schemeClr val="bg1"/>
              </a:bgClr>
            </a:pattFill>
            <a:ln>
              <a:noFill/>
            </a:ln>
            <a:effectLst/>
          </c:spPr>
          <c:invertIfNegative val="0"/>
          <c:cat>
            <c:strRef>
              <c:f>CN!$K$25:$U$25</c:f>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f>CN!$K$42:$U$42</c:f>
              <c:numCache>
                <c:formatCode>0.000</c:formatCode>
                <c:ptCount val="11"/>
                <c:pt idx="0">
                  <c:v>0.28412600824161854</c:v>
                </c:pt>
                <c:pt idx="1">
                  <c:v>0.62306713964691829</c:v>
                </c:pt>
                <c:pt idx="2">
                  <c:v>0.90534151493813497</c:v>
                </c:pt>
                <c:pt idx="3">
                  <c:v>0.98522167487684731</c:v>
                </c:pt>
                <c:pt idx="4" formatCode="0.00">
                  <c:v>1.2173532441977839</c:v>
                </c:pt>
                <c:pt idx="5" formatCode="0.00">
                  <c:v>1.9704433497536946</c:v>
                </c:pt>
                <c:pt idx="6" formatCode="0.00">
                  <c:v>1.2700404394608908</c:v>
                </c:pt>
                <c:pt idx="7" formatCode="0.00">
                  <c:v>1.1000000000000001</c:v>
                </c:pt>
                <c:pt idx="8" formatCode="0.00">
                  <c:v>1.9230769230769231</c:v>
                </c:pt>
                <c:pt idx="9" formatCode="0.00">
                  <c:v>2</c:v>
                </c:pt>
                <c:pt idx="10" formatCode="0.00">
                  <c:v>6.8068068068068062</c:v>
                </c:pt>
              </c:numCache>
            </c:numRef>
          </c:val>
          <c:extLst>
            <c:ext xmlns:c16="http://schemas.microsoft.com/office/drawing/2014/chart" uri="{C3380CC4-5D6E-409C-BE32-E72D297353CC}">
              <c16:uniqueId val="{00000003-ABA7-44A0-B4A8-3FF8893C35CA}"/>
            </c:ext>
          </c:extLst>
        </c:ser>
        <c:dLbls>
          <c:showLegendKey val="0"/>
          <c:showVal val="0"/>
          <c:showCatName val="0"/>
          <c:showSerName val="0"/>
          <c:showPercent val="0"/>
          <c:showBubbleSize val="0"/>
        </c:dLbls>
        <c:gapWidth val="150"/>
        <c:overlap val="100"/>
        <c:axId val="184428480"/>
        <c:axId val="184426816"/>
        <c:extLst>
          <c:ext xmlns:c15="http://schemas.microsoft.com/office/drawing/2012/chart" uri="{02D57815-91ED-43cb-92C2-25804820EDAC}">
            <c15:filteredBarSeries>
              <c15:ser>
                <c:idx val="2"/>
                <c:order val="2"/>
                <c:tx>
                  <c:strRef>
                    <c:extLst>
                      <c:ext uri="{02D57815-91ED-43cb-92C2-25804820EDAC}">
                        <c15:formulaRef>
                          <c15:sqref>CN!$H$28</c15:sqref>
                        </c15:formulaRef>
                      </c:ext>
                    </c:extLst>
                    <c:strCache>
                      <c:ptCount val="1"/>
                      <c:pt idx="0">
                        <c:v>Coal</c:v>
                      </c:pt>
                    </c:strCache>
                  </c:strRef>
                </c:tx>
                <c:spPr>
                  <a:solidFill>
                    <a:schemeClr val="accent6"/>
                  </a:solidFill>
                  <a:ln>
                    <a:noFill/>
                  </a:ln>
                  <a:effectLst/>
                </c:spPr>
                <c:invertIfNegative val="0"/>
                <c:cat>
                  <c:strRef>
                    <c:extLst>
                      <c:ext uri="{02D57815-91ED-43cb-92C2-25804820EDAC}">
                        <c15:formulaRef>
                          <c15:sqref>CN!$K$25:$U$25</c15:sqref>
                        </c15:formulaRef>
                      </c:ext>
                    </c:extLst>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extLst>
                      <c:ext uri="{02D57815-91ED-43cb-92C2-25804820EDAC}">
                        <c15:formulaRef>
                          <c15:sqref>CN!$K$28:$U$28</c15:sqref>
                        </c15:formulaRef>
                      </c:ext>
                    </c:extLst>
                    <c:numCache>
                      <c:formatCode>00.0</c:formatCode>
                      <c:ptCount val="11"/>
                      <c:pt idx="0">
                        <c:v>75.466342440774042</c:v>
                      </c:pt>
                      <c:pt idx="1">
                        <c:v>73.826186931530614</c:v>
                      </c:pt>
                      <c:pt idx="2">
                        <c:v>65.013580122724065</c:v>
                      </c:pt>
                      <c:pt idx="3">
                        <c:v>66.009852216748769</c:v>
                      </c:pt>
                      <c:pt idx="4">
                        <c:v>64.935392853666968</c:v>
                      </c:pt>
                      <c:pt idx="5">
                        <c:v>48.275862068965523</c:v>
                      </c:pt>
                      <c:pt idx="6">
                        <c:v>52.901484150959121</c:v>
                      </c:pt>
                      <c:pt idx="7">
                        <c:v>69.099999999999994</c:v>
                      </c:pt>
                      <c:pt idx="8">
                        <c:v>47.115384615384613</c:v>
                      </c:pt>
                      <c:pt idx="9" formatCode="0.00">
                        <c:v>9</c:v>
                      </c:pt>
                      <c:pt idx="10">
                        <c:v>15.815815815815816</c:v>
                      </c:pt>
                    </c:numCache>
                  </c:numRef>
                </c:val>
                <c:extLst>
                  <c:ext xmlns:c16="http://schemas.microsoft.com/office/drawing/2014/chart" uri="{C3380CC4-5D6E-409C-BE32-E72D297353CC}">
                    <c16:uniqueId val="{0000000C-20F5-430B-A1A3-FCA17249A364}"/>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CN!$H$33</c15:sqref>
                        </c15:formulaRef>
                      </c:ext>
                    </c:extLst>
                    <c:strCache>
                      <c:ptCount val="1"/>
                      <c:pt idx="0">
                        <c:v>Gas</c:v>
                      </c:pt>
                    </c:strCache>
                  </c:strRef>
                </c:tx>
                <c:spPr>
                  <a:solidFill>
                    <a:schemeClr val="accent4">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CN!$K$25:$U$25</c15:sqref>
                        </c15:formulaRef>
                      </c:ext>
                    </c:extLst>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extLst xmlns:c15="http://schemas.microsoft.com/office/drawing/2012/chart">
                      <c:ext xmlns:c15="http://schemas.microsoft.com/office/drawing/2012/chart" uri="{02D57815-91ED-43cb-92C2-25804820EDAC}">
                        <c15:formulaRef>
                          <c15:sqref>CN!$K$33:$U$33</c15:sqref>
                        </c15:formulaRef>
                      </c:ext>
                    </c:extLst>
                    <c:numCache>
                      <c:formatCode>0.00</c:formatCode>
                      <c:ptCount val="11"/>
                      <c:pt idx="0">
                        <c:v>1.6632670800999627</c:v>
                      </c:pt>
                      <c:pt idx="1">
                        <c:v>5.7021903527204714</c:v>
                      </c:pt>
                      <c:pt idx="2">
                        <c:v>4.2450457700432551</c:v>
                      </c:pt>
                      <c:pt idx="3">
                        <c:v>1.9704433497536946</c:v>
                      </c:pt>
                      <c:pt idx="4">
                        <c:v>8.5598894055318588</c:v>
                      </c:pt>
                      <c:pt idx="5">
                        <c:v>3.9408866995073892</c:v>
                      </c:pt>
                      <c:pt idx="6" formatCode="00.0">
                        <c:v>15.166114456924268</c:v>
                      </c:pt>
                      <c:pt idx="7">
                        <c:v>8.4</c:v>
                      </c:pt>
                      <c:pt idx="8">
                        <c:v>1.9230769230769231</c:v>
                      </c:pt>
                      <c:pt idx="9">
                        <c:v>2</c:v>
                      </c:pt>
                      <c:pt idx="10" formatCode="00.0">
                        <c:v>22.822822822822822</c:v>
                      </c:pt>
                    </c:numCache>
                  </c:numRef>
                </c:val>
                <c:extLst xmlns:c15="http://schemas.microsoft.com/office/drawing/2012/chart">
                  <c:ext xmlns:c16="http://schemas.microsoft.com/office/drawing/2014/chart" uri="{C3380CC4-5D6E-409C-BE32-E72D297353CC}">
                    <c16:uniqueId val="{00000011-20F5-430B-A1A3-FCA17249A364}"/>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CN!$H$37</c15:sqref>
                        </c15:formulaRef>
                      </c:ext>
                    </c:extLst>
                    <c:strCache>
                      <c:ptCount val="1"/>
                      <c:pt idx="0">
                        <c:v>Biomass</c:v>
                      </c:pt>
                    </c:strCache>
                  </c:strRef>
                </c:tx>
                <c:spPr>
                  <a:solidFill>
                    <a:schemeClr val="accent6">
                      <a:lumMod val="80000"/>
                    </a:schemeClr>
                  </a:solidFill>
                  <a:ln>
                    <a:noFill/>
                  </a:ln>
                  <a:effectLst/>
                </c:spPr>
                <c:invertIfNegative val="0"/>
                <c:cat>
                  <c:strRef>
                    <c:extLst xmlns:c15="http://schemas.microsoft.com/office/drawing/2012/chart">
                      <c:ext xmlns:c15="http://schemas.microsoft.com/office/drawing/2012/chart" uri="{02D57815-91ED-43cb-92C2-25804820EDAC}">
                        <c15:formulaRef>
                          <c15:sqref>CN!$K$25:$U$25</c15:sqref>
                        </c15:formulaRef>
                      </c:ext>
                    </c:extLst>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extLst xmlns:c15="http://schemas.microsoft.com/office/drawing/2012/chart">
                      <c:ext xmlns:c15="http://schemas.microsoft.com/office/drawing/2012/chart" uri="{02D57815-91ED-43cb-92C2-25804820EDAC}">
                        <c15:formulaRef>
                          <c15:sqref>CN!$K$37:$U$37</c15:sqref>
                        </c15:formulaRef>
                      </c:ext>
                    </c:extLst>
                    <c:numCache>
                      <c:formatCode>0;0;"-"</c:formatCode>
                      <c:ptCount val="11"/>
                      <c:pt idx="0" formatCode="0.000">
                        <c:v>0.92898575441357267</c:v>
                      </c:pt>
                      <c:pt idx="1">
                        <c:v>0</c:v>
                      </c:pt>
                      <c:pt idx="2">
                        <c:v>0</c:v>
                      </c:pt>
                      <c:pt idx="3" formatCode="0.000">
                        <c:v>0.49261083743842365</c:v>
                      </c:pt>
                      <c:pt idx="4">
                        <c:v>0</c:v>
                      </c:pt>
                      <c:pt idx="5" formatCode="0.000">
                        <c:v>0.49261083743842365</c:v>
                      </c:pt>
                      <c:pt idx="6">
                        <c:v>0</c:v>
                      </c:pt>
                      <c:pt idx="7" formatCode="0.00">
                        <c:v>1.3</c:v>
                      </c:pt>
                      <c:pt idx="8" formatCode="0.000">
                        <c:v>0.96153846153846156</c:v>
                      </c:pt>
                      <c:pt idx="9" formatCode="0.00">
                        <c:v>1</c:v>
                      </c:pt>
                      <c:pt idx="10" formatCode="0.00">
                        <c:v>3.9039039039039034</c:v>
                      </c:pt>
                    </c:numCache>
                  </c:numRef>
                </c:val>
                <c:extLst xmlns:c15="http://schemas.microsoft.com/office/drawing/2012/chart">
                  <c:ext xmlns:c16="http://schemas.microsoft.com/office/drawing/2014/chart" uri="{C3380CC4-5D6E-409C-BE32-E72D297353CC}">
                    <c16:uniqueId val="{00000015-20F5-430B-A1A3-FCA17249A364}"/>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CN!$H$39</c15:sqref>
                        </c15:formulaRef>
                      </c:ext>
                    </c:extLst>
                    <c:strCache>
                      <c:ptCount val="1"/>
                      <c:pt idx="0">
                        <c:v>Renewables</c:v>
                      </c:pt>
                    </c:strCache>
                  </c:strRef>
                </c:tx>
                <c:spPr>
                  <a:solidFill>
                    <a:schemeClr val="accent4">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CN!$K$25:$U$25</c15:sqref>
                        </c15:formulaRef>
                      </c:ext>
                    </c:extLst>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extLst xmlns:c15="http://schemas.microsoft.com/office/drawing/2012/chart">
                      <c:ext xmlns:c15="http://schemas.microsoft.com/office/drawing/2012/chart" uri="{02D57815-91ED-43cb-92C2-25804820EDAC}">
                        <c15:formulaRef>
                          <c15:sqref>CN!$K$39:$U$39</c15:sqref>
                        </c15:formulaRef>
                      </c:ext>
                    </c:extLst>
                    <c:numCache>
                      <c:formatCode>0.00</c:formatCode>
                      <c:ptCount val="11"/>
                      <c:pt idx="0">
                        <c:v>2.8783615014674426</c:v>
                      </c:pt>
                      <c:pt idx="1">
                        <c:v>7.2390421654486516</c:v>
                      </c:pt>
                      <c:pt idx="2">
                        <c:v>8.8119907453978481</c:v>
                      </c:pt>
                      <c:pt idx="3">
                        <c:v>6.8965517241379306</c:v>
                      </c:pt>
                      <c:pt idx="4">
                        <c:v>8.461582661841037</c:v>
                      </c:pt>
                      <c:pt idx="5" formatCode="00.0">
                        <c:v>11.822660098522167</c:v>
                      </c:pt>
                      <c:pt idx="6" formatCode="00.0">
                        <c:v>11.0357122885433</c:v>
                      </c:pt>
                      <c:pt idx="7">
                        <c:v>4.5999999999999996</c:v>
                      </c:pt>
                      <c:pt idx="8" formatCode="00.0">
                        <c:v>14.423076923076923</c:v>
                      </c:pt>
                      <c:pt idx="9" formatCode="00.0">
                        <c:v>18</c:v>
                      </c:pt>
                      <c:pt idx="10" formatCode="00.0">
                        <c:v>18.418418418418419</c:v>
                      </c:pt>
                    </c:numCache>
                  </c:numRef>
                </c:val>
                <c:extLst xmlns:c15="http://schemas.microsoft.com/office/drawing/2012/chart">
                  <c:ext xmlns:c16="http://schemas.microsoft.com/office/drawing/2014/chart" uri="{C3380CC4-5D6E-409C-BE32-E72D297353CC}">
                    <c16:uniqueId val="{00000000-ABA7-44A0-B4A8-3FF8893C35CA}"/>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CN!$H$40</c15:sqref>
                        </c15:formulaRef>
                      </c:ext>
                    </c:extLst>
                    <c:strCache>
                      <c:ptCount val="1"/>
                    </c:strCache>
                  </c:strRef>
                </c:tx>
                <c:spPr>
                  <a:solidFill>
                    <a:schemeClr val="accent6">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CN!$K$25:$U$25</c15:sqref>
                        </c15:formulaRef>
                      </c:ext>
                    </c:extLst>
                    <c:strCache>
                      <c:ptCount val="11"/>
                      <c:pt idx="0">
                        <c:v>2013 Grid (IEA)</c:v>
                      </c:pt>
                      <c:pt idx="1">
                        <c:v>BCG Slow Shift - 2030</c:v>
                      </c:pt>
                      <c:pt idx="2">
                        <c:v>EIA - 2030</c:v>
                      </c:pt>
                      <c:pt idx="3">
                        <c:v>LBNL CIS - 2030</c:v>
                      </c:pt>
                      <c:pt idx="4">
                        <c:v>BCG Base - 2030</c:v>
                      </c:pt>
                      <c:pt idx="5">
                        <c:v>LBNL AIS - 2030</c:v>
                      </c:pt>
                      <c:pt idx="6">
                        <c:v>BCG Clean - 2030</c:v>
                      </c:pt>
                      <c:pt idx="7">
                        <c:v>IEA Baseline - 2050</c:v>
                      </c:pt>
                      <c:pt idx="8">
                        <c:v>LBNL CIS - 2050</c:v>
                      </c:pt>
                      <c:pt idx="9">
                        <c:v>LBNL AIS - 2050</c:v>
                      </c:pt>
                      <c:pt idx="10">
                        <c:v>IEA Blue Map - 2050</c:v>
                      </c:pt>
                    </c:strCache>
                  </c:strRef>
                </c:cat>
                <c:val>
                  <c:numRef>
                    <c:extLst xmlns:c15="http://schemas.microsoft.com/office/drawing/2012/chart">
                      <c:ext xmlns:c15="http://schemas.microsoft.com/office/drawing/2012/chart" uri="{02D57815-91ED-43cb-92C2-25804820EDAC}">
                        <c15:formulaRef>
                          <c15:sqref>CN!$K$40:$U$40</c15:sqref>
                        </c15:formulaRef>
                      </c:ext>
                    </c:extLst>
                    <c:numCache>
                      <c:formatCode>0;0;"-"</c:formatCode>
                      <c:ptCount val="11"/>
                      <c:pt idx="0" formatCode="0.00E+0">
                        <c:v>2.0010166633285791E-3</c:v>
                      </c:pt>
                    </c:numCache>
                  </c:numRef>
                </c:val>
                <c:extLst xmlns:c15="http://schemas.microsoft.com/office/drawing/2012/chart">
                  <c:ext xmlns:c16="http://schemas.microsoft.com/office/drawing/2014/chart" uri="{C3380CC4-5D6E-409C-BE32-E72D297353CC}">
                    <c16:uniqueId val="{00000001-ABA7-44A0-B4A8-3FF8893C35CA}"/>
                  </c:ext>
                </c:extLst>
              </c15:ser>
            </c15:filteredBarSeries>
          </c:ext>
        </c:extLst>
      </c:barChart>
      <c:catAx>
        <c:axId val="1844284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84426816"/>
        <c:crosses val="autoZero"/>
        <c:auto val="1"/>
        <c:lblAlgn val="ctr"/>
        <c:lblOffset val="100"/>
        <c:noMultiLvlLbl val="0"/>
      </c:catAx>
      <c:valAx>
        <c:axId val="184426816"/>
        <c:scaling>
          <c:orientation val="minMax"/>
          <c:max val="10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Percent Contribution (%)</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84428480"/>
        <c:crosses val="autoZero"/>
        <c:crossBetween val="between"/>
      </c:valAx>
      <c:spPr>
        <a:noFill/>
        <a:ln>
          <a:noFill/>
        </a:ln>
        <a:effectLst/>
      </c:spPr>
    </c:plotArea>
    <c:legend>
      <c:legendPos val="b"/>
      <c:layout>
        <c:manualLayout>
          <c:xMode val="edge"/>
          <c:yMode val="edge"/>
          <c:x val="6.8939393939393939E-2"/>
          <c:y val="0.93440851143607051"/>
          <c:w val="0.91843434343434338"/>
          <c:h val="4.575021872265967E-2"/>
        </c:manualLayout>
      </c:layout>
      <c:overlay val="0"/>
      <c:spPr>
        <a:noFill/>
        <a:ln w="0">
          <a:solidFill>
            <a:schemeClr val="tx1"/>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21877349440256"/>
          <c:y val="2.1564887722368035E-2"/>
          <c:w val="0.87059016389257582"/>
          <c:h val="0.69471128608923871"/>
        </c:manualLayout>
      </c:layout>
      <c:barChart>
        <c:barDir val="col"/>
        <c:grouping val="percentStacked"/>
        <c:varyColors val="0"/>
        <c:ser>
          <c:idx val="4"/>
          <c:order val="0"/>
          <c:tx>
            <c:strRef>
              <c:f>KE!$K$20</c:f>
              <c:strCache>
                <c:ptCount val="1"/>
                <c:pt idx="0">
                  <c:v>Nuclear</c:v>
                </c:pt>
              </c:strCache>
            </c:strRef>
          </c:tx>
          <c:spPr>
            <a:solidFill>
              <a:srgbClr val="00B0F0"/>
            </a:solidFill>
            <a:ln>
              <a:noFill/>
            </a:ln>
            <a:effectLst/>
          </c:spPr>
          <c:invertIfNegative val="0"/>
          <c:cat>
            <c:strRef>
              <c:f>KE!$L$19:$Q$19</c:f>
              <c:strCache>
                <c:ptCount val="6"/>
                <c:pt idx="0">
                  <c:v>2013 Grid</c:v>
                </c:pt>
                <c:pt idx="1">
                  <c:v>ROK Low Demand - 2031</c:v>
                </c:pt>
                <c:pt idx="2">
                  <c:v>ROK Least Cost Base Scenario - 2031</c:v>
                </c:pt>
                <c:pt idx="3">
                  <c:v>ROK High Demand -2031</c:v>
                </c:pt>
                <c:pt idx="4">
                  <c:v>McKinsey - 2040</c:v>
                </c:pt>
                <c:pt idx="5">
                  <c:v>Low Carbon - 2040</c:v>
                </c:pt>
              </c:strCache>
            </c:strRef>
          </c:cat>
          <c:val>
            <c:numRef>
              <c:f>KE!$L$20:$Q$20</c:f>
              <c:numCache>
                <c:formatCode>0%</c:formatCode>
                <c:ptCount val="6"/>
                <c:pt idx="0" formatCode="0.0%">
                  <c:v>0</c:v>
                </c:pt>
                <c:pt idx="1">
                  <c:v>0.34922722899200997</c:v>
                </c:pt>
                <c:pt idx="2">
                  <c:v>0.30196045149792072</c:v>
                </c:pt>
                <c:pt idx="3">
                  <c:v>0.48639944279691438</c:v>
                </c:pt>
                <c:pt idx="4">
                  <c:v>0</c:v>
                </c:pt>
                <c:pt idx="5">
                  <c:v>0</c:v>
                </c:pt>
              </c:numCache>
            </c:numRef>
          </c:val>
          <c:extLst>
            <c:ext xmlns:c16="http://schemas.microsoft.com/office/drawing/2014/chart" uri="{C3380CC4-5D6E-409C-BE32-E72D297353CC}">
              <c16:uniqueId val="{0000000D-5D76-4CFB-8E1C-5F3C7CEC316E}"/>
            </c:ext>
          </c:extLst>
        </c:ser>
        <c:ser>
          <c:idx val="1"/>
          <c:order val="1"/>
          <c:tx>
            <c:strRef>
              <c:f>KE!$K$21</c:f>
              <c:strCache>
                <c:ptCount val="1"/>
                <c:pt idx="0">
                  <c:v>Coal</c:v>
                </c:pt>
              </c:strCache>
            </c:strRef>
          </c:tx>
          <c:spPr>
            <a:solidFill>
              <a:schemeClr val="accent6"/>
            </a:solidFill>
            <a:ln>
              <a:noFill/>
            </a:ln>
            <a:effectLst/>
          </c:spPr>
          <c:invertIfNegative val="0"/>
          <c:cat>
            <c:strRef>
              <c:f>KE!$L$19:$Q$19</c:f>
              <c:strCache>
                <c:ptCount val="6"/>
                <c:pt idx="0">
                  <c:v>2013 Grid</c:v>
                </c:pt>
                <c:pt idx="1">
                  <c:v>ROK Low Demand - 2031</c:v>
                </c:pt>
                <c:pt idx="2">
                  <c:v>ROK Least Cost Base Scenario - 2031</c:v>
                </c:pt>
                <c:pt idx="3">
                  <c:v>ROK High Demand -2031</c:v>
                </c:pt>
                <c:pt idx="4">
                  <c:v>McKinsey - 2040</c:v>
                </c:pt>
                <c:pt idx="5">
                  <c:v>Low Carbon - 2040</c:v>
                </c:pt>
              </c:strCache>
            </c:strRef>
          </c:cat>
          <c:val>
            <c:numRef>
              <c:f>KE!$L$21:$Q$21</c:f>
              <c:numCache>
                <c:formatCode>0%</c:formatCode>
                <c:ptCount val="6"/>
                <c:pt idx="0" formatCode="0.0%">
                  <c:v>0</c:v>
                </c:pt>
                <c:pt idx="1">
                  <c:v>6.8338802188220055E-2</c:v>
                </c:pt>
                <c:pt idx="2">
                  <c:v>0.10045192226088431</c:v>
                </c:pt>
                <c:pt idx="3">
                  <c:v>0.10311324144218595</c:v>
                </c:pt>
                <c:pt idx="4">
                  <c:v>0</c:v>
                </c:pt>
                <c:pt idx="5">
                  <c:v>0</c:v>
                </c:pt>
              </c:numCache>
            </c:numRef>
          </c:val>
          <c:extLst>
            <c:ext xmlns:c16="http://schemas.microsoft.com/office/drawing/2014/chart" uri="{C3380CC4-5D6E-409C-BE32-E72D297353CC}">
              <c16:uniqueId val="{0000000A-5D76-4CFB-8E1C-5F3C7CEC316E}"/>
            </c:ext>
          </c:extLst>
        </c:ser>
        <c:ser>
          <c:idx val="0"/>
          <c:order val="2"/>
          <c:tx>
            <c:strRef>
              <c:f>KE!$K$22</c:f>
              <c:strCache>
                <c:ptCount val="1"/>
                <c:pt idx="0">
                  <c:v>Oil/Diesel</c:v>
                </c:pt>
              </c:strCache>
            </c:strRef>
          </c:tx>
          <c:spPr>
            <a:solidFill>
              <a:schemeClr val="bg1">
                <a:lumMod val="65000"/>
              </a:schemeClr>
            </a:solidFill>
            <a:ln>
              <a:noFill/>
            </a:ln>
            <a:effectLst/>
          </c:spPr>
          <c:invertIfNegative val="0"/>
          <c:cat>
            <c:strRef>
              <c:f>KE!$L$19:$Q$19</c:f>
              <c:strCache>
                <c:ptCount val="6"/>
                <c:pt idx="0">
                  <c:v>2013 Grid</c:v>
                </c:pt>
                <c:pt idx="1">
                  <c:v>ROK Low Demand - 2031</c:v>
                </c:pt>
                <c:pt idx="2">
                  <c:v>ROK Least Cost Base Scenario - 2031</c:v>
                </c:pt>
                <c:pt idx="3">
                  <c:v>ROK High Demand -2031</c:v>
                </c:pt>
                <c:pt idx="4">
                  <c:v>McKinsey - 2040</c:v>
                </c:pt>
                <c:pt idx="5">
                  <c:v>Low Carbon - 2040</c:v>
                </c:pt>
              </c:strCache>
            </c:strRef>
          </c:cat>
          <c:val>
            <c:numRef>
              <c:f>KE!$L$22:$Q$22</c:f>
              <c:numCache>
                <c:formatCode>0%</c:formatCode>
                <c:ptCount val="6"/>
                <c:pt idx="0" formatCode="0.0%">
                  <c:v>0.30712032447048221</c:v>
                </c:pt>
                <c:pt idx="1">
                  <c:v>1.1915551043423205E-3</c:v>
                </c:pt>
                <c:pt idx="2">
                  <c:v>1.8883136722396673E-3</c:v>
                </c:pt>
                <c:pt idx="3">
                  <c:v>9.9575008595996473E-4</c:v>
                </c:pt>
                <c:pt idx="4">
                  <c:v>0.04</c:v>
                </c:pt>
                <c:pt idx="5">
                  <c:v>0</c:v>
                </c:pt>
              </c:numCache>
            </c:numRef>
          </c:val>
          <c:extLst>
            <c:ext xmlns:c16="http://schemas.microsoft.com/office/drawing/2014/chart" uri="{C3380CC4-5D6E-409C-BE32-E72D297353CC}">
              <c16:uniqueId val="{00000000-5D76-4CFB-8E1C-5F3C7CEC316E}"/>
            </c:ext>
          </c:extLst>
        </c:ser>
        <c:ser>
          <c:idx val="2"/>
          <c:order val="3"/>
          <c:tx>
            <c:strRef>
              <c:f>KE!$K$23</c:f>
              <c:strCache>
                <c:ptCount val="1"/>
                <c:pt idx="0">
                  <c:v>Gas</c:v>
                </c:pt>
              </c:strCache>
            </c:strRef>
          </c:tx>
          <c:spPr>
            <a:solidFill>
              <a:srgbClr val="F1975A"/>
            </a:solidFill>
            <a:ln>
              <a:noFill/>
            </a:ln>
            <a:effectLst/>
          </c:spPr>
          <c:invertIfNegative val="0"/>
          <c:cat>
            <c:strRef>
              <c:f>KE!$L$19:$Q$19</c:f>
              <c:strCache>
                <c:ptCount val="6"/>
                <c:pt idx="0">
                  <c:v>2013 Grid</c:v>
                </c:pt>
                <c:pt idx="1">
                  <c:v>ROK Low Demand - 2031</c:v>
                </c:pt>
                <c:pt idx="2">
                  <c:v>ROK Least Cost Base Scenario - 2031</c:v>
                </c:pt>
                <c:pt idx="3">
                  <c:v>ROK High Demand -2031</c:v>
                </c:pt>
                <c:pt idx="4">
                  <c:v>McKinsey - 2040</c:v>
                </c:pt>
                <c:pt idx="5">
                  <c:v>Low Carbon - 2040</c:v>
                </c:pt>
              </c:strCache>
            </c:strRef>
          </c:cat>
          <c:val>
            <c:numRef>
              <c:f>KE!$L$23:$Q$23</c:f>
              <c:numCache>
                <c:formatCode>0%</c:formatCode>
                <c:ptCount val="6"/>
                <c:pt idx="0" formatCode="0.0%">
                  <c:v>0</c:v>
                </c:pt>
                <c:pt idx="1">
                  <c:v>1.3884828860559228E-2</c:v>
                </c:pt>
                <c:pt idx="2">
                  <c:v>1.3006025630145124E-2</c:v>
                </c:pt>
                <c:pt idx="3">
                  <c:v>9.3111878844078632E-3</c:v>
                </c:pt>
                <c:pt idx="4">
                  <c:v>0.46</c:v>
                </c:pt>
                <c:pt idx="5">
                  <c:v>0.18</c:v>
                </c:pt>
              </c:numCache>
            </c:numRef>
          </c:val>
          <c:extLst>
            <c:ext xmlns:c16="http://schemas.microsoft.com/office/drawing/2014/chart" uri="{C3380CC4-5D6E-409C-BE32-E72D297353CC}">
              <c16:uniqueId val="{0000000B-5D76-4CFB-8E1C-5F3C7CEC316E}"/>
            </c:ext>
          </c:extLst>
        </c:ser>
        <c:ser>
          <c:idx val="5"/>
          <c:order val="4"/>
          <c:tx>
            <c:strRef>
              <c:f>KE!$K$24</c:f>
              <c:strCache>
                <c:ptCount val="1"/>
                <c:pt idx="0">
                  <c:v>Biomass</c:v>
                </c:pt>
              </c:strCache>
            </c:strRef>
          </c:tx>
          <c:spPr>
            <a:pattFill prst="wdDnDiag">
              <a:fgClr>
                <a:srgbClr val="FFC000"/>
              </a:fgClr>
              <a:bgClr>
                <a:schemeClr val="bg1"/>
              </a:bgClr>
            </a:pattFill>
            <a:ln>
              <a:noFill/>
            </a:ln>
            <a:effectLst/>
          </c:spPr>
          <c:invertIfNegative val="0"/>
          <c:cat>
            <c:strRef>
              <c:f>KE!$L$19:$Q$19</c:f>
              <c:strCache>
                <c:ptCount val="6"/>
                <c:pt idx="0">
                  <c:v>2013 Grid</c:v>
                </c:pt>
                <c:pt idx="1">
                  <c:v>ROK Low Demand - 2031</c:v>
                </c:pt>
                <c:pt idx="2">
                  <c:v>ROK Least Cost Base Scenario - 2031</c:v>
                </c:pt>
                <c:pt idx="3">
                  <c:v>ROK High Demand -2031</c:v>
                </c:pt>
                <c:pt idx="4">
                  <c:v>McKinsey - 2040</c:v>
                </c:pt>
                <c:pt idx="5">
                  <c:v>Low Carbon - 2040</c:v>
                </c:pt>
              </c:strCache>
            </c:strRef>
          </c:cat>
          <c:val>
            <c:numRef>
              <c:f>KE!$L$24:$Q$24</c:f>
              <c:numCache>
                <c:formatCode>0%</c:formatCode>
                <c:ptCount val="6"/>
                <c:pt idx="0" formatCode="0.0%">
                  <c:v>2.0166741775574582E-2</c:v>
                </c:pt>
                <c:pt idx="1">
                  <c:v>0</c:v>
                </c:pt>
                <c:pt idx="2">
                  <c:v>0</c:v>
                </c:pt>
                <c:pt idx="3">
                  <c:v>0</c:v>
                </c:pt>
                <c:pt idx="4">
                  <c:v>0</c:v>
                </c:pt>
                <c:pt idx="5">
                  <c:v>0</c:v>
                </c:pt>
              </c:numCache>
            </c:numRef>
          </c:val>
          <c:extLst>
            <c:ext xmlns:c16="http://schemas.microsoft.com/office/drawing/2014/chart" uri="{C3380CC4-5D6E-409C-BE32-E72D297353CC}">
              <c16:uniqueId val="{0000000E-5D76-4CFB-8E1C-5F3C7CEC316E}"/>
            </c:ext>
          </c:extLst>
        </c:ser>
        <c:ser>
          <c:idx val="6"/>
          <c:order val="5"/>
          <c:tx>
            <c:strRef>
              <c:f>KE!$K$25</c:f>
              <c:strCache>
                <c:ptCount val="1"/>
                <c:pt idx="0">
                  <c:v>Hydro</c:v>
                </c:pt>
              </c:strCache>
            </c:strRef>
          </c:tx>
          <c:spPr>
            <a:pattFill prst="pct80">
              <a:fgClr>
                <a:srgbClr val="3865B6"/>
              </a:fgClr>
              <a:bgClr>
                <a:schemeClr val="bg1"/>
              </a:bgClr>
            </a:pattFill>
            <a:ln>
              <a:noFill/>
            </a:ln>
            <a:effectLst/>
          </c:spPr>
          <c:invertIfNegative val="0"/>
          <c:cat>
            <c:strRef>
              <c:f>KE!$L$19:$Q$19</c:f>
              <c:strCache>
                <c:ptCount val="6"/>
                <c:pt idx="0">
                  <c:v>2013 Grid</c:v>
                </c:pt>
                <c:pt idx="1">
                  <c:v>ROK Low Demand - 2031</c:v>
                </c:pt>
                <c:pt idx="2">
                  <c:v>ROK Least Cost Base Scenario - 2031</c:v>
                </c:pt>
                <c:pt idx="3">
                  <c:v>ROK High Demand -2031</c:v>
                </c:pt>
                <c:pt idx="4">
                  <c:v>McKinsey - 2040</c:v>
                </c:pt>
                <c:pt idx="5">
                  <c:v>Low Carbon - 2040</c:v>
                </c:pt>
              </c:strCache>
            </c:strRef>
          </c:cat>
          <c:val>
            <c:numRef>
              <c:f>KE!$L$25:$Q$25</c:f>
              <c:numCache>
                <c:formatCode>0%</c:formatCode>
                <c:ptCount val="6"/>
                <c:pt idx="0" formatCode="0.0%">
                  <c:v>0.44445696259576384</c:v>
                </c:pt>
                <c:pt idx="1">
                  <c:v>1.0511185107176944E-2</c:v>
                </c:pt>
                <c:pt idx="2">
                  <c:v>3.5411185606382074E-2</c:v>
                </c:pt>
                <c:pt idx="3">
                  <c:v>4.8799503158472816E-3</c:v>
                </c:pt>
                <c:pt idx="4">
                  <c:v>0.3</c:v>
                </c:pt>
                <c:pt idx="5">
                  <c:v>0.3</c:v>
                </c:pt>
              </c:numCache>
            </c:numRef>
          </c:val>
          <c:extLst>
            <c:ext xmlns:c16="http://schemas.microsoft.com/office/drawing/2014/chart" uri="{C3380CC4-5D6E-409C-BE32-E72D297353CC}">
              <c16:uniqueId val="{0000000F-5D76-4CFB-8E1C-5F3C7CEC316E}"/>
            </c:ext>
          </c:extLst>
        </c:ser>
        <c:ser>
          <c:idx val="7"/>
          <c:order val="6"/>
          <c:tx>
            <c:strRef>
              <c:f>KE!$K$26</c:f>
              <c:strCache>
                <c:ptCount val="1"/>
                <c:pt idx="0">
                  <c:v>Geo</c:v>
                </c:pt>
              </c:strCache>
            </c:strRef>
          </c:tx>
          <c:spPr>
            <a:pattFill prst="dkUpDiag">
              <a:fgClr>
                <a:srgbClr val="FFC000"/>
              </a:fgClr>
              <a:bgClr>
                <a:schemeClr val="bg1"/>
              </a:bgClr>
            </a:pattFill>
            <a:ln>
              <a:noFill/>
            </a:ln>
            <a:effectLst/>
          </c:spPr>
          <c:invertIfNegative val="0"/>
          <c:cat>
            <c:strRef>
              <c:f>KE!$L$19:$Q$19</c:f>
              <c:strCache>
                <c:ptCount val="6"/>
                <c:pt idx="0">
                  <c:v>2013 Grid</c:v>
                </c:pt>
                <c:pt idx="1">
                  <c:v>ROK Low Demand - 2031</c:v>
                </c:pt>
                <c:pt idx="2">
                  <c:v>ROK Least Cost Base Scenario - 2031</c:v>
                </c:pt>
                <c:pt idx="3">
                  <c:v>ROK High Demand -2031</c:v>
                </c:pt>
                <c:pt idx="4">
                  <c:v>McKinsey - 2040</c:v>
                </c:pt>
                <c:pt idx="5">
                  <c:v>Low Carbon - 2040</c:v>
                </c:pt>
              </c:strCache>
            </c:strRef>
          </c:cat>
          <c:val>
            <c:numRef>
              <c:f>KE!$L$26:$Q$26</c:f>
              <c:numCache>
                <c:formatCode>0%</c:formatCode>
                <c:ptCount val="6"/>
                <c:pt idx="0" formatCode="0.0%">
                  <c:v>0.22611536728255971</c:v>
                </c:pt>
                <c:pt idx="1">
                  <c:v>0.50573726533771513</c:v>
                </c:pt>
                <c:pt idx="2">
                  <c:v>0.47980140880930156</c:v>
                </c:pt>
                <c:pt idx="3">
                  <c:v>0.34784430638775782</c:v>
                </c:pt>
                <c:pt idx="4">
                  <c:v>0.09</c:v>
                </c:pt>
                <c:pt idx="5">
                  <c:v>0.31</c:v>
                </c:pt>
              </c:numCache>
            </c:numRef>
          </c:val>
          <c:extLst>
            <c:ext xmlns:c16="http://schemas.microsoft.com/office/drawing/2014/chart" uri="{C3380CC4-5D6E-409C-BE32-E72D297353CC}">
              <c16:uniqueId val="{00000010-5D76-4CFB-8E1C-5F3C7CEC316E}"/>
            </c:ext>
          </c:extLst>
        </c:ser>
        <c:ser>
          <c:idx val="8"/>
          <c:order val="7"/>
          <c:tx>
            <c:strRef>
              <c:f>KE!$K$27</c:f>
              <c:strCache>
                <c:ptCount val="1"/>
                <c:pt idx="0">
                  <c:v>Solar</c:v>
                </c:pt>
              </c:strCache>
            </c:strRef>
          </c:tx>
          <c:spPr>
            <a:pattFill prst="pct70">
              <a:fgClr>
                <a:srgbClr val="FFC000"/>
              </a:fgClr>
              <a:bgClr>
                <a:schemeClr val="bg1"/>
              </a:bgClr>
            </a:pattFill>
            <a:ln>
              <a:noFill/>
            </a:ln>
            <a:effectLst/>
          </c:spPr>
          <c:invertIfNegative val="0"/>
          <c:cat>
            <c:strRef>
              <c:f>KE!$L$19:$Q$19</c:f>
              <c:strCache>
                <c:ptCount val="6"/>
                <c:pt idx="0">
                  <c:v>2013 Grid</c:v>
                </c:pt>
                <c:pt idx="1">
                  <c:v>ROK Low Demand - 2031</c:v>
                </c:pt>
                <c:pt idx="2">
                  <c:v>ROK Least Cost Base Scenario - 2031</c:v>
                </c:pt>
                <c:pt idx="3">
                  <c:v>ROK High Demand -2031</c:v>
                </c:pt>
                <c:pt idx="4">
                  <c:v>McKinsey - 2040</c:v>
                </c:pt>
                <c:pt idx="5">
                  <c:v>Low Carbon - 2040</c:v>
                </c:pt>
              </c:strCache>
            </c:strRef>
          </c:cat>
          <c:val>
            <c:numRef>
              <c:f>KE!$L$27:$Q$27</c:f>
              <c:numCache>
                <c:formatCode>0%</c:formatCode>
                <c:ptCount val="6"/>
                <c:pt idx="0" formatCode="0.0%">
                  <c:v>1.1266336187471834E-4</c:v>
                </c:pt>
                <c:pt idx="1">
                  <c:v>0</c:v>
                </c:pt>
                <c:pt idx="2">
                  <c:v>0</c:v>
                </c:pt>
                <c:pt idx="3">
                  <c:v>0</c:v>
                </c:pt>
                <c:pt idx="4">
                  <c:v>0.11</c:v>
                </c:pt>
                <c:pt idx="5">
                  <c:v>0.11</c:v>
                </c:pt>
              </c:numCache>
            </c:numRef>
          </c:val>
          <c:extLst>
            <c:ext xmlns:c16="http://schemas.microsoft.com/office/drawing/2014/chart" uri="{C3380CC4-5D6E-409C-BE32-E72D297353CC}">
              <c16:uniqueId val="{00000011-5D76-4CFB-8E1C-5F3C7CEC316E}"/>
            </c:ext>
          </c:extLst>
        </c:ser>
        <c:ser>
          <c:idx val="3"/>
          <c:order val="8"/>
          <c:tx>
            <c:strRef>
              <c:f>KE!$K$28</c:f>
              <c:strCache>
                <c:ptCount val="1"/>
                <c:pt idx="0">
                  <c:v>Wind</c:v>
                </c:pt>
              </c:strCache>
            </c:strRef>
          </c:tx>
          <c:spPr>
            <a:solidFill>
              <a:srgbClr val="FFC000"/>
            </a:solidFill>
            <a:ln>
              <a:noFill/>
            </a:ln>
            <a:effectLst/>
          </c:spPr>
          <c:invertIfNegative val="0"/>
          <c:cat>
            <c:strRef>
              <c:f>KE!$L$19:$Q$19</c:f>
              <c:strCache>
                <c:ptCount val="6"/>
                <c:pt idx="0">
                  <c:v>2013 Grid</c:v>
                </c:pt>
                <c:pt idx="1">
                  <c:v>ROK Low Demand - 2031</c:v>
                </c:pt>
                <c:pt idx="2">
                  <c:v>ROK Least Cost Base Scenario - 2031</c:v>
                </c:pt>
                <c:pt idx="3">
                  <c:v>ROK High Demand -2031</c:v>
                </c:pt>
                <c:pt idx="4">
                  <c:v>McKinsey - 2040</c:v>
                </c:pt>
                <c:pt idx="5">
                  <c:v>Low Carbon - 2040</c:v>
                </c:pt>
              </c:strCache>
            </c:strRef>
          </c:cat>
          <c:val>
            <c:numRef>
              <c:f>KE!$L$28:$Q$28</c:f>
              <c:numCache>
                <c:formatCode>0%</c:formatCode>
                <c:ptCount val="6"/>
                <c:pt idx="0" formatCode="0.0%">
                  <c:v>2.0279405137449301E-3</c:v>
                </c:pt>
                <c:pt idx="1">
                  <c:v>5.1109134409976234E-2</c:v>
                </c:pt>
                <c:pt idx="2">
                  <c:v>6.7480692523126537E-2</c:v>
                </c:pt>
                <c:pt idx="3">
                  <c:v>4.7456121086926678E-2</c:v>
                </c:pt>
                <c:pt idx="4">
                  <c:v>0</c:v>
                </c:pt>
                <c:pt idx="5">
                  <c:v>0.1</c:v>
                </c:pt>
              </c:numCache>
            </c:numRef>
          </c:val>
          <c:extLst>
            <c:ext xmlns:c16="http://schemas.microsoft.com/office/drawing/2014/chart" uri="{C3380CC4-5D6E-409C-BE32-E72D297353CC}">
              <c16:uniqueId val="{0000000C-5D76-4CFB-8E1C-5F3C7CEC316E}"/>
            </c:ext>
          </c:extLst>
        </c:ser>
        <c:dLbls>
          <c:showLegendKey val="0"/>
          <c:showVal val="0"/>
          <c:showCatName val="0"/>
          <c:showSerName val="0"/>
          <c:showPercent val="0"/>
          <c:showBubbleSize val="0"/>
        </c:dLbls>
        <c:gapWidth val="150"/>
        <c:overlap val="100"/>
        <c:axId val="330499984"/>
        <c:axId val="330505392"/>
      </c:barChart>
      <c:catAx>
        <c:axId val="330499984"/>
        <c:scaling>
          <c:orientation val="minMax"/>
        </c:scaling>
        <c:delete val="0"/>
        <c:axPos val="b"/>
        <c:numFmt formatCode="General" sourceLinked="1"/>
        <c:majorTickMark val="none"/>
        <c:minorTickMark val="none"/>
        <c:tickLblPos val="nextTo"/>
        <c:spPr>
          <a:noFill/>
          <a:ln w="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30505392"/>
        <c:crosses val="autoZero"/>
        <c:auto val="1"/>
        <c:lblAlgn val="ctr"/>
        <c:lblOffset val="100"/>
        <c:noMultiLvlLbl val="0"/>
      </c:catAx>
      <c:valAx>
        <c:axId val="330505392"/>
        <c:scaling>
          <c:orientation val="minMax"/>
        </c:scaling>
        <c:delete val="0"/>
        <c:axPos val="l"/>
        <c:majorGridlines>
          <c:spPr>
            <a:ln w="0" cap="flat" cmpd="sng" algn="ctr">
              <a:solidFill>
                <a:schemeClr val="tx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Percent Contribution</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30499984"/>
        <c:crosses val="autoZero"/>
        <c:crossBetween val="between"/>
      </c:valAx>
      <c:spPr>
        <a:noFill/>
        <a:ln>
          <a:noFill/>
        </a:ln>
        <a:effectLst/>
      </c:spPr>
    </c:plotArea>
    <c:legend>
      <c:legendPos val="b"/>
      <c:overlay val="0"/>
      <c:spPr>
        <a:noFill/>
        <a:ln w="0">
          <a:solidFill>
            <a:schemeClr val="tx1"/>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GH!$H$21</c:f>
              <c:strCache>
                <c:ptCount val="1"/>
                <c:pt idx="0">
                  <c:v>Coal</c:v>
                </c:pt>
              </c:strCache>
            </c:strRef>
          </c:tx>
          <c:spPr>
            <a:solidFill>
              <a:schemeClr val="accent6"/>
            </a:solidFill>
            <a:ln>
              <a:noFill/>
            </a:ln>
            <a:effectLst/>
          </c:spPr>
          <c:invertIfNegative val="0"/>
          <c:cat>
            <c:strRef>
              <c:f>GH!$I$20:$M$20</c:f>
              <c:strCache>
                <c:ptCount val="5"/>
                <c:pt idx="0">
                  <c:v>2013 Grid</c:v>
                </c:pt>
                <c:pt idx="1">
                  <c:v>Ghana EC Thermal - 2020</c:v>
                </c:pt>
                <c:pt idx="2">
                  <c:v>Ghana EC Renewable -2020</c:v>
                </c:pt>
                <c:pt idx="3">
                  <c:v>Ghana EC Nuclear -2020</c:v>
                </c:pt>
                <c:pt idx="4">
                  <c:v>Low Carbon - 2030+</c:v>
                </c:pt>
              </c:strCache>
            </c:strRef>
          </c:cat>
          <c:val>
            <c:numRef>
              <c:f>GH!$I$21:$M$21</c:f>
              <c:numCache>
                <c:formatCode>0.0%</c:formatCode>
                <c:ptCount val="5"/>
                <c:pt idx="0" formatCode="0%">
                  <c:v>0</c:v>
                </c:pt>
                <c:pt idx="1">
                  <c:v>0.16830000000000001</c:v>
                </c:pt>
                <c:pt idx="2">
                  <c:v>0.12415691672401927</c:v>
                </c:pt>
                <c:pt idx="3">
                  <c:v>0</c:v>
                </c:pt>
                <c:pt idx="4">
                  <c:v>0</c:v>
                </c:pt>
              </c:numCache>
            </c:numRef>
          </c:val>
          <c:extLst>
            <c:ext xmlns:c16="http://schemas.microsoft.com/office/drawing/2014/chart" uri="{C3380CC4-5D6E-409C-BE32-E72D297353CC}">
              <c16:uniqueId val="{00000000-DE02-40CD-AD49-3217077F2CC1}"/>
            </c:ext>
          </c:extLst>
        </c:ser>
        <c:ser>
          <c:idx val="3"/>
          <c:order val="1"/>
          <c:tx>
            <c:strRef>
              <c:f>GH!$H$22</c:f>
              <c:strCache>
                <c:ptCount val="1"/>
                <c:pt idx="0">
                  <c:v>Oil</c:v>
                </c:pt>
              </c:strCache>
            </c:strRef>
          </c:tx>
          <c:spPr>
            <a:solidFill>
              <a:schemeClr val="bg1">
                <a:lumMod val="65000"/>
              </a:schemeClr>
            </a:solidFill>
            <a:ln>
              <a:noFill/>
            </a:ln>
            <a:effectLst/>
          </c:spPr>
          <c:invertIfNegative val="0"/>
          <c:cat>
            <c:strRef>
              <c:f>GH!$I$20:$M$20</c:f>
              <c:strCache>
                <c:ptCount val="5"/>
                <c:pt idx="0">
                  <c:v>2013 Grid</c:v>
                </c:pt>
                <c:pt idx="1">
                  <c:v>Ghana EC Thermal - 2020</c:v>
                </c:pt>
                <c:pt idx="2">
                  <c:v>Ghana EC Renewable -2020</c:v>
                </c:pt>
                <c:pt idx="3">
                  <c:v>Ghana EC Nuclear -2020</c:v>
                </c:pt>
                <c:pt idx="4">
                  <c:v>Low Carbon - 2030+</c:v>
                </c:pt>
              </c:strCache>
            </c:strRef>
          </c:cat>
          <c:val>
            <c:numRef>
              <c:f>GH!$I$22:$M$22</c:f>
              <c:numCache>
                <c:formatCode>0.0%</c:formatCode>
                <c:ptCount val="5"/>
                <c:pt idx="0" formatCode="0%">
                  <c:v>0.25607955869784788</c:v>
                </c:pt>
                <c:pt idx="1">
                  <c:v>0</c:v>
                </c:pt>
                <c:pt idx="2">
                  <c:v>0</c:v>
                </c:pt>
                <c:pt idx="3">
                  <c:v>0</c:v>
                </c:pt>
                <c:pt idx="4">
                  <c:v>0</c:v>
                </c:pt>
              </c:numCache>
            </c:numRef>
          </c:val>
          <c:extLst>
            <c:ext xmlns:c16="http://schemas.microsoft.com/office/drawing/2014/chart" uri="{C3380CC4-5D6E-409C-BE32-E72D297353CC}">
              <c16:uniqueId val="{00000003-DE02-40CD-AD49-3217077F2CC1}"/>
            </c:ext>
          </c:extLst>
        </c:ser>
        <c:ser>
          <c:idx val="1"/>
          <c:order val="2"/>
          <c:tx>
            <c:strRef>
              <c:f>GH!$H$23</c:f>
              <c:strCache>
                <c:ptCount val="1"/>
                <c:pt idx="0">
                  <c:v>Gas</c:v>
                </c:pt>
              </c:strCache>
            </c:strRef>
          </c:tx>
          <c:spPr>
            <a:solidFill>
              <a:srgbClr val="F1975A"/>
            </a:solidFill>
            <a:ln>
              <a:noFill/>
            </a:ln>
            <a:effectLst/>
          </c:spPr>
          <c:invertIfNegative val="0"/>
          <c:cat>
            <c:strRef>
              <c:f>GH!$I$20:$M$20</c:f>
              <c:strCache>
                <c:ptCount val="5"/>
                <c:pt idx="0">
                  <c:v>2013 Grid</c:v>
                </c:pt>
                <c:pt idx="1">
                  <c:v>Ghana EC Thermal - 2020</c:v>
                </c:pt>
                <c:pt idx="2">
                  <c:v>Ghana EC Renewable -2020</c:v>
                </c:pt>
                <c:pt idx="3">
                  <c:v>Ghana EC Nuclear -2020</c:v>
                </c:pt>
                <c:pt idx="4">
                  <c:v>Low Carbon - 2030+</c:v>
                </c:pt>
              </c:strCache>
            </c:strRef>
          </c:cat>
          <c:val>
            <c:numRef>
              <c:f>GH!$I$23:$M$23</c:f>
              <c:numCache>
                <c:formatCode>0.0%</c:formatCode>
                <c:ptCount val="5"/>
                <c:pt idx="0" formatCode="0%">
                  <c:v>0.1040323207210007</c:v>
                </c:pt>
                <c:pt idx="1">
                  <c:v>0.33660000000000001</c:v>
                </c:pt>
                <c:pt idx="2">
                  <c:v>0.24831383344803853</c:v>
                </c:pt>
                <c:pt idx="3">
                  <c:v>0.44376470588235289</c:v>
                </c:pt>
                <c:pt idx="4">
                  <c:v>0.12</c:v>
                </c:pt>
              </c:numCache>
            </c:numRef>
          </c:val>
          <c:extLst>
            <c:ext xmlns:c16="http://schemas.microsoft.com/office/drawing/2014/chart" uri="{C3380CC4-5D6E-409C-BE32-E72D297353CC}">
              <c16:uniqueId val="{00000001-DE02-40CD-AD49-3217077F2CC1}"/>
            </c:ext>
          </c:extLst>
        </c:ser>
        <c:ser>
          <c:idx val="4"/>
          <c:order val="3"/>
          <c:tx>
            <c:strRef>
              <c:f>GH!$H$24</c:f>
              <c:strCache>
                <c:ptCount val="1"/>
                <c:pt idx="0">
                  <c:v>Gas, efficient</c:v>
                </c:pt>
              </c:strCache>
            </c:strRef>
          </c:tx>
          <c:spPr>
            <a:pattFill prst="narHorz">
              <a:fgClr>
                <a:srgbClr val="F1975A"/>
              </a:fgClr>
              <a:bgClr>
                <a:schemeClr val="bg1"/>
              </a:bgClr>
            </a:pattFill>
            <a:ln>
              <a:noFill/>
            </a:ln>
            <a:effectLst/>
          </c:spPr>
          <c:invertIfNegative val="0"/>
          <c:cat>
            <c:strRef>
              <c:f>GH!$I$20:$M$20</c:f>
              <c:strCache>
                <c:ptCount val="5"/>
                <c:pt idx="0">
                  <c:v>2013 Grid</c:v>
                </c:pt>
                <c:pt idx="1">
                  <c:v>Ghana EC Thermal - 2020</c:v>
                </c:pt>
                <c:pt idx="2">
                  <c:v>Ghana EC Renewable -2020</c:v>
                </c:pt>
                <c:pt idx="3">
                  <c:v>Ghana EC Nuclear -2020</c:v>
                </c:pt>
                <c:pt idx="4">
                  <c:v>Low Carbon - 2030+</c:v>
                </c:pt>
              </c:strCache>
            </c:strRef>
          </c:cat>
          <c:val>
            <c:numRef>
              <c:f>GH!$I$24:$M$24</c:f>
              <c:numCache>
                <c:formatCode>0%</c:formatCode>
                <c:ptCount val="5"/>
                <c:pt idx="0">
                  <c:v>0</c:v>
                </c:pt>
                <c:pt idx="1">
                  <c:v>0</c:v>
                </c:pt>
                <c:pt idx="2">
                  <c:v>0</c:v>
                </c:pt>
                <c:pt idx="3">
                  <c:v>0</c:v>
                </c:pt>
                <c:pt idx="4" formatCode="0.0%">
                  <c:v>0.12</c:v>
                </c:pt>
              </c:numCache>
            </c:numRef>
          </c:val>
          <c:extLst>
            <c:ext xmlns:c16="http://schemas.microsoft.com/office/drawing/2014/chart" uri="{C3380CC4-5D6E-409C-BE32-E72D297353CC}">
              <c16:uniqueId val="{00000004-DE02-40CD-AD49-3217077F2CC1}"/>
            </c:ext>
          </c:extLst>
        </c:ser>
        <c:ser>
          <c:idx val="8"/>
          <c:order val="4"/>
          <c:tx>
            <c:strRef>
              <c:f>GH!$H$25</c:f>
              <c:strCache>
                <c:ptCount val="1"/>
                <c:pt idx="0">
                  <c:v>Nuclear</c:v>
                </c:pt>
              </c:strCache>
            </c:strRef>
          </c:tx>
          <c:spPr>
            <a:solidFill>
              <a:srgbClr val="00B0F0"/>
            </a:solidFill>
            <a:ln>
              <a:noFill/>
            </a:ln>
            <a:effectLst/>
          </c:spPr>
          <c:invertIfNegative val="0"/>
          <c:cat>
            <c:strRef>
              <c:f>GH!$I$20:$M$20</c:f>
              <c:strCache>
                <c:ptCount val="5"/>
                <c:pt idx="0">
                  <c:v>2013 Grid</c:v>
                </c:pt>
                <c:pt idx="1">
                  <c:v>Ghana EC Thermal - 2020</c:v>
                </c:pt>
                <c:pt idx="2">
                  <c:v>Ghana EC Renewable -2020</c:v>
                </c:pt>
                <c:pt idx="3">
                  <c:v>Ghana EC Nuclear -2020</c:v>
                </c:pt>
                <c:pt idx="4">
                  <c:v>Low Carbon - 2030+</c:v>
                </c:pt>
              </c:strCache>
            </c:strRef>
          </c:cat>
          <c:val>
            <c:numRef>
              <c:f>GH!$I$25:$M$25</c:f>
              <c:numCache>
                <c:formatCode>0.0%</c:formatCode>
                <c:ptCount val="5"/>
                <c:pt idx="0" formatCode="0%">
                  <c:v>0</c:v>
                </c:pt>
                <c:pt idx="1">
                  <c:v>4.7298896051260267E-2</c:v>
                </c:pt>
                <c:pt idx="2">
                  <c:v>2.7529249827942186E-2</c:v>
                </c:pt>
                <c:pt idx="3">
                  <c:v>0.08</c:v>
                </c:pt>
                <c:pt idx="4">
                  <c:v>0.15</c:v>
                </c:pt>
              </c:numCache>
            </c:numRef>
          </c:val>
          <c:extLst>
            <c:ext xmlns:c16="http://schemas.microsoft.com/office/drawing/2014/chart" uri="{C3380CC4-5D6E-409C-BE32-E72D297353CC}">
              <c16:uniqueId val="{00000008-DE02-40CD-AD49-3217077F2CC1}"/>
            </c:ext>
          </c:extLst>
        </c:ser>
        <c:ser>
          <c:idx val="2"/>
          <c:order val="5"/>
          <c:tx>
            <c:strRef>
              <c:f>GH!$H$26</c:f>
              <c:strCache>
                <c:ptCount val="1"/>
                <c:pt idx="0">
                  <c:v>Hydro</c:v>
                </c:pt>
              </c:strCache>
            </c:strRef>
          </c:tx>
          <c:spPr>
            <a:pattFill prst="pct90">
              <a:fgClr>
                <a:srgbClr val="3865B6"/>
              </a:fgClr>
              <a:bgClr>
                <a:schemeClr val="bg1"/>
              </a:bgClr>
            </a:pattFill>
            <a:ln>
              <a:noFill/>
            </a:ln>
            <a:effectLst/>
          </c:spPr>
          <c:invertIfNegative val="0"/>
          <c:cat>
            <c:strRef>
              <c:f>GH!$I$20:$M$20</c:f>
              <c:strCache>
                <c:ptCount val="5"/>
                <c:pt idx="0">
                  <c:v>2013 Grid</c:v>
                </c:pt>
                <c:pt idx="1">
                  <c:v>Ghana EC Thermal - 2020</c:v>
                </c:pt>
                <c:pt idx="2">
                  <c:v>Ghana EC Renewable -2020</c:v>
                </c:pt>
                <c:pt idx="3">
                  <c:v>Ghana EC Nuclear -2020</c:v>
                </c:pt>
                <c:pt idx="4">
                  <c:v>Low Carbon - 2030+</c:v>
                </c:pt>
              </c:strCache>
            </c:strRef>
          </c:cat>
          <c:val>
            <c:numRef>
              <c:f>GH!$I$26:$M$26</c:f>
              <c:numCache>
                <c:formatCode>0.0%</c:formatCode>
                <c:ptCount val="5"/>
                <c:pt idx="0" formatCode="0%">
                  <c:v>0.63965503845855021</c:v>
                </c:pt>
                <c:pt idx="1">
                  <c:v>0.39559076697417678</c:v>
                </c:pt>
                <c:pt idx="2">
                  <c:v>0.49</c:v>
                </c:pt>
                <c:pt idx="3">
                  <c:v>0.42211764705882349</c:v>
                </c:pt>
                <c:pt idx="4">
                  <c:v>0.35</c:v>
                </c:pt>
              </c:numCache>
            </c:numRef>
          </c:val>
          <c:extLst>
            <c:ext xmlns:c16="http://schemas.microsoft.com/office/drawing/2014/chart" uri="{C3380CC4-5D6E-409C-BE32-E72D297353CC}">
              <c16:uniqueId val="{00000002-DE02-40CD-AD49-3217077F2CC1}"/>
            </c:ext>
          </c:extLst>
        </c:ser>
        <c:ser>
          <c:idx val="5"/>
          <c:order val="6"/>
          <c:tx>
            <c:strRef>
              <c:f>GH!$H$27</c:f>
              <c:strCache>
                <c:ptCount val="1"/>
                <c:pt idx="0">
                  <c:v>Solar PV</c:v>
                </c:pt>
              </c:strCache>
            </c:strRef>
          </c:tx>
          <c:spPr>
            <a:pattFill prst="pct70">
              <a:fgClr>
                <a:srgbClr val="FFC000"/>
              </a:fgClr>
              <a:bgClr>
                <a:schemeClr val="bg1"/>
              </a:bgClr>
            </a:pattFill>
            <a:ln>
              <a:noFill/>
            </a:ln>
            <a:effectLst/>
          </c:spPr>
          <c:invertIfNegative val="0"/>
          <c:cat>
            <c:strRef>
              <c:f>GH!$I$20:$M$20</c:f>
              <c:strCache>
                <c:ptCount val="5"/>
                <c:pt idx="0">
                  <c:v>2013 Grid</c:v>
                </c:pt>
                <c:pt idx="1">
                  <c:v>Ghana EC Thermal - 2020</c:v>
                </c:pt>
                <c:pt idx="2">
                  <c:v>Ghana EC Renewable -2020</c:v>
                </c:pt>
                <c:pt idx="3">
                  <c:v>Ghana EC Nuclear -2020</c:v>
                </c:pt>
                <c:pt idx="4">
                  <c:v>Low Carbon - 2030+</c:v>
                </c:pt>
              </c:strCache>
            </c:strRef>
          </c:cat>
          <c:val>
            <c:numRef>
              <c:f>GH!$I$27:$M$27</c:f>
              <c:numCache>
                <c:formatCode>0.0%</c:formatCode>
                <c:ptCount val="5"/>
                <c:pt idx="0" formatCode="0%">
                  <c:v>2.3308212260119649E-4</c:v>
                </c:pt>
                <c:pt idx="1">
                  <c:v>5.1598795692283927E-2</c:v>
                </c:pt>
                <c:pt idx="2">
                  <c:v>8.2500000000000004E-2</c:v>
                </c:pt>
                <c:pt idx="3">
                  <c:v>2.7058823529411764E-2</c:v>
                </c:pt>
                <c:pt idx="4">
                  <c:v>0.2</c:v>
                </c:pt>
              </c:numCache>
            </c:numRef>
          </c:val>
          <c:extLst>
            <c:ext xmlns:c16="http://schemas.microsoft.com/office/drawing/2014/chart" uri="{C3380CC4-5D6E-409C-BE32-E72D297353CC}">
              <c16:uniqueId val="{00000005-DE02-40CD-AD49-3217077F2CC1}"/>
            </c:ext>
          </c:extLst>
        </c:ser>
        <c:ser>
          <c:idx val="6"/>
          <c:order val="7"/>
          <c:tx>
            <c:strRef>
              <c:f>GH!$H$28</c:f>
              <c:strCache>
                <c:ptCount val="1"/>
                <c:pt idx="0">
                  <c:v>Wind</c:v>
                </c:pt>
              </c:strCache>
            </c:strRef>
          </c:tx>
          <c:spPr>
            <a:solidFill>
              <a:srgbClr val="FFC000"/>
            </a:solidFill>
            <a:ln>
              <a:noFill/>
            </a:ln>
            <a:effectLst/>
          </c:spPr>
          <c:invertIfNegative val="0"/>
          <c:cat>
            <c:strRef>
              <c:f>GH!$I$20:$M$20</c:f>
              <c:strCache>
                <c:ptCount val="5"/>
                <c:pt idx="0">
                  <c:v>2013 Grid</c:v>
                </c:pt>
                <c:pt idx="1">
                  <c:v>Ghana EC Thermal - 2020</c:v>
                </c:pt>
                <c:pt idx="2">
                  <c:v>Ghana EC Renewable -2020</c:v>
                </c:pt>
                <c:pt idx="3">
                  <c:v>Ghana EC Nuclear -2020</c:v>
                </c:pt>
                <c:pt idx="4">
                  <c:v>Low Carbon - 2030+</c:v>
                </c:pt>
              </c:strCache>
            </c:strRef>
          </c:cat>
          <c:val>
            <c:numRef>
              <c:f>GH!$I$28:$M$28</c:f>
              <c:numCache>
                <c:formatCode>0.0%</c:formatCode>
                <c:ptCount val="5"/>
                <c:pt idx="0" formatCode="0%">
                  <c:v>0</c:v>
                </c:pt>
                <c:pt idx="1">
                  <c:v>6.1154128227892068E-4</c:v>
                </c:pt>
                <c:pt idx="2">
                  <c:v>2.75E-2</c:v>
                </c:pt>
                <c:pt idx="3">
                  <c:v>2.7058823529411764E-2</c:v>
                </c:pt>
                <c:pt idx="4">
                  <c:v>0.06</c:v>
                </c:pt>
              </c:numCache>
            </c:numRef>
          </c:val>
          <c:extLst>
            <c:ext xmlns:c16="http://schemas.microsoft.com/office/drawing/2014/chart" uri="{C3380CC4-5D6E-409C-BE32-E72D297353CC}">
              <c16:uniqueId val="{00000006-DE02-40CD-AD49-3217077F2CC1}"/>
            </c:ext>
          </c:extLst>
        </c:ser>
        <c:dLbls>
          <c:showLegendKey val="0"/>
          <c:showVal val="0"/>
          <c:showCatName val="0"/>
          <c:showSerName val="0"/>
          <c:showPercent val="0"/>
          <c:showBubbleSize val="0"/>
        </c:dLbls>
        <c:gapWidth val="150"/>
        <c:overlap val="100"/>
        <c:axId val="301954208"/>
        <c:axId val="301948384"/>
      </c:barChart>
      <c:catAx>
        <c:axId val="301954208"/>
        <c:scaling>
          <c:orientation val="minMax"/>
        </c:scaling>
        <c:delete val="0"/>
        <c:axPos val="b"/>
        <c:numFmt formatCode="General" sourceLinked="1"/>
        <c:majorTickMark val="none"/>
        <c:minorTickMark val="none"/>
        <c:tickLblPos val="nextTo"/>
        <c:spPr>
          <a:noFill/>
          <a:ln w="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01948384"/>
        <c:crosses val="autoZero"/>
        <c:auto val="1"/>
        <c:lblAlgn val="ctr"/>
        <c:lblOffset val="100"/>
        <c:noMultiLvlLbl val="0"/>
      </c:catAx>
      <c:valAx>
        <c:axId val="301948384"/>
        <c:scaling>
          <c:orientation val="minMax"/>
          <c:max val="1"/>
        </c:scaling>
        <c:delete val="0"/>
        <c:axPos val="l"/>
        <c:majorGridlines>
          <c:spPr>
            <a:ln w="0" cap="flat" cmpd="sng" algn="ctr">
              <a:solidFill>
                <a:schemeClr val="tx1"/>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Percent Contribution</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01954208"/>
        <c:crosses val="autoZero"/>
        <c:crossBetween val="between"/>
      </c:valAx>
      <c:spPr>
        <a:noFill/>
        <a:ln>
          <a:noFill/>
        </a:ln>
        <a:effectLst/>
      </c:spPr>
    </c:plotArea>
    <c:legend>
      <c:legendPos val="b"/>
      <c:overlay val="0"/>
      <c:spPr>
        <a:noFill/>
        <a:ln w="0">
          <a:solidFill>
            <a:schemeClr val="tx1"/>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123824</xdr:rowOff>
    </xdr:from>
    <xdr:to>
      <xdr:col>2</xdr:col>
      <xdr:colOff>876301</xdr:colOff>
      <xdr:row>3</xdr:row>
      <xdr:rowOff>185779</xdr:rowOff>
    </xdr:to>
    <xdr:pic>
      <xdr:nvPicPr>
        <xdr:cNvPr id="3" name="Picture 2" descr="http://172.16.10.25/forms/logos/smclr.gif">
          <a:extLst>
            <a:ext uri="{FF2B5EF4-FFF2-40B4-BE49-F238E27FC236}">
              <a16:creationId xmlns:a16="http://schemas.microsoft.com/office/drawing/2014/main" id="{D6A88076-D908-4371-AAE6-1A09C4EBF0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123824"/>
          <a:ext cx="1876426" cy="633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61</xdr:row>
      <xdr:rowOff>117475</xdr:rowOff>
    </xdr:from>
    <xdr:to>
      <xdr:col>13</xdr:col>
      <xdr:colOff>885825</xdr:colOff>
      <xdr:row>93</xdr:row>
      <xdr:rowOff>117475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578301</xdr:colOff>
      <xdr:row>47</xdr:row>
      <xdr:rowOff>107043</xdr:rowOff>
    </xdr:from>
    <xdr:to>
      <xdr:col>15</xdr:col>
      <xdr:colOff>111576</xdr:colOff>
      <xdr:row>77</xdr:row>
      <xdr:rowOff>173718</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23133</xdr:colOff>
      <xdr:row>31</xdr:row>
      <xdr:rowOff>57150</xdr:rowOff>
    </xdr:from>
    <xdr:to>
      <xdr:col>7</xdr:col>
      <xdr:colOff>952190</xdr:colOff>
      <xdr:row>49</xdr:row>
      <xdr:rowOff>81643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5765347" y="6384471"/>
          <a:ext cx="6438350" cy="3698422"/>
        </a:xfrm>
        <a:prstGeom prst="rect">
          <a:avLst/>
        </a:prstGeom>
        <a:ln w="19050">
          <a:solidFill>
            <a:schemeClr val="tx1"/>
          </a:solidFill>
        </a:ln>
      </xdr:spPr>
    </xdr:pic>
    <xdr:clientData/>
  </xdr:twoCellAnchor>
  <xdr:twoCellAnchor>
    <xdr:from>
      <xdr:col>10</xdr:col>
      <xdr:colOff>478970</xdr:colOff>
      <xdr:row>33</xdr:row>
      <xdr:rowOff>177798</xdr:rowOff>
    </xdr:from>
    <xdr:to>
      <xdr:col>13</xdr:col>
      <xdr:colOff>905214</xdr:colOff>
      <xdr:row>54</xdr:row>
      <xdr:rowOff>42067</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619124</xdr:colOff>
      <xdr:row>34</xdr:row>
      <xdr:rowOff>196056</xdr:rowOff>
    </xdr:from>
    <xdr:to>
      <xdr:col>10</xdr:col>
      <xdr:colOff>1771649</xdr:colOff>
      <xdr:row>55</xdr:row>
      <xdr:rowOff>110331</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65087</xdr:colOff>
      <xdr:row>4</xdr:row>
      <xdr:rowOff>61911</xdr:rowOff>
    </xdr:from>
    <xdr:to>
      <xdr:col>23</xdr:col>
      <xdr:colOff>76199</xdr:colOff>
      <xdr:row>21</xdr:row>
      <xdr:rowOff>104986</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4268112" y="461961"/>
          <a:ext cx="6107113" cy="3862389"/>
        </a:xfrm>
        <a:prstGeom prst="rect">
          <a:avLst/>
        </a:prstGeom>
        <a:ln w="1905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tabSelected="1" workbookViewId="0">
      <selection activeCell="C21" sqref="C21"/>
    </sheetView>
  </sheetViews>
  <sheetFormatPr defaultColWidth="0" defaultRowHeight="15" zeroHeight="1" x14ac:dyDescent="0.25"/>
  <cols>
    <col min="1" max="1" width="9.140625" customWidth="1"/>
    <col min="2" max="2" width="14.28515625" customWidth="1"/>
    <col min="3" max="3" width="121.28515625" customWidth="1"/>
    <col min="4" max="4" width="9.140625" customWidth="1"/>
    <col min="5" max="16384" width="9.140625" hidden="1"/>
  </cols>
  <sheetData>
    <row r="1" spans="2:3" x14ac:dyDescent="0.25">
      <c r="B1" s="249"/>
      <c r="C1" s="249"/>
    </row>
    <row r="2" spans="2:3" x14ac:dyDescent="0.25">
      <c r="B2" s="249"/>
      <c r="C2" s="249"/>
    </row>
    <row r="3" spans="2:3" x14ac:dyDescent="0.25">
      <c r="B3" s="249"/>
      <c r="C3" s="249"/>
    </row>
    <row r="4" spans="2:3" x14ac:dyDescent="0.25">
      <c r="B4" s="249"/>
      <c r="C4" s="249"/>
    </row>
    <row r="5" spans="2:3" x14ac:dyDescent="0.25">
      <c r="B5" s="249"/>
      <c r="C5" s="249"/>
    </row>
    <row r="6" spans="2:3" ht="15.75" x14ac:dyDescent="0.25">
      <c r="B6" s="250" t="s">
        <v>471</v>
      </c>
      <c r="C6" s="249"/>
    </row>
    <row r="7" spans="2:3" x14ac:dyDescent="0.25">
      <c r="B7" s="255" t="s">
        <v>466</v>
      </c>
      <c r="C7" s="249"/>
    </row>
    <row r="8" spans="2:3" ht="15.75" x14ac:dyDescent="0.25">
      <c r="B8" s="251" t="s">
        <v>499</v>
      </c>
      <c r="C8" s="249"/>
    </row>
    <row r="9" spans="2:3" ht="15.75" x14ac:dyDescent="0.25">
      <c r="B9" s="251"/>
      <c r="C9" s="249"/>
    </row>
    <row r="10" spans="2:3" x14ac:dyDescent="0.25">
      <c r="B10" s="249"/>
      <c r="C10" s="249"/>
    </row>
    <row r="11" spans="2:3" ht="15.75" x14ac:dyDescent="0.25">
      <c r="B11" s="256" t="s">
        <v>467</v>
      </c>
      <c r="C11" s="256"/>
    </row>
    <row r="12" spans="2:3" ht="15.75" x14ac:dyDescent="0.25">
      <c r="B12" s="252" t="s">
        <v>468</v>
      </c>
      <c r="C12" s="252" t="s">
        <v>146</v>
      </c>
    </row>
    <row r="13" spans="2:3" ht="15.75" x14ac:dyDescent="0.25">
      <c r="B13" s="253" t="s">
        <v>472</v>
      </c>
      <c r="C13" s="254" t="s">
        <v>479</v>
      </c>
    </row>
    <row r="14" spans="2:3" ht="15.75" x14ac:dyDescent="0.25">
      <c r="B14" s="253" t="s">
        <v>473</v>
      </c>
      <c r="C14" s="254" t="s">
        <v>480</v>
      </c>
    </row>
    <row r="15" spans="2:3" ht="15.75" x14ac:dyDescent="0.25">
      <c r="B15" s="253" t="s">
        <v>474</v>
      </c>
      <c r="C15" s="254" t="s">
        <v>481</v>
      </c>
    </row>
    <row r="16" spans="2:3" ht="15.75" x14ac:dyDescent="0.25">
      <c r="B16" s="253" t="s">
        <v>475</v>
      </c>
      <c r="C16" s="254" t="s">
        <v>482</v>
      </c>
    </row>
    <row r="17" spans="2:3" ht="15.75" x14ac:dyDescent="0.25">
      <c r="B17" s="253" t="s">
        <v>476</v>
      </c>
      <c r="C17" s="254" t="s">
        <v>483</v>
      </c>
    </row>
    <row r="18" spans="2:3" ht="15.75" x14ac:dyDescent="0.25">
      <c r="B18" s="253" t="s">
        <v>477</v>
      </c>
      <c r="C18" s="254" t="s">
        <v>484</v>
      </c>
    </row>
    <row r="19" spans="2:3" ht="15.75" x14ac:dyDescent="0.25">
      <c r="B19" s="253" t="s">
        <v>478</v>
      </c>
      <c r="C19" s="254" t="s">
        <v>485</v>
      </c>
    </row>
    <row r="20" spans="2:3" ht="15.75" x14ac:dyDescent="0.25">
      <c r="B20" s="253" t="s">
        <v>469</v>
      </c>
      <c r="C20" s="254" t="s">
        <v>470</v>
      </c>
    </row>
    <row r="21" spans="2:3" x14ac:dyDescent="0.25">
      <c r="B21" s="249"/>
      <c r="C21" s="249"/>
    </row>
    <row r="22" spans="2:3" hidden="1" x14ac:dyDescent="0.25">
      <c r="B22" s="249"/>
      <c r="C22" s="249"/>
    </row>
    <row r="23" spans="2:3" hidden="1" x14ac:dyDescent="0.25">
      <c r="B23" s="249"/>
      <c r="C23" s="249"/>
    </row>
    <row r="24" spans="2:3" hidden="1" x14ac:dyDescent="0.25">
      <c r="B24" s="249"/>
      <c r="C24" s="249"/>
    </row>
    <row r="25" spans="2:3" hidden="1" x14ac:dyDescent="0.25">
      <c r="B25" s="249"/>
      <c r="C25" s="249"/>
    </row>
    <row r="26" spans="2:3" hidden="1" x14ac:dyDescent="0.25">
      <c r="B26" s="249"/>
      <c r="C26" s="249"/>
    </row>
    <row r="27" spans="2:3" hidden="1" x14ac:dyDescent="0.25">
      <c r="B27" s="249"/>
      <c r="C27" s="249"/>
    </row>
    <row r="28" spans="2:3" hidden="1" x14ac:dyDescent="0.25">
      <c r="B28" s="249"/>
      <c r="C28" s="249"/>
    </row>
    <row r="29" spans="2:3" hidden="1" x14ac:dyDescent="0.25">
      <c r="B29" s="249"/>
      <c r="C29" s="249"/>
    </row>
    <row r="30" spans="2:3" hidden="1" x14ac:dyDescent="0.25">
      <c r="B30" s="249"/>
      <c r="C30" s="249"/>
    </row>
    <row r="31" spans="2:3" hidden="1" x14ac:dyDescent="0.25"/>
    <row r="32" spans="2:3" x14ac:dyDescent="0.25"/>
    <row r="33" x14ac:dyDescent="0.25"/>
  </sheetData>
  <mergeCells count="1">
    <mergeCell ref="B11:C11"/>
  </mergeCells>
  <hyperlinks>
    <hyperlink ref="B13" location="CurrentGrids!A1" display="CurrentGrids"/>
    <hyperlink ref="B14" location="IN!A1" display="IN"/>
    <hyperlink ref="B15" location="CN!A1" display="CN"/>
    <hyperlink ref="B16" location="KE!A1" display="KE"/>
    <hyperlink ref="B17" location="GH!A1" display="GH"/>
    <hyperlink ref="B18" location="E_Tech!A1" display="E_Tech"/>
    <hyperlink ref="B19" location="'Water Use'!A1" display="Water Use"/>
    <hyperlink ref="B20" location="References!A1" display="Reference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T22"/>
  <sheetViews>
    <sheetView zoomScale="87" zoomScaleNormal="87" workbookViewId="0">
      <selection activeCell="C29" sqref="C29"/>
    </sheetView>
  </sheetViews>
  <sheetFormatPr defaultRowHeight="15.75" x14ac:dyDescent="0.25"/>
  <cols>
    <col min="1" max="1" width="1.7109375" style="18" customWidth="1"/>
    <col min="2" max="2" width="24.140625" style="18" bestFit="1" customWidth="1"/>
    <col min="3" max="3" width="196.7109375" style="18" bestFit="1" customWidth="1"/>
    <col min="4" max="16384" width="9.140625" style="18"/>
  </cols>
  <sheetData>
    <row r="1" spans="2:20" ht="6.75" customHeight="1" x14ac:dyDescent="0.25"/>
    <row r="2" spans="2:20" s="36" customFormat="1" ht="16.5" thickBot="1" x14ac:dyDescent="0.3">
      <c r="B2" s="72" t="s">
        <v>14</v>
      </c>
      <c r="C2" s="72" t="s">
        <v>15</v>
      </c>
      <c r="D2" s="153"/>
      <c r="E2" s="153"/>
      <c r="F2" s="153"/>
      <c r="G2" s="153"/>
      <c r="H2" s="153"/>
      <c r="I2" s="153"/>
      <c r="J2" s="153"/>
      <c r="K2" s="153"/>
      <c r="L2" s="153"/>
      <c r="M2" s="153"/>
      <c r="N2" s="153"/>
      <c r="O2" s="153"/>
      <c r="P2" s="153"/>
      <c r="Q2" s="153"/>
      <c r="R2" s="153"/>
      <c r="S2" s="153"/>
      <c r="T2" s="153"/>
    </row>
    <row r="3" spans="2:20" x14ac:dyDescent="0.25">
      <c r="B3" s="32" t="s">
        <v>261</v>
      </c>
      <c r="C3" s="32" t="s">
        <v>217</v>
      </c>
    </row>
    <row r="4" spans="2:20" x14ac:dyDescent="0.25">
      <c r="B4" s="32" t="s">
        <v>147</v>
      </c>
      <c r="C4" s="32" t="s">
        <v>148</v>
      </c>
    </row>
    <row r="5" spans="2:20" x14ac:dyDescent="0.25">
      <c r="B5" s="32" t="s">
        <v>98</v>
      </c>
      <c r="C5" s="32" t="s">
        <v>99</v>
      </c>
    </row>
    <row r="6" spans="2:20" x14ac:dyDescent="0.25">
      <c r="B6" s="32" t="s">
        <v>83</v>
      </c>
      <c r="C6" s="32" t="s">
        <v>84</v>
      </c>
    </row>
    <row r="7" spans="2:20" x14ac:dyDescent="0.25">
      <c r="B7" s="32" t="s">
        <v>165</v>
      </c>
      <c r="C7" s="32" t="s">
        <v>159</v>
      </c>
    </row>
    <row r="8" spans="2:20" x14ac:dyDescent="0.25">
      <c r="B8" s="32" t="s">
        <v>24</v>
      </c>
      <c r="C8" s="32" t="s">
        <v>25</v>
      </c>
    </row>
    <row r="9" spans="2:20" x14ac:dyDescent="0.25">
      <c r="B9" s="32" t="s">
        <v>43</v>
      </c>
      <c r="C9" s="32" t="s">
        <v>45</v>
      </c>
    </row>
    <row r="10" spans="2:20" x14ac:dyDescent="0.25">
      <c r="B10" s="31" t="s">
        <v>17</v>
      </c>
      <c r="C10" s="31" t="s">
        <v>259</v>
      </c>
    </row>
    <row r="11" spans="2:20" x14ac:dyDescent="0.25">
      <c r="B11" s="32" t="s">
        <v>18</v>
      </c>
      <c r="C11" s="32" t="s">
        <v>16</v>
      </c>
    </row>
    <row r="12" spans="2:20" x14ac:dyDescent="0.25">
      <c r="B12" s="32" t="s">
        <v>442</v>
      </c>
      <c r="C12" s="32" t="s">
        <v>441</v>
      </c>
    </row>
    <row r="13" spans="2:20" x14ac:dyDescent="0.25">
      <c r="B13" s="32" t="s">
        <v>215</v>
      </c>
      <c r="C13" s="32" t="s">
        <v>216</v>
      </c>
    </row>
    <row r="14" spans="2:20" x14ac:dyDescent="0.25">
      <c r="B14" s="32" t="s">
        <v>381</v>
      </c>
      <c r="C14" s="32" t="s">
        <v>382</v>
      </c>
    </row>
    <row r="15" spans="2:20" x14ac:dyDescent="0.25">
      <c r="B15" s="32" t="s">
        <v>113</v>
      </c>
      <c r="C15" s="32" t="s">
        <v>114</v>
      </c>
    </row>
    <row r="16" spans="2:20" x14ac:dyDescent="0.25">
      <c r="B16" s="32" t="s">
        <v>160</v>
      </c>
      <c r="C16" s="32" t="s">
        <v>161</v>
      </c>
    </row>
    <row r="17" spans="2:3" x14ac:dyDescent="0.25">
      <c r="B17" s="32" t="s">
        <v>120</v>
      </c>
      <c r="C17" s="32" t="s">
        <v>260</v>
      </c>
    </row>
    <row r="18" spans="2:3" x14ac:dyDescent="0.25">
      <c r="B18" s="32" t="s">
        <v>152</v>
      </c>
      <c r="C18" s="32" t="s">
        <v>153</v>
      </c>
    </row>
    <row r="19" spans="2:3" x14ac:dyDescent="0.25">
      <c r="B19" s="32" t="s">
        <v>58</v>
      </c>
      <c r="C19" s="32" t="s">
        <v>82</v>
      </c>
    </row>
    <row r="20" spans="2:3" x14ac:dyDescent="0.25">
      <c r="B20" s="32" t="s">
        <v>431</v>
      </c>
      <c r="C20" s="32" t="s">
        <v>432</v>
      </c>
    </row>
    <row r="21" spans="2:3" x14ac:dyDescent="0.25">
      <c r="B21" s="32" t="s">
        <v>191</v>
      </c>
      <c r="C21" s="32" t="s">
        <v>190</v>
      </c>
    </row>
    <row r="22" spans="2:3" x14ac:dyDescent="0.25">
      <c r="B22" s="32" t="s">
        <v>218</v>
      </c>
      <c r="C22" s="32" t="s">
        <v>44</v>
      </c>
    </row>
  </sheetData>
  <sortState ref="B3:C22">
    <sortCondition ref="B3:B22"/>
  </sortState>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8"/>
  <sheetViews>
    <sheetView workbookViewId="0">
      <selection activeCell="C8" sqref="C8"/>
    </sheetView>
  </sheetViews>
  <sheetFormatPr defaultColWidth="0" defaultRowHeight="15" zeroHeight="1" x14ac:dyDescent="0.25"/>
  <cols>
    <col min="1" max="1" width="9.140625" style="9" customWidth="1"/>
    <col min="2" max="2" width="16.140625" style="9" bestFit="1" customWidth="1"/>
    <col min="3" max="3" width="12" style="9" bestFit="1" customWidth="1"/>
    <col min="4" max="4" width="15.85546875" style="9" bestFit="1" customWidth="1"/>
    <col min="5" max="5" width="17.7109375" style="9" bestFit="1" customWidth="1"/>
    <col min="6" max="7" width="9.140625" style="9" customWidth="1"/>
    <col min="8" max="16384" width="9.140625" style="9" hidden="1"/>
  </cols>
  <sheetData>
    <row r="1" spans="1:5" x14ac:dyDescent="0.25">
      <c r="A1" s="228" t="s">
        <v>413</v>
      </c>
    </row>
    <row r="2" spans="1:5" x14ac:dyDescent="0.25"/>
    <row r="3" spans="1:5" x14ac:dyDescent="0.25">
      <c r="B3" s="46" t="s">
        <v>383</v>
      </c>
      <c r="C3" s="46" t="s">
        <v>138</v>
      </c>
      <c r="D3" s="46" t="s">
        <v>345</v>
      </c>
      <c r="E3" s="46" t="s">
        <v>136</v>
      </c>
    </row>
    <row r="4" spans="1:5" x14ac:dyDescent="0.25">
      <c r="B4" s="58" t="s">
        <v>384</v>
      </c>
      <c r="C4" s="58">
        <v>264.17200000000003</v>
      </c>
      <c r="D4" s="58"/>
      <c r="E4" s="58"/>
    </row>
    <row r="5" spans="1:5" x14ac:dyDescent="0.25">
      <c r="B5" s="58" t="s">
        <v>385</v>
      </c>
      <c r="C5" s="58">
        <v>2.2046199999999998</v>
      </c>
      <c r="D5" s="58"/>
      <c r="E5" s="58"/>
    </row>
    <row r="6" spans="1:5" x14ac:dyDescent="0.25">
      <c r="B6" s="58" t="s">
        <v>386</v>
      </c>
      <c r="C6" s="58">
        <v>1609.34</v>
      </c>
      <c r="D6" s="58"/>
      <c r="E6" s="58"/>
    </row>
    <row r="7" spans="1:5" x14ac:dyDescent="0.25">
      <c r="B7" s="58" t="s">
        <v>387</v>
      </c>
      <c r="C7" s="58">
        <v>35.314700000000002</v>
      </c>
      <c r="D7" s="58"/>
      <c r="E7" s="58"/>
    </row>
    <row r="8" spans="1:5" x14ac:dyDescent="0.25">
      <c r="B8" s="58" t="s">
        <v>388</v>
      </c>
      <c r="C8" s="58">
        <v>1000</v>
      </c>
      <c r="D8" s="58" t="s">
        <v>389</v>
      </c>
      <c r="E8" s="58"/>
    </row>
    <row r="9" spans="1:5" x14ac:dyDescent="0.25">
      <c r="B9" s="58" t="s">
        <v>390</v>
      </c>
      <c r="C9" s="58">
        <v>10.7639</v>
      </c>
      <c r="D9" s="58"/>
      <c r="E9" s="58"/>
    </row>
    <row r="10" spans="1:5" x14ac:dyDescent="0.25">
      <c r="B10" s="58" t="s">
        <v>391</v>
      </c>
      <c r="C10" s="58">
        <v>3.6</v>
      </c>
      <c r="D10" s="58"/>
      <c r="E10" s="58"/>
    </row>
    <row r="11" spans="1:5" x14ac:dyDescent="0.25">
      <c r="B11" s="58" t="s">
        <v>392</v>
      </c>
      <c r="C11" s="58">
        <f>1027</f>
        <v>1027</v>
      </c>
      <c r="D11" s="229"/>
      <c r="E11" s="58"/>
    </row>
    <row r="12" spans="1:5" x14ac:dyDescent="0.25">
      <c r="B12" s="58" t="s">
        <v>393</v>
      </c>
      <c r="C12" s="58">
        <f>3412/3.6</f>
        <v>947.77777777777771</v>
      </c>
      <c r="D12" s="58"/>
      <c r="E12" s="58"/>
    </row>
    <row r="13" spans="1:5" x14ac:dyDescent="0.25">
      <c r="B13" s="58" t="s">
        <v>4</v>
      </c>
      <c r="C13" s="58">
        <v>38.200000000000003</v>
      </c>
      <c r="D13" s="58" t="s">
        <v>394</v>
      </c>
      <c r="E13" s="58"/>
    </row>
    <row r="14" spans="1:5" x14ac:dyDescent="0.25">
      <c r="B14" s="58" t="s">
        <v>395</v>
      </c>
      <c r="C14" s="58">
        <f>6/C5</f>
        <v>2.7215574566138385</v>
      </c>
      <c r="D14" s="58" t="s">
        <v>396</v>
      </c>
      <c r="E14" s="58"/>
    </row>
    <row r="15" spans="1:5" x14ac:dyDescent="0.25">
      <c r="B15" s="58" t="s">
        <v>397</v>
      </c>
      <c r="C15" s="58">
        <v>1.1599999999999999</v>
      </c>
      <c r="D15" s="58"/>
      <c r="E15" s="58" t="s">
        <v>398</v>
      </c>
    </row>
    <row r="16" spans="1:5" x14ac:dyDescent="0.25">
      <c r="B16" s="58" t="s">
        <v>399</v>
      </c>
      <c r="C16" s="58">
        <v>3.28084</v>
      </c>
      <c r="D16" s="58"/>
      <c r="E16" s="58"/>
    </row>
    <row r="17" spans="2:5" x14ac:dyDescent="0.25">
      <c r="B17" s="230" t="s">
        <v>400</v>
      </c>
      <c r="C17" s="58">
        <v>1.214</v>
      </c>
      <c r="D17" s="58" t="s">
        <v>401</v>
      </c>
      <c r="E17" s="58"/>
    </row>
    <row r="18" spans="2:5" x14ac:dyDescent="0.25">
      <c r="B18" s="58" t="s">
        <v>402</v>
      </c>
      <c r="C18" s="58">
        <v>43560</v>
      </c>
      <c r="D18" s="58"/>
      <c r="E18" s="58"/>
    </row>
    <row r="19" spans="2:5" x14ac:dyDescent="0.25">
      <c r="B19" s="58" t="s">
        <v>403</v>
      </c>
      <c r="C19" s="58">
        <v>7.4805200000000003</v>
      </c>
      <c r="D19" s="58"/>
      <c r="E19" s="58"/>
    </row>
    <row r="20" spans="2:5" x14ac:dyDescent="0.25">
      <c r="B20" s="58" t="s">
        <v>404</v>
      </c>
      <c r="C20" s="58">
        <v>10.7639</v>
      </c>
      <c r="D20" s="58"/>
      <c r="E20" s="58"/>
    </row>
    <row r="21" spans="2:5" x14ac:dyDescent="0.25">
      <c r="B21" s="58" t="s">
        <v>405</v>
      </c>
      <c r="C21" s="58">
        <v>3.7854100000000002</v>
      </c>
      <c r="D21" s="58"/>
      <c r="E21" s="58"/>
    </row>
    <row r="22" spans="2:5" x14ac:dyDescent="0.25">
      <c r="B22" s="58" t="s">
        <v>406</v>
      </c>
      <c r="C22" s="231">
        <f>1000/C5</f>
        <v>453.59290943563974</v>
      </c>
      <c r="D22" s="58" t="s">
        <v>401</v>
      </c>
      <c r="E22" s="58"/>
    </row>
    <row r="23" spans="2:5" x14ac:dyDescent="0.25">
      <c r="B23" s="58" t="s">
        <v>407</v>
      </c>
      <c r="C23" s="58">
        <v>0.76455499999999998</v>
      </c>
      <c r="D23" s="58"/>
      <c r="E23" s="58"/>
    </row>
    <row r="24" spans="2:5" x14ac:dyDescent="0.25">
      <c r="B24" s="58" t="s">
        <v>408</v>
      </c>
      <c r="C24" s="58">
        <v>1000</v>
      </c>
      <c r="D24" s="58"/>
      <c r="E24" s="58"/>
    </row>
    <row r="25" spans="2:5" x14ac:dyDescent="0.25">
      <c r="B25" s="58" t="s">
        <v>409</v>
      </c>
      <c r="C25" s="58">
        <v>8.3379999999999992</v>
      </c>
      <c r="D25" s="58" t="s">
        <v>410</v>
      </c>
      <c r="E25" s="58"/>
    </row>
    <row r="26" spans="2:5" x14ac:dyDescent="0.25">
      <c r="B26" s="58" t="s">
        <v>411</v>
      </c>
      <c r="C26" s="58">
        <v>1000</v>
      </c>
      <c r="D26" s="58" t="s">
        <v>412</v>
      </c>
      <c r="E26" s="58"/>
    </row>
    <row r="27" spans="2:5" x14ac:dyDescent="0.25"/>
    <row r="28" spans="2:5" x14ac:dyDescent="0.25"/>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9"/>
  <sheetViews>
    <sheetView workbookViewId="0"/>
  </sheetViews>
  <sheetFormatPr defaultColWidth="0" defaultRowHeight="15" zeroHeight="1" x14ac:dyDescent="0.25"/>
  <cols>
    <col min="1" max="1" width="9.140625" style="9" customWidth="1"/>
    <col min="2" max="2" width="27.140625" style="9" bestFit="1" customWidth="1"/>
    <col min="3" max="3" width="13.42578125" style="9" bestFit="1" customWidth="1"/>
    <col min="4" max="4" width="12.5703125" style="9" bestFit="1" customWidth="1"/>
    <col min="5" max="5" width="10.140625" style="9" bestFit="1" customWidth="1"/>
    <col min="6" max="6" width="8.5703125" style="9" bestFit="1" customWidth="1"/>
    <col min="7" max="10" width="9.28515625" style="9" bestFit="1" customWidth="1"/>
    <col min="11" max="13" width="9.140625" style="9" customWidth="1"/>
    <col min="14" max="16384" width="9.140625" style="9" hidden="1"/>
  </cols>
  <sheetData>
    <row r="1" spans="1:10" x14ac:dyDescent="0.25">
      <c r="A1" s="227" t="s">
        <v>243</v>
      </c>
    </row>
    <row r="2" spans="1:10" x14ac:dyDescent="0.25">
      <c r="A2" s="10" t="s">
        <v>263</v>
      </c>
      <c r="B2" s="10"/>
    </row>
    <row r="3" spans="1:10" x14ac:dyDescent="0.25"/>
    <row r="4" spans="1:10" x14ac:dyDescent="0.25">
      <c r="C4" s="257" t="s">
        <v>12</v>
      </c>
      <c r="D4" s="257"/>
      <c r="E4" s="257" t="s">
        <v>0</v>
      </c>
      <c r="F4" s="257"/>
      <c r="G4" s="257" t="s">
        <v>211</v>
      </c>
      <c r="H4" s="257"/>
      <c r="I4" s="257" t="s">
        <v>212</v>
      </c>
      <c r="J4" s="257"/>
    </row>
    <row r="5" spans="1:10" x14ac:dyDescent="0.25">
      <c r="B5" s="46" t="s">
        <v>199</v>
      </c>
      <c r="C5" s="53" t="s">
        <v>145</v>
      </c>
      <c r="D5" s="53" t="s">
        <v>124</v>
      </c>
      <c r="E5" s="53" t="s">
        <v>145</v>
      </c>
      <c r="F5" s="53" t="s">
        <v>124</v>
      </c>
      <c r="G5" s="53" t="s">
        <v>145</v>
      </c>
      <c r="H5" s="53" t="s">
        <v>124</v>
      </c>
      <c r="I5" s="53" t="s">
        <v>145</v>
      </c>
      <c r="J5" s="53" t="s">
        <v>124</v>
      </c>
    </row>
    <row r="6" spans="1:10" x14ac:dyDescent="0.25">
      <c r="B6" s="48" t="s">
        <v>27</v>
      </c>
      <c r="C6" s="149">
        <v>4110826</v>
      </c>
      <c r="D6" s="52">
        <f>C6/C$19</f>
        <v>0.75466342440774037</v>
      </c>
      <c r="E6" s="159">
        <v>869181</v>
      </c>
      <c r="F6" s="52">
        <f t="shared" ref="F6:F18" si="0">E6/E$19</f>
        <v>0.72833548408721449</v>
      </c>
      <c r="G6" s="160">
        <v>0</v>
      </c>
      <c r="H6" s="52">
        <f t="shared" ref="H6:H18" si="1">G6/G$19</f>
        <v>0</v>
      </c>
      <c r="I6" s="160">
        <v>0</v>
      </c>
      <c r="J6" s="52">
        <f t="shared" ref="J6:J18" si="2">I6/I$19</f>
        <v>0</v>
      </c>
    </row>
    <row r="7" spans="1:10" x14ac:dyDescent="0.25">
      <c r="B7" s="48" t="s">
        <v>7</v>
      </c>
      <c r="C7" s="149">
        <v>6504</v>
      </c>
      <c r="D7" s="52">
        <f t="shared" ref="D7:D18" si="3">C7/C$19</f>
        <v>1.1940011356228514E-3</v>
      </c>
      <c r="E7" s="159">
        <v>23169</v>
      </c>
      <c r="F7" s="52">
        <f t="shared" si="0"/>
        <v>1.9414603898171581E-2</v>
      </c>
      <c r="G7" s="159">
        <v>2726</v>
      </c>
      <c r="H7" s="52">
        <f t="shared" si="1"/>
        <v>0.30712032447048221</v>
      </c>
      <c r="I7" s="159">
        <v>3296</v>
      </c>
      <c r="J7" s="52">
        <f t="shared" si="2"/>
        <v>0.25607955869784788</v>
      </c>
    </row>
    <row r="8" spans="1:10" x14ac:dyDescent="0.25">
      <c r="B8" s="48" t="s">
        <v>31</v>
      </c>
      <c r="C8" s="149">
        <v>90602</v>
      </c>
      <c r="D8" s="52">
        <f t="shared" si="3"/>
        <v>1.6632670800999626E-2</v>
      </c>
      <c r="E8" s="159">
        <v>65102</v>
      </c>
      <c r="F8" s="52">
        <f t="shared" si="0"/>
        <v>5.4552615260855718E-2</v>
      </c>
      <c r="G8" s="160">
        <v>0</v>
      </c>
      <c r="H8" s="52">
        <f t="shared" si="1"/>
        <v>0</v>
      </c>
      <c r="I8" s="159">
        <v>1339</v>
      </c>
      <c r="J8" s="52">
        <f t="shared" si="2"/>
        <v>0.1040323207210007</v>
      </c>
    </row>
    <row r="9" spans="1:10" x14ac:dyDescent="0.25">
      <c r="B9" s="48" t="s">
        <v>140</v>
      </c>
      <c r="C9" s="149">
        <v>38300</v>
      </c>
      <c r="D9" s="52">
        <f t="shared" si="3"/>
        <v>7.0310952482095946E-3</v>
      </c>
      <c r="E9" s="159">
        <v>21809</v>
      </c>
      <c r="F9" s="52">
        <f t="shared" si="0"/>
        <v>1.8274983659856876E-2</v>
      </c>
      <c r="G9" s="164">
        <v>179</v>
      </c>
      <c r="H9" s="52">
        <f t="shared" si="1"/>
        <v>2.0166741775574582E-2</v>
      </c>
      <c r="I9" s="160">
        <v>0</v>
      </c>
      <c r="J9" s="52">
        <f t="shared" si="2"/>
        <v>0</v>
      </c>
    </row>
    <row r="10" spans="1:10" x14ac:dyDescent="0.25">
      <c r="B10" s="48" t="s">
        <v>10</v>
      </c>
      <c r="C10" s="149">
        <v>12304</v>
      </c>
      <c r="D10" s="52">
        <f t="shared" si="3"/>
        <v>2.2587622959261322E-3</v>
      </c>
      <c r="E10" s="159">
        <v>1338</v>
      </c>
      <c r="F10" s="52">
        <f t="shared" si="0"/>
        <v>1.1211852050478472E-3</v>
      </c>
      <c r="G10" s="160">
        <v>0</v>
      </c>
      <c r="H10" s="52">
        <f t="shared" si="1"/>
        <v>0</v>
      </c>
      <c r="I10" s="160">
        <v>0</v>
      </c>
      <c r="J10" s="52">
        <f t="shared" si="2"/>
        <v>0</v>
      </c>
    </row>
    <row r="11" spans="1:10" x14ac:dyDescent="0.25">
      <c r="B11" s="48" t="s">
        <v>5</v>
      </c>
      <c r="C11" s="149">
        <v>111613</v>
      </c>
      <c r="D11" s="52">
        <f t="shared" si="3"/>
        <v>2.0489859893953459E-2</v>
      </c>
      <c r="E11" s="159">
        <v>34228</v>
      </c>
      <c r="F11" s="52">
        <f t="shared" si="0"/>
        <v>2.8681559938996799E-2</v>
      </c>
      <c r="G11" s="160">
        <v>0</v>
      </c>
      <c r="H11" s="52">
        <f t="shared" si="1"/>
        <v>0</v>
      </c>
      <c r="I11" s="160">
        <v>0</v>
      </c>
      <c r="J11" s="52">
        <f t="shared" si="2"/>
        <v>0</v>
      </c>
    </row>
    <row r="12" spans="1:10" x14ac:dyDescent="0.25">
      <c r="B12" s="48" t="s">
        <v>28</v>
      </c>
      <c r="C12" s="149">
        <v>920291</v>
      </c>
      <c r="D12" s="52">
        <f t="shared" si="3"/>
        <v>0.16894657120287354</v>
      </c>
      <c r="E12" s="159">
        <v>141637</v>
      </c>
      <c r="F12" s="52">
        <f t="shared" si="0"/>
        <v>0.1186855821280732</v>
      </c>
      <c r="G12" s="159">
        <v>3945</v>
      </c>
      <c r="H12" s="52">
        <f t="shared" si="1"/>
        <v>0.44445696259576384</v>
      </c>
      <c r="I12" s="159">
        <v>8233</v>
      </c>
      <c r="J12" s="52">
        <f t="shared" si="2"/>
        <v>0.63965503845855021</v>
      </c>
    </row>
    <row r="13" spans="1:10" x14ac:dyDescent="0.25">
      <c r="B13" s="48" t="s">
        <v>49</v>
      </c>
      <c r="C13" s="150">
        <v>109</v>
      </c>
      <c r="D13" s="52">
        <f t="shared" si="3"/>
        <v>2.0010166633285793E-5</v>
      </c>
      <c r="E13" s="160">
        <v>0</v>
      </c>
      <c r="F13" s="52">
        <f t="shared" si="0"/>
        <v>0</v>
      </c>
      <c r="G13" s="159">
        <v>2007</v>
      </c>
      <c r="H13" s="52">
        <f t="shared" si="1"/>
        <v>0.22611536728255971</v>
      </c>
      <c r="I13" s="160">
        <v>0</v>
      </c>
      <c r="J13" s="52">
        <f t="shared" si="2"/>
        <v>0</v>
      </c>
    </row>
    <row r="14" spans="1:10" x14ac:dyDescent="0.25">
      <c r="B14" s="48" t="s">
        <v>36</v>
      </c>
      <c r="C14" s="149">
        <v>15451</v>
      </c>
      <c r="D14" s="52">
        <f t="shared" si="3"/>
        <v>2.8364870151458602E-3</v>
      </c>
      <c r="E14" s="159">
        <v>3433</v>
      </c>
      <c r="F14" s="52">
        <f t="shared" si="0"/>
        <v>2.8767031456870401E-3</v>
      </c>
      <c r="G14" s="165">
        <v>1</v>
      </c>
      <c r="H14" s="52">
        <f t="shared" si="1"/>
        <v>1.1266336187471834E-4</v>
      </c>
      <c r="I14" s="165">
        <v>3</v>
      </c>
      <c r="J14" s="52">
        <f t="shared" si="2"/>
        <v>2.3308212260119649E-4</v>
      </c>
    </row>
    <row r="15" spans="1:10" x14ac:dyDescent="0.25">
      <c r="B15" s="48" t="s">
        <v>200</v>
      </c>
      <c r="C15" s="50">
        <v>26</v>
      </c>
      <c r="D15" s="52">
        <f t="shared" si="3"/>
        <v>4.7730672703250516E-6</v>
      </c>
      <c r="E15" s="160">
        <v>0</v>
      </c>
      <c r="F15" s="52">
        <f t="shared" si="0"/>
        <v>0</v>
      </c>
      <c r="G15" s="160">
        <v>0</v>
      </c>
      <c r="H15" s="52">
        <f t="shared" si="1"/>
        <v>0</v>
      </c>
      <c r="I15" s="160">
        <v>0</v>
      </c>
      <c r="J15" s="52">
        <f t="shared" si="2"/>
        <v>0</v>
      </c>
    </row>
    <row r="16" spans="1:10" x14ac:dyDescent="0.25">
      <c r="B16" s="48" t="s">
        <v>6</v>
      </c>
      <c r="C16" s="149">
        <v>141197</v>
      </c>
      <c r="D16" s="52">
        <f t="shared" si="3"/>
        <v>2.5920876129541779E-2</v>
      </c>
      <c r="E16" s="159">
        <v>33483</v>
      </c>
      <c r="F16" s="52">
        <f t="shared" si="0"/>
        <v>2.8057282676096466E-2</v>
      </c>
      <c r="G16" s="166">
        <v>18</v>
      </c>
      <c r="H16" s="52">
        <f t="shared" si="1"/>
        <v>2.0279405137449301E-3</v>
      </c>
      <c r="I16" s="160">
        <v>0</v>
      </c>
      <c r="J16" s="52">
        <f t="shared" si="2"/>
        <v>0</v>
      </c>
    </row>
    <row r="17" spans="2:11" x14ac:dyDescent="0.25">
      <c r="B17" s="48" t="s">
        <v>142</v>
      </c>
      <c r="C17" s="49">
        <v>8</v>
      </c>
      <c r="D17" s="52">
        <f t="shared" si="3"/>
        <v>1.468636083176939E-6</v>
      </c>
      <c r="E17" s="160">
        <v>0</v>
      </c>
      <c r="F17" s="52">
        <f t="shared" si="0"/>
        <v>0</v>
      </c>
      <c r="G17" s="160">
        <v>0</v>
      </c>
      <c r="H17" s="52">
        <f t="shared" si="1"/>
        <v>0</v>
      </c>
      <c r="I17" s="160">
        <v>0</v>
      </c>
      <c r="J17" s="57">
        <f t="shared" si="2"/>
        <v>0</v>
      </c>
      <c r="K17" s="58"/>
    </row>
    <row r="18" spans="2:11" x14ac:dyDescent="0.25">
      <c r="B18" s="48" t="s">
        <v>201</v>
      </c>
      <c r="C18" s="151">
        <v>0</v>
      </c>
      <c r="D18" s="52">
        <f t="shared" si="3"/>
        <v>0</v>
      </c>
      <c r="E18" s="160">
        <v>0</v>
      </c>
      <c r="F18" s="51">
        <f t="shared" si="0"/>
        <v>0</v>
      </c>
      <c r="G18" s="160">
        <v>0</v>
      </c>
      <c r="H18" s="52">
        <f t="shared" si="1"/>
        <v>0</v>
      </c>
      <c r="I18" s="160">
        <v>0</v>
      </c>
      <c r="J18" s="52">
        <f t="shared" si="2"/>
        <v>0</v>
      </c>
    </row>
    <row r="19" spans="2:11" x14ac:dyDescent="0.25">
      <c r="B19" s="46" t="s">
        <v>202</v>
      </c>
      <c r="C19" s="152">
        <f>SUM(C6:C18)</f>
        <v>5447231</v>
      </c>
      <c r="D19" s="54">
        <f>C19/C$19</f>
        <v>1</v>
      </c>
      <c r="E19" s="152">
        <f>SUM(E6:E18)</f>
        <v>1193380</v>
      </c>
      <c r="F19" s="54">
        <v>1</v>
      </c>
      <c r="G19" s="152">
        <f>SUM(G6:G18)</f>
        <v>8876</v>
      </c>
      <c r="H19" s="54">
        <v>1</v>
      </c>
      <c r="I19" s="152">
        <f>SUM(I6:I18)</f>
        <v>12871</v>
      </c>
      <c r="J19" s="54">
        <v>1</v>
      </c>
    </row>
    <row r="20" spans="2:11" x14ac:dyDescent="0.25">
      <c r="B20" s="48" t="s">
        <v>203</v>
      </c>
      <c r="C20" s="155">
        <v>7438</v>
      </c>
      <c r="D20" s="59"/>
      <c r="E20" s="161">
        <v>5598</v>
      </c>
      <c r="F20" s="59"/>
      <c r="G20" s="167">
        <v>87</v>
      </c>
      <c r="H20" s="59"/>
      <c r="I20" s="167">
        <v>27</v>
      </c>
      <c r="J20" s="59"/>
    </row>
    <row r="21" spans="2:11" x14ac:dyDescent="0.25">
      <c r="B21" s="48" t="s">
        <v>204</v>
      </c>
      <c r="C21" s="155">
        <v>-18669</v>
      </c>
      <c r="D21" s="60"/>
      <c r="E21" s="162">
        <v>0</v>
      </c>
      <c r="F21" s="60"/>
      <c r="G21" s="167">
        <v>-39</v>
      </c>
      <c r="H21" s="60"/>
      <c r="I21" s="168">
        <v>-122</v>
      </c>
      <c r="J21" s="60"/>
    </row>
    <row r="22" spans="2:11" x14ac:dyDescent="0.25">
      <c r="B22" s="45" t="s">
        <v>205</v>
      </c>
      <c r="C22" s="156">
        <f>C19+C20+C21</f>
        <v>5436000</v>
      </c>
      <c r="D22" s="61"/>
      <c r="E22" s="163">
        <f>E19+E20+E21</f>
        <v>1198978</v>
      </c>
      <c r="F22" s="61"/>
      <c r="G22" s="163">
        <f>G19+G20+G21</f>
        <v>8924</v>
      </c>
      <c r="H22" s="61"/>
      <c r="I22" s="163">
        <f>I19+I20+I21</f>
        <v>12776</v>
      </c>
      <c r="J22" s="61"/>
    </row>
    <row r="23" spans="2:11" x14ac:dyDescent="0.25">
      <c r="B23" s="48" t="s">
        <v>206</v>
      </c>
      <c r="C23" s="157">
        <v>-98</v>
      </c>
      <c r="D23" s="60"/>
      <c r="E23" s="162">
        <v>0</v>
      </c>
      <c r="F23" s="60"/>
      <c r="G23" s="162">
        <v>0</v>
      </c>
      <c r="H23" s="60"/>
      <c r="I23" s="168">
        <v>-576</v>
      </c>
      <c r="J23" s="60"/>
    </row>
    <row r="24" spans="2:11" x14ac:dyDescent="0.25">
      <c r="B24" s="45" t="s">
        <v>486</v>
      </c>
      <c r="C24" s="158">
        <v>0</v>
      </c>
      <c r="D24" s="60"/>
      <c r="E24" s="162">
        <v>0</v>
      </c>
      <c r="F24" s="60"/>
      <c r="G24" s="162">
        <v>0</v>
      </c>
      <c r="H24" s="60"/>
      <c r="I24" s="162">
        <v>0</v>
      </c>
      <c r="J24" s="60"/>
    </row>
    <row r="25" spans="2:11" x14ac:dyDescent="0.25">
      <c r="B25" s="48" t="s">
        <v>207</v>
      </c>
      <c r="C25" s="158">
        <v>0</v>
      </c>
      <c r="D25" s="60"/>
      <c r="E25" s="162">
        <v>0</v>
      </c>
      <c r="F25" s="60"/>
      <c r="G25" s="162">
        <v>0</v>
      </c>
      <c r="H25" s="60"/>
      <c r="I25" s="162">
        <v>0</v>
      </c>
      <c r="J25" s="60"/>
    </row>
    <row r="26" spans="2:11" x14ac:dyDescent="0.25">
      <c r="B26" s="48" t="s">
        <v>488</v>
      </c>
      <c r="C26" s="158">
        <v>0</v>
      </c>
      <c r="D26" s="60"/>
      <c r="E26" s="162">
        <v>0</v>
      </c>
      <c r="F26" s="60"/>
      <c r="G26" s="162">
        <v>0</v>
      </c>
      <c r="H26" s="60"/>
      <c r="I26" s="162">
        <v>0</v>
      </c>
      <c r="J26" s="60"/>
    </row>
    <row r="27" spans="2:11" x14ac:dyDescent="0.25">
      <c r="B27" s="45" t="s">
        <v>487</v>
      </c>
      <c r="C27" s="155">
        <v>622165</v>
      </c>
      <c r="D27" s="60"/>
      <c r="E27" s="161">
        <v>88766</v>
      </c>
      <c r="F27" s="60"/>
      <c r="G27" s="167">
        <v>48</v>
      </c>
      <c r="H27" s="60"/>
      <c r="I27" s="167">
        <v>73</v>
      </c>
      <c r="J27" s="60"/>
    </row>
    <row r="28" spans="2:11" x14ac:dyDescent="0.25">
      <c r="B28" s="48" t="s">
        <v>208</v>
      </c>
      <c r="C28" s="155">
        <v>314071</v>
      </c>
      <c r="D28" s="60"/>
      <c r="E28" s="161">
        <v>220257</v>
      </c>
      <c r="F28" s="60"/>
      <c r="G28" s="161">
        <v>1596</v>
      </c>
      <c r="H28" s="60"/>
      <c r="I28" s="161">
        <v>2773</v>
      </c>
      <c r="J28" s="60"/>
    </row>
    <row r="29" spans="2:11" x14ac:dyDescent="0.25">
      <c r="B29" s="45" t="s">
        <v>209</v>
      </c>
      <c r="C29" s="156">
        <f>C22-C27-C28+C23</f>
        <v>4499666</v>
      </c>
      <c r="D29" s="62"/>
      <c r="E29" s="163">
        <f>E22-E27-E28+E23</f>
        <v>889955</v>
      </c>
      <c r="F29" s="62"/>
      <c r="G29" s="163">
        <f>G22-G27-G28+G23</f>
        <v>7280</v>
      </c>
      <c r="H29" s="62"/>
      <c r="I29" s="163">
        <f>I22-I27-I28+I23</f>
        <v>9354</v>
      </c>
      <c r="J29" s="62"/>
    </row>
    <row r="30" spans="2:11" x14ac:dyDescent="0.25">
      <c r="B30" s="46" t="s">
        <v>210</v>
      </c>
      <c r="C30" s="148">
        <f>(C22-C29)/C22</f>
        <v>0.17224687270051509</v>
      </c>
      <c r="D30" s="55"/>
      <c r="E30" s="47">
        <f>(E22-E29)/E22</f>
        <v>0.257738674104112</v>
      </c>
      <c r="F30" s="55"/>
      <c r="G30" s="47">
        <f>(G22-G29)/G22</f>
        <v>0.18422232182877632</v>
      </c>
      <c r="H30" s="55"/>
      <c r="I30" s="47">
        <f>(I22-I29)/I22</f>
        <v>0.26784596117720727</v>
      </c>
      <c r="J30" s="56"/>
    </row>
    <row r="31" spans="2:11" x14ac:dyDescent="0.25">
      <c r="B31" s="44" t="s">
        <v>444</v>
      </c>
    </row>
    <row r="32" spans="2:11" x14ac:dyDescent="0.25"/>
    <row r="33" x14ac:dyDescent="0.25"/>
    <row r="34" x14ac:dyDescent="0.25"/>
    <row r="35" x14ac:dyDescent="0.25"/>
    <row r="36" x14ac:dyDescent="0.25"/>
    <row r="37" x14ac:dyDescent="0.25"/>
    <row r="38" x14ac:dyDescent="0.25"/>
    <row r="39" x14ac:dyDescent="0.25"/>
  </sheetData>
  <mergeCells count="4">
    <mergeCell ref="C4:D4"/>
    <mergeCell ref="E4:F4"/>
    <mergeCell ref="G4:H4"/>
    <mergeCell ref="I4:J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212"/>
  <sheetViews>
    <sheetView zoomScale="74" zoomScaleNormal="74" workbookViewId="0">
      <selection activeCell="E120" sqref="E120"/>
    </sheetView>
  </sheetViews>
  <sheetFormatPr defaultColWidth="0" defaultRowHeight="15.75" zeroHeight="1" x14ac:dyDescent="0.25"/>
  <cols>
    <col min="1" max="1" width="9.140625" style="18" customWidth="1"/>
    <col min="2" max="2" width="38" style="18" customWidth="1"/>
    <col min="3" max="3" width="43.28515625" style="18" bestFit="1" customWidth="1"/>
    <col min="4" max="4" width="36.140625" style="18" customWidth="1"/>
    <col min="5" max="5" width="27.42578125" style="18" bestFit="1" customWidth="1"/>
    <col min="6" max="6" width="43.28515625" style="18" bestFit="1" customWidth="1"/>
    <col min="7" max="7" width="25.85546875" style="18" customWidth="1"/>
    <col min="8" max="8" width="17.85546875" style="18" customWidth="1"/>
    <col min="9" max="9" width="19.7109375" style="18" customWidth="1"/>
    <col min="10" max="10" width="21.140625" style="18" customWidth="1"/>
    <col min="11" max="11" width="25.85546875" style="18" bestFit="1" customWidth="1"/>
    <col min="12" max="12" width="25.28515625" style="18" bestFit="1" customWidth="1"/>
    <col min="13" max="13" width="28.140625" style="18" bestFit="1" customWidth="1"/>
    <col min="14" max="14" width="32.7109375" style="18" bestFit="1" customWidth="1"/>
    <col min="15" max="15" width="25.28515625" style="18" bestFit="1" customWidth="1"/>
    <col min="16" max="16" width="17.85546875" style="18" bestFit="1" customWidth="1"/>
    <col min="17" max="17" width="32.7109375" style="18" bestFit="1" customWidth="1"/>
    <col min="18" max="18" width="17.85546875" style="18" bestFit="1" customWidth="1"/>
    <col min="19" max="19" width="28.140625" style="18" bestFit="1" customWidth="1"/>
    <col min="20" max="20" width="30.7109375" style="18" bestFit="1" customWidth="1"/>
    <col min="21" max="21" width="27.28515625" style="18" bestFit="1" customWidth="1"/>
    <col min="22" max="22" width="13" style="18" bestFit="1" customWidth="1"/>
    <col min="23" max="23" width="11.28515625" style="18" customWidth="1"/>
    <col min="24" max="24" width="19" style="18" hidden="1" customWidth="1"/>
    <col min="25" max="25" width="18.7109375" style="18" hidden="1" customWidth="1"/>
    <col min="26" max="26" width="36.42578125" style="18" hidden="1" customWidth="1"/>
    <col min="27" max="27" width="32.7109375" style="18" hidden="1" customWidth="1"/>
    <col min="28" max="28" width="17.5703125" style="18" hidden="1" customWidth="1"/>
    <col min="29" max="29" width="23.5703125" style="18" hidden="1" customWidth="1"/>
    <col min="30" max="30" width="25.28515625" style="18" hidden="1" customWidth="1"/>
    <col min="31" max="31" width="28.140625" style="18" hidden="1" customWidth="1"/>
    <col min="32" max="32" width="32.7109375" style="18" hidden="1" customWidth="1"/>
    <col min="33" max="33" width="25.28515625" style="18" hidden="1" customWidth="1"/>
    <col min="34" max="34" width="17" style="18" hidden="1" customWidth="1"/>
    <col min="35" max="35" width="32.7109375" style="18" hidden="1" customWidth="1"/>
    <col min="36" max="36" width="16.7109375" style="18" hidden="1" customWidth="1"/>
    <col min="37" max="37" width="28.140625" style="18" hidden="1" customWidth="1"/>
    <col min="38" max="38" width="30.7109375" style="18" hidden="1" customWidth="1"/>
    <col min="39" max="16384" width="9.140625" style="18" hidden="1"/>
  </cols>
  <sheetData>
    <row r="1" spans="1:14" x14ac:dyDescent="0.25">
      <c r="A1" s="89" t="s">
        <v>244</v>
      </c>
    </row>
    <row r="2" spans="1:14" x14ac:dyDescent="0.25">
      <c r="A2" s="16" t="s">
        <v>245</v>
      </c>
    </row>
    <row r="3" spans="1:14" x14ac:dyDescent="0.25">
      <c r="A3" s="17" t="s">
        <v>249</v>
      </c>
    </row>
    <row r="4" spans="1:14" s="21" customFormat="1" x14ac:dyDescent="0.25">
      <c r="A4" s="18"/>
      <c r="B4" s="18"/>
      <c r="C4" s="18"/>
      <c r="D4" s="18"/>
      <c r="E4" s="18"/>
      <c r="F4" s="18"/>
      <c r="G4" s="18"/>
      <c r="H4" s="18"/>
      <c r="I4" s="18"/>
      <c r="J4" s="18"/>
      <c r="K4" s="18"/>
      <c r="L4" s="18"/>
      <c r="M4" s="18"/>
      <c r="N4" s="18"/>
    </row>
    <row r="5" spans="1:14" s="21" customFormat="1" ht="18.75" x14ac:dyDescent="0.25">
      <c r="A5" s="18"/>
      <c r="B5" s="20" t="s">
        <v>438</v>
      </c>
      <c r="C5" s="18"/>
      <c r="D5" s="18"/>
      <c r="E5" s="20" t="s">
        <v>439</v>
      </c>
      <c r="F5" s="18"/>
      <c r="G5" s="18"/>
      <c r="H5" s="84" t="s">
        <v>19</v>
      </c>
      <c r="I5" s="85"/>
      <c r="J5" s="85"/>
      <c r="K5" s="85"/>
      <c r="L5" s="85"/>
      <c r="M5" s="85"/>
      <c r="N5" s="85"/>
    </row>
    <row r="6" spans="1:14" s="21" customFormat="1" x14ac:dyDescent="0.25">
      <c r="A6" s="18"/>
      <c r="B6" s="72" t="s">
        <v>1</v>
      </c>
      <c r="C6" s="72" t="s">
        <v>246</v>
      </c>
      <c r="D6" s="18"/>
      <c r="E6" s="72" t="s">
        <v>1</v>
      </c>
      <c r="F6" s="72" t="s">
        <v>246</v>
      </c>
      <c r="G6" s="18"/>
      <c r="H6" s="19" t="s">
        <v>20</v>
      </c>
      <c r="I6" s="18" t="s">
        <v>56</v>
      </c>
      <c r="J6" s="18"/>
      <c r="K6" s="18"/>
      <c r="L6" s="18"/>
      <c r="M6" s="18"/>
      <c r="N6" s="18"/>
    </row>
    <row r="7" spans="1:14" s="21" customFormat="1" x14ac:dyDescent="0.25">
      <c r="A7" s="18"/>
      <c r="B7" s="73" t="s">
        <v>2</v>
      </c>
      <c r="C7" s="169">
        <v>71.099999999999994</v>
      </c>
      <c r="D7" s="18"/>
      <c r="E7" s="73" t="s">
        <v>2</v>
      </c>
      <c r="F7" s="169">
        <v>59.07</v>
      </c>
      <c r="G7" s="18"/>
      <c r="H7" s="19" t="s">
        <v>20</v>
      </c>
      <c r="I7" s="18" t="s">
        <v>57</v>
      </c>
      <c r="J7" s="18"/>
      <c r="K7" s="18"/>
      <c r="L7" s="18"/>
      <c r="M7" s="18"/>
      <c r="N7" s="18"/>
    </row>
    <row r="8" spans="1:14" x14ac:dyDescent="0.25">
      <c r="B8" s="73" t="s">
        <v>3</v>
      </c>
      <c r="C8" s="169">
        <v>11.2</v>
      </c>
      <c r="E8" s="73" t="s">
        <v>3</v>
      </c>
      <c r="F8" s="169">
        <v>14.16</v>
      </c>
      <c r="H8" s="19" t="s">
        <v>20</v>
      </c>
      <c r="I8" s="18" t="s">
        <v>59</v>
      </c>
    </row>
    <row r="9" spans="1:14" x14ac:dyDescent="0.25">
      <c r="B9" s="73" t="s">
        <v>4</v>
      </c>
      <c r="C9" s="170">
        <v>8.3000000000000007</v>
      </c>
      <c r="E9" s="73" t="s">
        <v>4</v>
      </c>
      <c r="F9" s="169">
        <v>14.33</v>
      </c>
      <c r="H9" s="19" t="s">
        <v>20</v>
      </c>
      <c r="I9" s="18" t="s">
        <v>60</v>
      </c>
    </row>
    <row r="10" spans="1:14" x14ac:dyDescent="0.25">
      <c r="B10" s="73" t="s">
        <v>5</v>
      </c>
      <c r="C10" s="170">
        <v>2.9</v>
      </c>
      <c r="E10" s="73" t="s">
        <v>5</v>
      </c>
      <c r="F10" s="170">
        <v>4.92</v>
      </c>
      <c r="H10" s="19" t="s">
        <v>20</v>
      </c>
      <c r="I10" s="18" t="s">
        <v>81</v>
      </c>
    </row>
    <row r="11" spans="1:14" x14ac:dyDescent="0.25">
      <c r="B11" s="73" t="s">
        <v>6</v>
      </c>
      <c r="C11" s="170">
        <v>2.5</v>
      </c>
      <c r="E11" s="73" t="s">
        <v>6</v>
      </c>
      <c r="F11" s="170">
        <v>3.51</v>
      </c>
      <c r="H11" s="19" t="s">
        <v>20</v>
      </c>
      <c r="I11" s="18" t="s">
        <v>85</v>
      </c>
    </row>
    <row r="12" spans="1:14" x14ac:dyDescent="0.25">
      <c r="B12" s="73" t="s">
        <v>7</v>
      </c>
      <c r="C12" s="170">
        <v>2</v>
      </c>
      <c r="E12" s="73" t="s">
        <v>7</v>
      </c>
      <c r="F12" s="170">
        <v>2.0099999999999998</v>
      </c>
      <c r="H12" s="19" t="s">
        <v>20</v>
      </c>
      <c r="I12" s="18" t="s">
        <v>47</v>
      </c>
    </row>
    <row r="13" spans="1:14" x14ac:dyDescent="0.25">
      <c r="B13" s="73" t="s">
        <v>8</v>
      </c>
      <c r="C13" s="170">
        <v>1.7</v>
      </c>
      <c r="E13" s="73" t="s">
        <v>8</v>
      </c>
      <c r="F13" s="170">
        <v>1.72</v>
      </c>
      <c r="H13" s="19" t="s">
        <v>20</v>
      </c>
      <c r="I13" s="18" t="s">
        <v>46</v>
      </c>
    </row>
    <row r="14" spans="1:14" x14ac:dyDescent="0.25">
      <c r="B14" s="73" t="s">
        <v>9</v>
      </c>
      <c r="C14" s="171">
        <v>0.2</v>
      </c>
      <c r="E14" s="73" t="s">
        <v>9</v>
      </c>
      <c r="F14" s="171">
        <v>0.19</v>
      </c>
      <c r="H14" s="19"/>
    </row>
    <row r="15" spans="1:14" x14ac:dyDescent="0.25">
      <c r="B15" s="73" t="s">
        <v>10</v>
      </c>
      <c r="C15" s="171">
        <v>0.09</v>
      </c>
      <c r="E15" s="73" t="s">
        <v>10</v>
      </c>
      <c r="F15" s="171">
        <v>0.09</v>
      </c>
      <c r="H15" s="19"/>
    </row>
    <row r="16" spans="1:14" x14ac:dyDescent="0.25">
      <c r="B16" s="73" t="s">
        <v>11</v>
      </c>
      <c r="C16" s="172">
        <v>100</v>
      </c>
      <c r="E16" s="73" t="s">
        <v>11</v>
      </c>
      <c r="F16" s="172">
        <f>SUM(F7:F15)</f>
        <v>100.00000000000001</v>
      </c>
      <c r="H16" s="19"/>
    </row>
    <row r="17" spans="2:29" x14ac:dyDescent="0.25">
      <c r="B17" s="73" t="s">
        <v>248</v>
      </c>
      <c r="C17" s="195">
        <v>0.37</v>
      </c>
      <c r="E17" s="73" t="s">
        <v>248</v>
      </c>
      <c r="F17" s="195">
        <v>0.37</v>
      </c>
      <c r="H17" s="19"/>
    </row>
    <row r="18" spans="2:29" x14ac:dyDescent="0.25">
      <c r="B18" s="17" t="s">
        <v>247</v>
      </c>
      <c r="E18" s="17" t="s">
        <v>247</v>
      </c>
      <c r="H18" s="19"/>
    </row>
    <row r="19" spans="2:29" ht="18.75" x14ac:dyDescent="0.25">
      <c r="B19" s="17" t="s">
        <v>440</v>
      </c>
      <c r="E19" s="17" t="s">
        <v>440</v>
      </c>
      <c r="H19" s="19"/>
    </row>
    <row r="20" spans="2:29" x14ac:dyDescent="0.25">
      <c r="H20" s="19"/>
    </row>
    <row r="21" spans="2:29" x14ac:dyDescent="0.25">
      <c r="B21" s="20" t="s">
        <v>53</v>
      </c>
      <c r="C21" s="11"/>
      <c r="D21" s="11"/>
      <c r="E21" s="11"/>
      <c r="F21" s="11"/>
      <c r="H21" s="19"/>
    </row>
    <row r="22" spans="2:29" x14ac:dyDescent="0.25">
      <c r="B22" s="72" t="s">
        <v>1</v>
      </c>
      <c r="C22" s="72" t="s">
        <v>40</v>
      </c>
      <c r="D22" s="72" t="s">
        <v>41</v>
      </c>
      <c r="E22" s="72" t="s">
        <v>52</v>
      </c>
      <c r="F22" s="72" t="s">
        <v>109</v>
      </c>
      <c r="G22" s="20"/>
      <c r="H22" s="19"/>
    </row>
    <row r="23" spans="2:29" x14ac:dyDescent="0.25">
      <c r="B23" s="73" t="s">
        <v>5</v>
      </c>
      <c r="C23" s="170">
        <v>7</v>
      </c>
      <c r="D23" s="169">
        <v>33</v>
      </c>
      <c r="E23" s="169">
        <v>95</v>
      </c>
      <c r="F23" s="170">
        <f>C23-(C23*($C$36-100)/101)</f>
        <v>6.9306930693069306</v>
      </c>
      <c r="G23" s="21"/>
      <c r="H23" s="19"/>
    </row>
    <row r="24" spans="2:29" x14ac:dyDescent="0.25">
      <c r="B24" s="73" t="s">
        <v>7</v>
      </c>
      <c r="C24" s="173">
        <v>0</v>
      </c>
      <c r="D24" s="173">
        <v>0</v>
      </c>
      <c r="E24" s="169">
        <v>50</v>
      </c>
      <c r="F24" s="173">
        <f t="shared" ref="F24:F35" si="0">C24-(C24*($C$36-100)/101)</f>
        <v>0</v>
      </c>
      <c r="G24" s="21"/>
      <c r="H24" s="19"/>
    </row>
    <row r="25" spans="2:29" x14ac:dyDescent="0.25">
      <c r="B25" s="73" t="s">
        <v>27</v>
      </c>
      <c r="C25" s="169">
        <v>70</v>
      </c>
      <c r="D25" s="172">
        <v>359</v>
      </c>
      <c r="E25" s="169">
        <v>90</v>
      </c>
      <c r="F25" s="169">
        <f t="shared" si="0"/>
        <v>69.306930693069305</v>
      </c>
      <c r="G25" s="21"/>
      <c r="H25" s="19"/>
    </row>
    <row r="26" spans="2:29" x14ac:dyDescent="0.25">
      <c r="B26" s="73" t="s">
        <v>33</v>
      </c>
      <c r="C26" s="173">
        <v>0</v>
      </c>
      <c r="D26" s="173">
        <v>0</v>
      </c>
      <c r="E26" s="169">
        <v>90</v>
      </c>
      <c r="F26" s="173">
        <f t="shared" si="0"/>
        <v>0</v>
      </c>
      <c r="G26" s="21"/>
      <c r="H26" s="19"/>
    </row>
    <row r="27" spans="2:29" x14ac:dyDescent="0.25">
      <c r="B27" s="73" t="s">
        <v>31</v>
      </c>
      <c r="C27" s="169">
        <v>11</v>
      </c>
      <c r="D27" s="172">
        <v>126</v>
      </c>
      <c r="E27" s="169">
        <v>40</v>
      </c>
      <c r="F27" s="169">
        <f t="shared" si="0"/>
        <v>10.891089108910892</v>
      </c>
    </row>
    <row r="28" spans="2:29" x14ac:dyDescent="0.25">
      <c r="B28" s="73" t="s">
        <v>34</v>
      </c>
      <c r="C28" s="173">
        <v>0</v>
      </c>
      <c r="D28" s="173">
        <v>0</v>
      </c>
      <c r="E28" s="169">
        <v>65</v>
      </c>
      <c r="F28" s="173">
        <f t="shared" si="0"/>
        <v>0</v>
      </c>
    </row>
    <row r="29" spans="2:29" x14ac:dyDescent="0.25">
      <c r="B29" s="73" t="s">
        <v>28</v>
      </c>
      <c r="C29" s="170">
        <v>9</v>
      </c>
      <c r="D29" s="169">
        <v>71</v>
      </c>
      <c r="E29" s="169">
        <v>56</v>
      </c>
      <c r="F29" s="170">
        <f t="shared" si="0"/>
        <v>8.9108910891089117</v>
      </c>
    </row>
    <row r="30" spans="2:29" x14ac:dyDescent="0.25">
      <c r="B30" s="73" t="s">
        <v>48</v>
      </c>
      <c r="C30" s="170">
        <v>1</v>
      </c>
      <c r="D30" s="169">
        <v>12</v>
      </c>
      <c r="E30" s="169">
        <v>50</v>
      </c>
      <c r="F30" s="171">
        <f t="shared" si="0"/>
        <v>0.99009900990099009</v>
      </c>
    </row>
    <row r="31" spans="2:29" x14ac:dyDescent="0.25">
      <c r="B31" s="73" t="s">
        <v>51</v>
      </c>
      <c r="C31" s="173">
        <v>0</v>
      </c>
      <c r="D31" s="173">
        <v>0</v>
      </c>
      <c r="E31" s="169">
        <v>65</v>
      </c>
      <c r="F31" s="173">
        <f t="shared" si="0"/>
        <v>0</v>
      </c>
      <c r="G31" s="21"/>
      <c r="H31" s="21"/>
    </row>
    <row r="32" spans="2:29" x14ac:dyDescent="0.25">
      <c r="B32" s="73" t="s">
        <v>49</v>
      </c>
      <c r="C32" s="173">
        <v>0</v>
      </c>
      <c r="D32" s="173">
        <v>0</v>
      </c>
      <c r="E32" s="169">
        <v>85</v>
      </c>
      <c r="F32" s="173">
        <f t="shared" si="0"/>
        <v>0</v>
      </c>
      <c r="G32" s="21"/>
      <c r="H32" s="21"/>
      <c r="Z32" s="33" t="s">
        <v>319</v>
      </c>
      <c r="AC32" s="128" t="s">
        <v>320</v>
      </c>
    </row>
    <row r="33" spans="2:38" x14ac:dyDescent="0.25">
      <c r="B33" s="73" t="s">
        <v>6</v>
      </c>
      <c r="C33" s="170">
        <v>2</v>
      </c>
      <c r="D33" s="169">
        <v>33</v>
      </c>
      <c r="E33" s="169">
        <v>30</v>
      </c>
      <c r="F33" s="170">
        <f t="shared" si="0"/>
        <v>1.9801980198019802</v>
      </c>
      <c r="G33" s="21"/>
      <c r="H33" s="20" t="s">
        <v>266</v>
      </c>
      <c r="Z33" s="21"/>
      <c r="AC33" s="258" t="s">
        <v>119</v>
      </c>
      <c r="AD33" s="258"/>
      <c r="AE33" s="258"/>
      <c r="AF33" s="258"/>
      <c r="AG33" s="258"/>
      <c r="AH33" s="258"/>
      <c r="AI33" s="258"/>
      <c r="AJ33" s="258"/>
      <c r="AK33" s="258"/>
      <c r="AL33" s="258"/>
    </row>
    <row r="34" spans="2:38" x14ac:dyDescent="0.25">
      <c r="B34" s="73" t="s">
        <v>50</v>
      </c>
      <c r="C34" s="173">
        <v>0</v>
      </c>
      <c r="D34" s="173">
        <v>0</v>
      </c>
      <c r="E34" s="169">
        <v>50</v>
      </c>
      <c r="F34" s="173">
        <f t="shared" si="0"/>
        <v>0</v>
      </c>
      <c r="G34" s="21"/>
      <c r="H34" s="21"/>
      <c r="K34" s="258" t="s">
        <v>119</v>
      </c>
      <c r="L34" s="258"/>
      <c r="M34" s="258"/>
      <c r="N34" s="258"/>
      <c r="O34" s="258"/>
      <c r="P34" s="258"/>
      <c r="Q34" s="258"/>
      <c r="R34" s="258"/>
      <c r="S34" s="258"/>
      <c r="T34" s="258"/>
      <c r="V34" s="21"/>
      <c r="W34" s="21"/>
      <c r="X34" s="21"/>
      <c r="Y34" s="21"/>
      <c r="AA34" s="21"/>
      <c r="AB34" s="21"/>
      <c r="AC34" s="64">
        <v>1</v>
      </c>
      <c r="AD34" s="64">
        <f t="shared" ref="AD34:AL34" si="1">AC34+1</f>
        <v>2</v>
      </c>
      <c r="AE34" s="64">
        <f t="shared" si="1"/>
        <v>3</v>
      </c>
      <c r="AF34" s="64">
        <f t="shared" si="1"/>
        <v>4</v>
      </c>
      <c r="AG34" s="64">
        <f t="shared" si="1"/>
        <v>5</v>
      </c>
      <c r="AH34" s="64">
        <f t="shared" si="1"/>
        <v>6</v>
      </c>
      <c r="AI34" s="64">
        <f t="shared" si="1"/>
        <v>7</v>
      </c>
      <c r="AJ34" s="64">
        <f t="shared" si="1"/>
        <v>8</v>
      </c>
      <c r="AK34" s="64">
        <f t="shared" si="1"/>
        <v>9</v>
      </c>
      <c r="AL34" s="64">
        <f t="shared" si="1"/>
        <v>10</v>
      </c>
    </row>
    <row r="35" spans="2:38" x14ac:dyDescent="0.25">
      <c r="B35" s="73" t="s">
        <v>32</v>
      </c>
      <c r="C35" s="170">
        <v>1</v>
      </c>
      <c r="D35" s="170">
        <v>6</v>
      </c>
      <c r="E35" s="169">
        <v>41</v>
      </c>
      <c r="F35" s="171">
        <f t="shared" si="0"/>
        <v>0.99009900990099009</v>
      </c>
      <c r="G35" s="21"/>
      <c r="I35" s="21"/>
      <c r="J35" s="21"/>
      <c r="K35" s="64">
        <v>1</v>
      </c>
      <c r="L35" s="64">
        <f>K35+1</f>
        <v>2</v>
      </c>
      <c r="M35" s="64">
        <f t="shared" ref="M35:T35" si="2">L35+1</f>
        <v>3</v>
      </c>
      <c r="N35" s="64">
        <f t="shared" si="2"/>
        <v>4</v>
      </c>
      <c r="O35" s="64">
        <f t="shared" si="2"/>
        <v>5</v>
      </c>
      <c r="P35" s="64">
        <f t="shared" si="2"/>
        <v>6</v>
      </c>
      <c r="Q35" s="64">
        <f t="shared" si="2"/>
        <v>7</v>
      </c>
      <c r="R35" s="64">
        <f t="shared" si="2"/>
        <v>8</v>
      </c>
      <c r="S35" s="64">
        <f t="shared" si="2"/>
        <v>9</v>
      </c>
      <c r="T35" s="64">
        <f t="shared" si="2"/>
        <v>10</v>
      </c>
      <c r="V35" s="21"/>
      <c r="W35" s="21"/>
      <c r="X35" s="21"/>
      <c r="Y35" s="21"/>
      <c r="Z35" s="63" t="s">
        <v>179</v>
      </c>
      <c r="AA35" s="78" t="s">
        <v>78</v>
      </c>
      <c r="AB35" s="72" t="s">
        <v>73</v>
      </c>
      <c r="AC35" s="72" t="s">
        <v>214</v>
      </c>
      <c r="AD35" s="72" t="s">
        <v>184</v>
      </c>
      <c r="AE35" s="72" t="s">
        <v>185</v>
      </c>
      <c r="AF35" s="72" t="s">
        <v>186</v>
      </c>
      <c r="AG35" s="72" t="s">
        <v>187</v>
      </c>
      <c r="AH35" s="72" t="s">
        <v>170</v>
      </c>
      <c r="AI35" s="72" t="s">
        <v>183</v>
      </c>
      <c r="AJ35" s="72" t="s">
        <v>188</v>
      </c>
      <c r="AK35" s="72" t="s">
        <v>189</v>
      </c>
      <c r="AL35" s="72" t="s">
        <v>168</v>
      </c>
    </row>
    <row r="36" spans="2:38" x14ac:dyDescent="0.25">
      <c r="B36" s="74" t="s">
        <v>68</v>
      </c>
      <c r="C36" s="174">
        <f>SUM(C23:C35)</f>
        <v>101</v>
      </c>
      <c r="D36" s="174">
        <f>SUM(D23:D35)</f>
        <v>640</v>
      </c>
      <c r="E36" s="75" t="s">
        <v>251</v>
      </c>
      <c r="F36" s="175">
        <f>SUM(F23:F35)</f>
        <v>99.999999999999986</v>
      </c>
      <c r="G36" s="22"/>
      <c r="H36" s="63" t="s">
        <v>179</v>
      </c>
      <c r="I36" s="78" t="s">
        <v>78</v>
      </c>
      <c r="J36" s="72" t="s">
        <v>73</v>
      </c>
      <c r="K36" s="72" t="s">
        <v>214</v>
      </c>
      <c r="L36" s="72" t="s">
        <v>184</v>
      </c>
      <c r="M36" s="72" t="s">
        <v>185</v>
      </c>
      <c r="N36" s="72" t="s">
        <v>186</v>
      </c>
      <c r="O36" s="72" t="s">
        <v>187</v>
      </c>
      <c r="P36" s="72" t="s">
        <v>170</v>
      </c>
      <c r="Q36" s="72" t="s">
        <v>183</v>
      </c>
      <c r="R36" s="72" t="s">
        <v>188</v>
      </c>
      <c r="S36" s="72" t="s">
        <v>189</v>
      </c>
      <c r="T36" s="72" t="s">
        <v>168</v>
      </c>
      <c r="V36" s="21"/>
      <c r="W36" s="20"/>
      <c r="X36" s="20"/>
      <c r="Y36" s="20"/>
      <c r="Z36" s="79" t="s">
        <v>5</v>
      </c>
      <c r="AA36" s="78" t="s">
        <v>5</v>
      </c>
      <c r="AB36" s="13" t="s">
        <v>79</v>
      </c>
      <c r="AC36" s="14">
        <v>2.8681559938996803E-2</v>
      </c>
      <c r="AD36" s="14">
        <v>6.7693664958773034E-2</v>
      </c>
      <c r="AE36" s="14">
        <v>0.14815970056144728</v>
      </c>
      <c r="AF36" s="14">
        <v>7.7593248026136666E-2</v>
      </c>
      <c r="AG36" s="14">
        <v>3.3915305237747134E-2</v>
      </c>
      <c r="AH36" s="14">
        <v>0.11681508643268729</v>
      </c>
      <c r="AI36" s="14">
        <v>4.1139958344503326E-2</v>
      </c>
      <c r="AJ36" s="14">
        <v>6.9306930693069313E-2</v>
      </c>
      <c r="AK36" s="137">
        <v>0.19291348832365729</v>
      </c>
      <c r="AL36" s="14">
        <v>0.26732673267326734</v>
      </c>
    </row>
    <row r="37" spans="2:38" x14ac:dyDescent="0.25">
      <c r="B37" s="17" t="s">
        <v>250</v>
      </c>
      <c r="F37" s="22"/>
      <c r="G37" s="22"/>
      <c r="H37" s="79" t="s">
        <v>5</v>
      </c>
      <c r="I37" s="78" t="s">
        <v>5</v>
      </c>
      <c r="J37" s="13" t="s">
        <v>79</v>
      </c>
      <c r="K37" s="14">
        <f>CurrentGrids!F11*100</f>
        <v>2.8681559938996801</v>
      </c>
      <c r="L37" s="15">
        <f>E48*100</f>
        <v>6.7693664958773034</v>
      </c>
      <c r="M37" s="176">
        <f>E125*100</f>
        <v>14.815970056144728</v>
      </c>
      <c r="N37" s="15">
        <f>E80*100</f>
        <v>7.7593248026136665</v>
      </c>
      <c r="O37" s="15">
        <f>E95*100</f>
        <v>3.3915305237747133</v>
      </c>
      <c r="P37" s="176">
        <f>P163*100</f>
        <v>11.681508643268728</v>
      </c>
      <c r="Q37" s="15">
        <f>E110*100</f>
        <v>4.1139958344503329</v>
      </c>
      <c r="R37" s="15">
        <f>F23</f>
        <v>6.9306930693069306</v>
      </c>
      <c r="S37" s="176">
        <f>E134*100</f>
        <v>19.291348832365728</v>
      </c>
      <c r="T37" s="176">
        <f>F55</f>
        <v>26.732673267326732</v>
      </c>
      <c r="V37" s="21"/>
      <c r="W37" s="27"/>
      <c r="X37" s="27"/>
      <c r="Y37" s="27"/>
      <c r="Z37" s="79" t="s">
        <v>76</v>
      </c>
      <c r="AA37" s="78" t="s">
        <v>76</v>
      </c>
      <c r="AB37" s="13" t="s">
        <v>79</v>
      </c>
      <c r="AC37" s="14">
        <v>1.9414603898171581E-2</v>
      </c>
      <c r="AD37" s="14">
        <v>1.1876081571714568E-2</v>
      </c>
      <c r="AE37" s="14">
        <v>0</v>
      </c>
      <c r="AF37" s="14">
        <v>1.3612850530901171E-2</v>
      </c>
      <c r="AG37" s="14">
        <v>6.800061200550803E-3</v>
      </c>
      <c r="AH37" s="14">
        <v>1.1000523834468307E-2</v>
      </c>
      <c r="AI37" s="14">
        <v>8.2486132019054283E-3</v>
      </c>
      <c r="AJ37" s="14">
        <v>0</v>
      </c>
      <c r="AK37" s="137">
        <v>0</v>
      </c>
      <c r="AL37" s="14">
        <v>9.9009900990099011E-3</v>
      </c>
    </row>
    <row r="38" spans="2:38" x14ac:dyDescent="0.25">
      <c r="H38" s="79" t="s">
        <v>76</v>
      </c>
      <c r="I38" s="78" t="s">
        <v>76</v>
      </c>
      <c r="J38" s="13" t="s">
        <v>79</v>
      </c>
      <c r="K38" s="14">
        <f>CurrentGrids!F7*100</f>
        <v>1.9414603898171581</v>
      </c>
      <c r="L38" s="15">
        <f>E46*100</f>
        <v>1.1876081571714567</v>
      </c>
      <c r="M38" s="177">
        <f>E123*100</f>
        <v>0</v>
      </c>
      <c r="N38" s="15">
        <f>E78*100</f>
        <v>1.361285053090117</v>
      </c>
      <c r="O38" s="178">
        <f>E93*100</f>
        <v>0.68000612005508032</v>
      </c>
      <c r="P38" s="15">
        <f>P160*100</f>
        <v>1.1000523834468308</v>
      </c>
      <c r="Q38" s="178">
        <f>E108*100</f>
        <v>0.82486132019054281</v>
      </c>
      <c r="R38" s="177">
        <f>F24</f>
        <v>0</v>
      </c>
      <c r="S38" s="177"/>
      <c r="T38" s="178">
        <f>F56</f>
        <v>0.99009900990099009</v>
      </c>
      <c r="V38" s="21"/>
      <c r="W38" s="27"/>
      <c r="X38" s="27"/>
      <c r="Y38" s="27"/>
      <c r="Z38" s="80"/>
      <c r="AA38" s="29" t="s">
        <v>27</v>
      </c>
      <c r="AB38" s="13" t="s">
        <v>79</v>
      </c>
      <c r="AC38" s="14">
        <v>0.7283354840872146</v>
      </c>
      <c r="AD38" s="14">
        <v>0.53442367072715546</v>
      </c>
      <c r="AE38" s="14">
        <v>0.42108546475358699</v>
      </c>
      <c r="AF38" s="14">
        <v>0.48656217183306749</v>
      </c>
      <c r="AG38" s="14">
        <v>0.71298641687775177</v>
      </c>
      <c r="AH38" s="14">
        <v>0.58250392875851231</v>
      </c>
      <c r="AI38" s="14">
        <v>0.64772235167962378</v>
      </c>
      <c r="AJ38" s="14">
        <v>0.69306930693069302</v>
      </c>
      <c r="AK38" s="137">
        <v>0</v>
      </c>
      <c r="AL38" s="14">
        <v>0.17821782178217824</v>
      </c>
    </row>
    <row r="39" spans="2:38" x14ac:dyDescent="0.25">
      <c r="B39" s="20" t="s">
        <v>61</v>
      </c>
      <c r="H39" s="80"/>
      <c r="I39" s="29" t="s">
        <v>27</v>
      </c>
      <c r="J39" s="13" t="s">
        <v>79</v>
      </c>
      <c r="K39" s="176">
        <f t="shared" ref="K39:Q39" si="3">SUM(K40:K43)</f>
        <v>72.833548408721455</v>
      </c>
      <c r="L39" s="176">
        <f t="shared" si="3"/>
        <v>53.442367072715548</v>
      </c>
      <c r="M39" s="176">
        <f t="shared" si="3"/>
        <v>42.1085464753587</v>
      </c>
      <c r="N39" s="176">
        <f t="shared" si="3"/>
        <v>48.656217183306751</v>
      </c>
      <c r="O39" s="176">
        <f t="shared" si="3"/>
        <v>71.298641687775174</v>
      </c>
      <c r="P39" s="176">
        <f t="shared" si="3"/>
        <v>58.250392875851233</v>
      </c>
      <c r="Q39" s="176">
        <f t="shared" si="3"/>
        <v>64.772235167962378</v>
      </c>
      <c r="R39" s="176">
        <f>SUM(R40:R43)</f>
        <v>69.306930693069305</v>
      </c>
      <c r="S39" s="177"/>
      <c r="T39" s="176">
        <f>SUM(T40:T43)</f>
        <v>17.821782178217823</v>
      </c>
      <c r="V39" s="21"/>
      <c r="W39" s="27"/>
      <c r="X39" s="27"/>
      <c r="Y39" s="27"/>
      <c r="Z39" s="79" t="s">
        <v>180</v>
      </c>
      <c r="AA39" s="29"/>
      <c r="AB39" s="25" t="s">
        <v>74</v>
      </c>
      <c r="AC39" s="14">
        <v>0.7283354840872146</v>
      </c>
      <c r="AD39" s="14">
        <v>0.51915442299209391</v>
      </c>
      <c r="AE39" s="14">
        <v>0.30879600748596381</v>
      </c>
      <c r="AF39" s="14">
        <v>0.32204114970246195</v>
      </c>
      <c r="AG39" s="14">
        <v>0.69768627917651249</v>
      </c>
      <c r="AH39" s="14">
        <v>0.58250392875851231</v>
      </c>
      <c r="AI39" s="14">
        <v>0.25055162600787739</v>
      </c>
      <c r="AJ39" s="14">
        <v>0.69306930693069302</v>
      </c>
      <c r="AK39" s="137">
        <v>0</v>
      </c>
      <c r="AL39" s="14">
        <v>1.9801980198019802E-2</v>
      </c>
    </row>
    <row r="40" spans="2:38" x14ac:dyDescent="0.25">
      <c r="B40" s="72" t="s">
        <v>1</v>
      </c>
      <c r="C40" s="72" t="s">
        <v>41</v>
      </c>
      <c r="D40" s="72" t="s">
        <v>255</v>
      </c>
      <c r="E40" s="72" t="s">
        <v>40</v>
      </c>
      <c r="G40" s="20"/>
      <c r="H40" s="79" t="s">
        <v>180</v>
      </c>
      <c r="I40" s="29"/>
      <c r="J40" s="25" t="s">
        <v>74</v>
      </c>
      <c r="K40" s="179">
        <f>CurrentGrids!F6*100</f>
        <v>72.833548408721455</v>
      </c>
      <c r="L40" s="180">
        <f>E41*100</f>
        <v>51.915442299209388</v>
      </c>
      <c r="M40" s="180">
        <f>E118*100</f>
        <v>30.879600748596381</v>
      </c>
      <c r="N40" s="180">
        <f>E73*100</f>
        <v>32.204114970246195</v>
      </c>
      <c r="O40" s="180">
        <f>E88*100</f>
        <v>69.768627917651244</v>
      </c>
      <c r="P40" s="180">
        <f>P162*100</f>
        <v>58.250392875851233</v>
      </c>
      <c r="Q40" s="180">
        <f>E103*100</f>
        <v>25.055162600787739</v>
      </c>
      <c r="R40" s="180">
        <f>F25</f>
        <v>69.306930693069305</v>
      </c>
      <c r="S40" s="181"/>
      <c r="T40" s="182">
        <f>F57</f>
        <v>1.9801980198019802</v>
      </c>
      <c r="V40" s="21"/>
      <c r="W40" s="27"/>
      <c r="X40" s="27"/>
      <c r="Y40" s="27"/>
      <c r="Z40" s="79" t="s">
        <v>166</v>
      </c>
      <c r="AA40" s="29"/>
      <c r="AB40" s="25" t="s">
        <v>33</v>
      </c>
      <c r="AC40" s="14">
        <v>0</v>
      </c>
      <c r="AD40" s="14">
        <v>0</v>
      </c>
      <c r="AE40" s="14">
        <v>0</v>
      </c>
      <c r="AF40" s="14">
        <v>0</v>
      </c>
      <c r="AG40" s="14">
        <v>0</v>
      </c>
      <c r="AH40" s="14">
        <v>0</v>
      </c>
      <c r="AI40" s="14">
        <v>0</v>
      </c>
      <c r="AJ40" s="14">
        <v>0</v>
      </c>
      <c r="AK40" s="137">
        <v>0</v>
      </c>
      <c r="AL40" s="14">
        <v>0.15841584158415842</v>
      </c>
    </row>
    <row r="41" spans="2:38" x14ac:dyDescent="0.25">
      <c r="B41" s="73" t="s">
        <v>62</v>
      </c>
      <c r="C41" s="172">
        <v>170</v>
      </c>
      <c r="D41" s="169">
        <v>90</v>
      </c>
      <c r="E41" s="188">
        <f>C41*(D41/100)/$D$50</f>
        <v>0.51915442299209391</v>
      </c>
      <c r="G41" s="21"/>
      <c r="H41" s="79" t="s">
        <v>166</v>
      </c>
      <c r="I41" s="29"/>
      <c r="J41" s="25" t="s">
        <v>33</v>
      </c>
      <c r="K41" s="183"/>
      <c r="L41" s="181"/>
      <c r="M41" s="181"/>
      <c r="N41" s="181"/>
      <c r="O41" s="181"/>
      <c r="P41" s="181"/>
      <c r="Q41" s="181"/>
      <c r="R41" s="181"/>
      <c r="S41" s="181"/>
      <c r="T41" s="180">
        <f>F58</f>
        <v>15.841584158415841</v>
      </c>
      <c r="V41" s="21"/>
      <c r="W41" s="27"/>
      <c r="X41" s="27"/>
      <c r="Y41" s="27"/>
      <c r="Z41" s="79" t="s">
        <v>181</v>
      </c>
      <c r="AA41" s="29"/>
      <c r="AB41" s="25" t="s">
        <v>63</v>
      </c>
      <c r="AC41" s="14">
        <v>0</v>
      </c>
      <c r="AD41" s="14">
        <v>1.5269247735061588E-2</v>
      </c>
      <c r="AE41" s="14">
        <v>0</v>
      </c>
      <c r="AF41" s="14">
        <v>0</v>
      </c>
      <c r="AG41" s="14">
        <v>1.5300137701239306E-2</v>
      </c>
      <c r="AH41" s="14">
        <v>0</v>
      </c>
      <c r="AI41" s="135">
        <v>1.8559379704287215E-3</v>
      </c>
      <c r="AJ41" s="14">
        <v>0</v>
      </c>
      <c r="AK41" s="137">
        <v>0</v>
      </c>
      <c r="AL41" s="14">
        <v>0</v>
      </c>
    </row>
    <row r="42" spans="2:38" x14ac:dyDescent="0.25">
      <c r="B42" s="73" t="s">
        <v>63</v>
      </c>
      <c r="C42" s="170">
        <v>5</v>
      </c>
      <c r="D42" s="169">
        <v>90</v>
      </c>
      <c r="E42" s="188">
        <f t="shared" ref="E42:E49" si="4">C42*(D42/100)/$D$50</f>
        <v>1.5269247735061588E-2</v>
      </c>
      <c r="G42" s="21"/>
      <c r="H42" s="79" t="s">
        <v>181</v>
      </c>
      <c r="I42" s="29"/>
      <c r="J42" s="25" t="s">
        <v>63</v>
      </c>
      <c r="K42" s="183"/>
      <c r="L42" s="182">
        <f>E42*100</f>
        <v>1.5269247735061589</v>
      </c>
      <c r="M42" s="181"/>
      <c r="N42" s="181"/>
      <c r="O42" s="182">
        <f>E89*100</f>
        <v>1.5300137701239307</v>
      </c>
      <c r="P42" s="181"/>
      <c r="Q42" s="139">
        <f>E104*100</f>
        <v>0.18559379704287216</v>
      </c>
      <c r="R42" s="181"/>
      <c r="S42" s="181"/>
      <c r="T42" s="181"/>
      <c r="V42" s="21"/>
      <c r="W42" s="27"/>
      <c r="X42" s="27"/>
      <c r="Y42" s="27"/>
      <c r="Z42" s="79" t="s">
        <v>139</v>
      </c>
      <c r="AA42" s="29"/>
      <c r="AB42" s="25" t="s">
        <v>64</v>
      </c>
      <c r="AC42" s="14">
        <v>0</v>
      </c>
      <c r="AD42" s="14">
        <v>0</v>
      </c>
      <c r="AE42" s="14">
        <v>0.1122894572676232</v>
      </c>
      <c r="AF42" s="14">
        <v>0.1645210221306056</v>
      </c>
      <c r="AG42" s="14">
        <v>0</v>
      </c>
      <c r="AH42" s="14">
        <v>0</v>
      </c>
      <c r="AI42" s="14">
        <v>0.39531478770131767</v>
      </c>
      <c r="AJ42" s="14">
        <v>0</v>
      </c>
      <c r="AK42" s="137">
        <v>0</v>
      </c>
      <c r="AL42" s="14">
        <v>0</v>
      </c>
    </row>
    <row r="43" spans="2:38" x14ac:dyDescent="0.25">
      <c r="B43" s="73" t="s">
        <v>64</v>
      </c>
      <c r="C43" s="173">
        <v>0</v>
      </c>
      <c r="D43" s="169">
        <v>90</v>
      </c>
      <c r="E43" s="189">
        <f t="shared" si="4"/>
        <v>0</v>
      </c>
      <c r="G43" s="21"/>
      <c r="H43" s="79" t="s">
        <v>139</v>
      </c>
      <c r="I43" s="29"/>
      <c r="J43" s="25" t="s">
        <v>64</v>
      </c>
      <c r="K43" s="183"/>
      <c r="L43" s="181"/>
      <c r="M43" s="180">
        <f>E120*100</f>
        <v>11.228945726762319</v>
      </c>
      <c r="N43" s="180">
        <f>E75*100</f>
        <v>16.452102213060559</v>
      </c>
      <c r="O43" s="181"/>
      <c r="P43" s="181"/>
      <c r="Q43" s="180">
        <f>E105*100</f>
        <v>39.53147877013177</v>
      </c>
      <c r="R43" s="181"/>
      <c r="S43" s="181"/>
      <c r="T43" s="181"/>
      <c r="V43" s="21"/>
      <c r="W43" s="27"/>
      <c r="X43" s="27"/>
      <c r="Y43" s="27"/>
      <c r="Z43" s="79"/>
      <c r="AA43" s="29" t="s">
        <v>31</v>
      </c>
      <c r="AB43" s="13" t="s">
        <v>79</v>
      </c>
      <c r="AC43" s="14">
        <v>5.4552615260855718E-2</v>
      </c>
      <c r="AD43" s="14">
        <v>0.16015744290997933</v>
      </c>
      <c r="AE43" s="14">
        <v>0.1543980037429819</v>
      </c>
      <c r="AF43" s="14">
        <v>0.16335420637081405</v>
      </c>
      <c r="AG43" s="14">
        <v>9.316083844754601E-2</v>
      </c>
      <c r="AH43" s="14">
        <v>8.6956521739130432E-2</v>
      </c>
      <c r="AI43" s="14">
        <v>0.11713030746705709</v>
      </c>
      <c r="AJ43" s="14">
        <v>0.10891089108910892</v>
      </c>
      <c r="AK43" s="137">
        <v>0.16766030564161308</v>
      </c>
      <c r="AL43" s="14">
        <v>0.15841584158415842</v>
      </c>
    </row>
    <row r="44" spans="2:38" x14ac:dyDescent="0.25">
      <c r="B44" s="73" t="s">
        <v>31</v>
      </c>
      <c r="C44" s="172">
        <v>118</v>
      </c>
      <c r="D44" s="180">
        <v>40</v>
      </c>
      <c r="E44" s="188">
        <f t="shared" si="4"/>
        <v>0.16015744290997933</v>
      </c>
      <c r="G44" s="21"/>
      <c r="H44" s="79"/>
      <c r="I44" s="29" t="s">
        <v>31</v>
      </c>
      <c r="J44" s="13" t="s">
        <v>79</v>
      </c>
      <c r="K44" s="15">
        <f t="shared" ref="K44:Q44" si="5">SUM(K45:K47)</f>
        <v>5.4552615260855717</v>
      </c>
      <c r="L44" s="176">
        <f t="shared" si="5"/>
        <v>16.015744290997933</v>
      </c>
      <c r="M44" s="176">
        <f t="shared" si="5"/>
        <v>15.439800374298191</v>
      </c>
      <c r="N44" s="176">
        <f t="shared" si="5"/>
        <v>16.335420637081405</v>
      </c>
      <c r="O44" s="15">
        <f t="shared" si="5"/>
        <v>9.3160838447546013</v>
      </c>
      <c r="P44" s="15">
        <f t="shared" si="5"/>
        <v>8.695652173913043</v>
      </c>
      <c r="Q44" s="176">
        <f t="shared" si="5"/>
        <v>11.713030746705709</v>
      </c>
      <c r="R44" s="176">
        <f>SUM(R45:R47)</f>
        <v>10.891089108910892</v>
      </c>
      <c r="S44" s="176">
        <f>SUM(S45:S47)</f>
        <v>16.766030564161309</v>
      </c>
      <c r="T44" s="176">
        <f>SUM(T45:T47)</f>
        <v>15.841584158415841</v>
      </c>
      <c r="V44" s="21"/>
      <c r="W44" s="27"/>
      <c r="X44" s="27"/>
      <c r="Y44" s="27"/>
      <c r="Z44" s="79" t="s">
        <v>31</v>
      </c>
      <c r="AA44" s="29"/>
      <c r="AB44" s="25" t="s">
        <v>75</v>
      </c>
      <c r="AC44" s="14">
        <v>5.4552615260855718E-2</v>
      </c>
      <c r="AD44" s="14">
        <v>0.16015744290997933</v>
      </c>
      <c r="AE44" s="14">
        <v>0.13880224578914535</v>
      </c>
      <c r="AF44" s="14">
        <v>0.147796662906927</v>
      </c>
      <c r="AG44" s="14">
        <v>9.316083844754601E-2</v>
      </c>
      <c r="AH44" s="14">
        <v>8.6956521739130432E-2</v>
      </c>
      <c r="AI44" s="14">
        <v>7.3412657496958314E-2</v>
      </c>
      <c r="AJ44" s="14">
        <v>0.10891089108910892</v>
      </c>
      <c r="AK44" s="137">
        <v>0.16766030564161308</v>
      </c>
      <c r="AL44" s="14">
        <v>0.11881188118811881</v>
      </c>
    </row>
    <row r="45" spans="2:38" x14ac:dyDescent="0.25">
      <c r="B45" s="73" t="s">
        <v>65</v>
      </c>
      <c r="C45" s="173">
        <v>0</v>
      </c>
      <c r="D45" s="169">
        <v>40</v>
      </c>
      <c r="E45" s="189">
        <f t="shared" si="4"/>
        <v>0</v>
      </c>
      <c r="G45" s="21"/>
      <c r="H45" s="79" t="s">
        <v>31</v>
      </c>
      <c r="I45" s="29"/>
      <c r="J45" s="25" t="s">
        <v>75</v>
      </c>
      <c r="K45" s="30">
        <f>CurrentGrids!F8*100</f>
        <v>5.4552615260855717</v>
      </c>
      <c r="L45" s="180">
        <f>E44*100</f>
        <v>16.015744290997933</v>
      </c>
      <c r="M45" s="180">
        <f>E121*100</f>
        <v>13.880224578914536</v>
      </c>
      <c r="N45" s="180">
        <f>E76*100</f>
        <v>14.779666290692701</v>
      </c>
      <c r="O45" s="182">
        <f>E91*100</f>
        <v>9.3160838447546013</v>
      </c>
      <c r="P45" s="182">
        <f>P161*100</f>
        <v>8.695652173913043</v>
      </c>
      <c r="Q45" s="182">
        <f>E106*100</f>
        <v>7.3412657496958316</v>
      </c>
      <c r="R45" s="180">
        <f>F27</f>
        <v>10.891089108910892</v>
      </c>
      <c r="S45" s="180">
        <f>E136*100</f>
        <v>16.766030564161309</v>
      </c>
      <c r="T45" s="180">
        <f>F59</f>
        <v>11.881188118811881</v>
      </c>
      <c r="V45" s="21"/>
      <c r="W45" s="27"/>
      <c r="X45" s="27"/>
      <c r="Y45" s="27"/>
      <c r="Z45" s="79" t="s">
        <v>167</v>
      </c>
      <c r="AA45" s="29"/>
      <c r="AB45" s="25" t="s">
        <v>34</v>
      </c>
      <c r="AC45" s="14">
        <v>0</v>
      </c>
      <c r="AD45" s="14">
        <v>0</v>
      </c>
      <c r="AE45" s="14">
        <v>0</v>
      </c>
      <c r="AF45" s="14">
        <v>0</v>
      </c>
      <c r="AG45" s="14">
        <v>0</v>
      </c>
      <c r="AH45" s="14">
        <v>0</v>
      </c>
      <c r="AI45" s="14">
        <v>0</v>
      </c>
      <c r="AJ45" s="14">
        <v>0</v>
      </c>
      <c r="AK45" s="137">
        <v>0</v>
      </c>
      <c r="AL45" s="14">
        <v>3.9603960396039604E-2</v>
      </c>
    </row>
    <row r="46" spans="2:38" x14ac:dyDescent="0.25">
      <c r="B46" s="73" t="s">
        <v>66</v>
      </c>
      <c r="C46" s="170">
        <v>7</v>
      </c>
      <c r="D46" s="169">
        <v>50</v>
      </c>
      <c r="E46" s="188">
        <f t="shared" si="4"/>
        <v>1.1876081571714568E-2</v>
      </c>
      <c r="G46" s="21"/>
      <c r="H46" s="79" t="s">
        <v>167</v>
      </c>
      <c r="I46" s="29"/>
      <c r="J46" s="25" t="s">
        <v>34</v>
      </c>
      <c r="K46" s="183"/>
      <c r="L46" s="181"/>
      <c r="M46" s="181"/>
      <c r="N46" s="181"/>
      <c r="O46" s="181"/>
      <c r="P46" s="181"/>
      <c r="Q46" s="181"/>
      <c r="R46" s="181"/>
      <c r="S46" s="181"/>
      <c r="T46" s="182">
        <f>F60</f>
        <v>3.9603960396039604</v>
      </c>
      <c r="V46" s="21"/>
      <c r="W46" s="27"/>
      <c r="X46" s="27"/>
      <c r="Y46" s="27"/>
      <c r="Z46" s="79" t="s">
        <v>182</v>
      </c>
      <c r="AA46" s="29"/>
      <c r="AB46" s="25" t="s">
        <v>77</v>
      </c>
      <c r="AC46" s="14">
        <v>0</v>
      </c>
      <c r="AD46" s="14">
        <v>0</v>
      </c>
      <c r="AE46" s="14">
        <v>1.5595757953836555E-2</v>
      </c>
      <c r="AF46" s="14">
        <v>1.5557543463887052E-2</v>
      </c>
      <c r="AG46" s="14">
        <v>0</v>
      </c>
      <c r="AH46" s="14">
        <v>0</v>
      </c>
      <c r="AI46" s="14">
        <v>4.3717649970098776E-2</v>
      </c>
      <c r="AJ46" s="14">
        <v>0</v>
      </c>
      <c r="AK46" s="137">
        <v>0</v>
      </c>
      <c r="AL46" s="14">
        <v>0</v>
      </c>
    </row>
    <row r="47" spans="2:38" x14ac:dyDescent="0.25">
      <c r="B47" s="73" t="s">
        <v>28</v>
      </c>
      <c r="C47" s="172">
        <v>116</v>
      </c>
      <c r="D47" s="169">
        <v>56</v>
      </c>
      <c r="E47" s="188">
        <f t="shared" si="4"/>
        <v>0.2204200739710224</v>
      </c>
      <c r="G47" s="21"/>
      <c r="H47" s="79" t="s">
        <v>182</v>
      </c>
      <c r="I47" s="29"/>
      <c r="J47" s="25" t="s">
        <v>77</v>
      </c>
      <c r="K47" s="183"/>
      <c r="L47" s="181"/>
      <c r="M47" s="182">
        <f>E122*100</f>
        <v>1.5595757953836555</v>
      </c>
      <c r="N47" s="182">
        <f>E77*100</f>
        <v>1.5557543463887051</v>
      </c>
      <c r="O47" s="181"/>
      <c r="P47" s="181"/>
      <c r="Q47" s="182">
        <f>E107*100</f>
        <v>4.371764997009878</v>
      </c>
      <c r="R47" s="181"/>
      <c r="S47" s="181"/>
      <c r="T47" s="181"/>
      <c r="V47" s="21"/>
      <c r="W47" s="27"/>
      <c r="X47" s="27"/>
      <c r="Y47" s="27"/>
      <c r="Z47" s="79" t="s">
        <v>28</v>
      </c>
      <c r="AA47" s="78" t="s">
        <v>28</v>
      </c>
      <c r="AB47" s="13" t="s">
        <v>79</v>
      </c>
      <c r="AC47" s="14">
        <v>0.1186855821280732</v>
      </c>
      <c r="AD47" s="14">
        <v>0.2204200739710224</v>
      </c>
      <c r="AE47" s="14">
        <v>0.25764192139737996</v>
      </c>
      <c r="AF47" s="14">
        <v>0.25265450585352572</v>
      </c>
      <c r="AG47" s="14">
        <v>0.15041735375618379</v>
      </c>
      <c r="AH47" s="14">
        <v>0.16291251964379255</v>
      </c>
      <c r="AI47" s="14">
        <v>0.18245932402614809</v>
      </c>
      <c r="AJ47" s="14">
        <v>8.9108910891089119E-2</v>
      </c>
      <c r="AK47" s="137">
        <v>0.1035120147874307</v>
      </c>
      <c r="AL47" s="14">
        <v>0.1089108910891089</v>
      </c>
    </row>
    <row r="48" spans="2:38" x14ac:dyDescent="0.25">
      <c r="B48" s="73" t="s">
        <v>5</v>
      </c>
      <c r="C48" s="169">
        <v>21</v>
      </c>
      <c r="D48" s="169">
        <v>95</v>
      </c>
      <c r="E48" s="188">
        <f t="shared" si="4"/>
        <v>6.7693664958773034E-2</v>
      </c>
      <c r="G48" s="21"/>
      <c r="H48" s="79" t="s">
        <v>28</v>
      </c>
      <c r="I48" s="78" t="s">
        <v>28</v>
      </c>
      <c r="J48" s="13" t="s">
        <v>79</v>
      </c>
      <c r="K48" s="184">
        <f>CurrentGrids!F12*100</f>
        <v>11.86855821280732</v>
      </c>
      <c r="L48" s="176">
        <f>E47*100</f>
        <v>22.042007397102239</v>
      </c>
      <c r="M48" s="176">
        <f>E124*100</f>
        <v>25.764192139737997</v>
      </c>
      <c r="N48" s="176">
        <f>E79*100</f>
        <v>25.265450585352571</v>
      </c>
      <c r="O48" s="176">
        <f>E94*100</f>
        <v>15.041735375618378</v>
      </c>
      <c r="P48" s="176">
        <f>P164*100</f>
        <v>16.291251964379256</v>
      </c>
      <c r="Q48" s="176">
        <f>E109*100</f>
        <v>18.245932402614809</v>
      </c>
      <c r="R48" s="15">
        <f>F29</f>
        <v>8.9108910891089117</v>
      </c>
      <c r="S48" s="176">
        <f>E135*100</f>
        <v>10.35120147874307</v>
      </c>
      <c r="T48" s="176">
        <f>F61+F66</f>
        <v>10.89108910891089</v>
      </c>
      <c r="V48" s="21"/>
      <c r="W48" s="27"/>
      <c r="X48" s="27"/>
      <c r="Y48" s="27"/>
      <c r="Z48" s="79"/>
      <c r="AA48" s="29" t="s">
        <v>48</v>
      </c>
      <c r="AB48" s="13" t="s">
        <v>79</v>
      </c>
      <c r="AC48" s="14">
        <v>1.9396168864904723E-2</v>
      </c>
      <c r="AD48" s="14">
        <v>0</v>
      </c>
      <c r="AE48" s="14">
        <v>0</v>
      </c>
      <c r="AF48" s="14">
        <v>0</v>
      </c>
      <c r="AG48" s="14">
        <v>0</v>
      </c>
      <c r="AH48" s="14">
        <v>0</v>
      </c>
      <c r="AI48" s="14">
        <v>0</v>
      </c>
      <c r="AJ48" s="14">
        <v>9.9009900990099011E-3</v>
      </c>
      <c r="AK48" s="137">
        <v>1.9525656712920777E-2</v>
      </c>
      <c r="AL48" s="14">
        <v>4.9504950495049507E-2</v>
      </c>
    </row>
    <row r="49" spans="2:38" x14ac:dyDescent="0.25">
      <c r="B49" s="73" t="s">
        <v>67</v>
      </c>
      <c r="C49" s="170">
        <v>4</v>
      </c>
      <c r="D49" s="169">
        <v>40</v>
      </c>
      <c r="E49" s="190">
        <f t="shared" si="4"/>
        <v>5.4290658613552313E-3</v>
      </c>
      <c r="G49" s="21"/>
      <c r="H49" s="79"/>
      <c r="I49" s="29" t="s">
        <v>48</v>
      </c>
      <c r="J49" s="13" t="s">
        <v>79</v>
      </c>
      <c r="K49" s="15">
        <f t="shared" ref="K49:T49" si="6">SUM(K50:K50)</f>
        <v>1.9396168864904721</v>
      </c>
      <c r="L49" s="177">
        <f t="shared" si="6"/>
        <v>0</v>
      </c>
      <c r="M49" s="177">
        <f t="shared" si="6"/>
        <v>0</v>
      </c>
      <c r="N49" s="177">
        <f t="shared" si="6"/>
        <v>0</v>
      </c>
      <c r="O49" s="177">
        <f t="shared" si="6"/>
        <v>0</v>
      </c>
      <c r="P49" s="177">
        <f t="shared" si="6"/>
        <v>0</v>
      </c>
      <c r="Q49" s="177">
        <f t="shared" si="6"/>
        <v>0</v>
      </c>
      <c r="R49" s="178">
        <f t="shared" si="6"/>
        <v>0.99009900990099009</v>
      </c>
      <c r="S49" s="15">
        <f t="shared" si="6"/>
        <v>1.9525656712920776</v>
      </c>
      <c r="T49" s="15">
        <f t="shared" si="6"/>
        <v>4.9504950495049505</v>
      </c>
      <c r="V49" s="21"/>
      <c r="W49" s="21"/>
      <c r="X49" s="21"/>
      <c r="Y49" s="21"/>
      <c r="Z49" s="79" t="s">
        <v>8</v>
      </c>
      <c r="AA49" s="29"/>
      <c r="AB49" s="25" t="s">
        <v>8</v>
      </c>
      <c r="AC49" s="14">
        <v>1.8274983659856876E-2</v>
      </c>
      <c r="AD49" s="14">
        <v>0</v>
      </c>
      <c r="AE49" s="14">
        <v>0</v>
      </c>
      <c r="AF49" s="14">
        <v>0</v>
      </c>
      <c r="AG49" s="14">
        <v>0</v>
      </c>
      <c r="AH49" s="14">
        <v>0</v>
      </c>
      <c r="AI49" s="14">
        <v>0</v>
      </c>
      <c r="AJ49" s="14">
        <v>9.9009900990099011E-3</v>
      </c>
      <c r="AK49" s="137">
        <v>1.9525656712920777E-2</v>
      </c>
      <c r="AL49" s="14">
        <v>4.9504950495049507E-2</v>
      </c>
    </row>
    <row r="50" spans="2:38" x14ac:dyDescent="0.25">
      <c r="B50" s="17" t="s">
        <v>253</v>
      </c>
      <c r="C50" s="74" t="s">
        <v>252</v>
      </c>
      <c r="D50" s="174">
        <f>SUMPRODUCT(C41:C49, (D41:D49)/100)</f>
        <v>294.70999999999998</v>
      </c>
      <c r="E50" s="191">
        <f>SUM(E41:E49)</f>
        <v>1</v>
      </c>
      <c r="G50" s="21"/>
      <c r="H50" s="79" t="s">
        <v>8</v>
      </c>
      <c r="I50" s="29"/>
      <c r="J50" s="25" t="s">
        <v>8</v>
      </c>
      <c r="K50" s="30">
        <f>(CurrentGrids!F9+CurrentGrids!F10)*100</f>
        <v>1.9396168864904721</v>
      </c>
      <c r="L50" s="181"/>
      <c r="M50" s="181"/>
      <c r="N50" s="181"/>
      <c r="O50" s="181"/>
      <c r="P50" s="181"/>
      <c r="Q50" s="181"/>
      <c r="R50" s="139">
        <f>F30</f>
        <v>0.99009900990099009</v>
      </c>
      <c r="S50" s="182">
        <f>E137*100</f>
        <v>1.9525656712920776</v>
      </c>
      <c r="T50" s="182">
        <f>F62+F63</f>
        <v>4.9504950495049505</v>
      </c>
      <c r="V50" s="21"/>
      <c r="W50" s="21"/>
      <c r="X50" s="21"/>
      <c r="Y50" s="21"/>
      <c r="Z50" s="79"/>
      <c r="AA50" s="29"/>
      <c r="AB50" s="25" t="s">
        <v>10</v>
      </c>
      <c r="AC50" s="14">
        <v>1.1211852050478472E-3</v>
      </c>
      <c r="AD50" s="14">
        <v>0</v>
      </c>
      <c r="AE50" s="14">
        <v>0</v>
      </c>
      <c r="AF50" s="14">
        <v>0</v>
      </c>
      <c r="AG50" s="14">
        <v>0</v>
      </c>
      <c r="AH50" s="14">
        <v>0</v>
      </c>
      <c r="AI50" s="14">
        <v>0</v>
      </c>
      <c r="AJ50" s="14">
        <v>0</v>
      </c>
      <c r="AK50" s="137">
        <v>0</v>
      </c>
      <c r="AL50" s="14">
        <v>0</v>
      </c>
    </row>
    <row r="51" spans="2:38" x14ac:dyDescent="0.25">
      <c r="B51" s="12" t="s">
        <v>256</v>
      </c>
      <c r="G51" s="21"/>
      <c r="H51" s="79"/>
      <c r="I51" s="29" t="s">
        <v>67</v>
      </c>
      <c r="J51" s="13" t="s">
        <v>79</v>
      </c>
      <c r="K51" s="15">
        <f t="shared" ref="K51:T51" si="7">SUM(K52:K54)</f>
        <v>3.0933985821783505</v>
      </c>
      <c r="L51" s="178">
        <f t="shared" si="7"/>
        <v>0.54290658613552312</v>
      </c>
      <c r="M51" s="15">
        <f t="shared" si="7"/>
        <v>1.871490954460387</v>
      </c>
      <c r="N51" s="178">
        <f t="shared" si="7"/>
        <v>0.6223017385554821</v>
      </c>
      <c r="O51" s="178">
        <f t="shared" si="7"/>
        <v>0.27200244802203216</v>
      </c>
      <c r="P51" s="15">
        <f t="shared" si="7"/>
        <v>3.9811419591409116</v>
      </c>
      <c r="Q51" s="178">
        <f t="shared" si="7"/>
        <v>0.32994452807621716</v>
      </c>
      <c r="R51" s="15">
        <f t="shared" si="7"/>
        <v>2.9702970297029703</v>
      </c>
      <c r="S51" s="176">
        <f t="shared" si="7"/>
        <v>51.638853453437818</v>
      </c>
      <c r="T51" s="176">
        <f t="shared" si="7"/>
        <v>22.772277227722775</v>
      </c>
      <c r="Z51" s="79"/>
      <c r="AA51" s="29"/>
      <c r="AB51" s="25" t="s">
        <v>49</v>
      </c>
      <c r="AC51" s="14">
        <v>0</v>
      </c>
      <c r="AD51" s="14">
        <v>0</v>
      </c>
      <c r="AE51" s="14">
        <v>0</v>
      </c>
      <c r="AF51" s="14">
        <v>0</v>
      </c>
      <c r="AG51" s="14">
        <v>0</v>
      </c>
      <c r="AH51" s="14">
        <v>5.2383446830801469E-4</v>
      </c>
      <c r="AI51" s="14">
        <v>0</v>
      </c>
      <c r="AJ51" s="14">
        <v>0</v>
      </c>
      <c r="AK51" s="137">
        <v>0</v>
      </c>
      <c r="AL51" s="14">
        <v>0</v>
      </c>
    </row>
    <row r="52" spans="2:38" x14ac:dyDescent="0.25">
      <c r="G52" s="21"/>
      <c r="H52" s="79" t="s">
        <v>49</v>
      </c>
      <c r="I52" s="29"/>
      <c r="J52" s="25" t="s">
        <v>49</v>
      </c>
      <c r="K52" s="183">
        <f>CurrentGrids!F13*100</f>
        <v>0</v>
      </c>
      <c r="L52" s="181"/>
      <c r="M52" s="181"/>
      <c r="N52" s="181"/>
      <c r="O52" s="181"/>
      <c r="P52" s="139">
        <f>P166*100</f>
        <v>5.2383446830801469E-2</v>
      </c>
      <c r="Q52" s="181"/>
      <c r="R52" s="181"/>
      <c r="S52" s="181"/>
      <c r="T52" s="181"/>
      <c r="Z52" s="79" t="s">
        <v>6</v>
      </c>
      <c r="AA52" s="29"/>
      <c r="AB52" s="25" t="s">
        <v>6</v>
      </c>
      <c r="AC52" s="14">
        <v>2.8057282676096466E-2</v>
      </c>
      <c r="AD52" s="14">
        <v>0</v>
      </c>
      <c r="AE52" s="14">
        <v>0</v>
      </c>
      <c r="AF52" s="14">
        <v>0</v>
      </c>
      <c r="AG52" s="14">
        <v>0</v>
      </c>
      <c r="AH52" s="14">
        <v>2.3572551073860661E-2</v>
      </c>
      <c r="AI52" s="14">
        <v>0</v>
      </c>
      <c r="AJ52" s="14">
        <v>1.9801980198019802E-2</v>
      </c>
      <c r="AK52" s="137">
        <v>8.9427507745177159E-2</v>
      </c>
      <c r="AL52" s="14">
        <v>4.9504950495049507E-2</v>
      </c>
    </row>
    <row r="53" spans="2:38" x14ac:dyDescent="0.25">
      <c r="B53" s="20" t="s">
        <v>54</v>
      </c>
      <c r="G53" s="23"/>
      <c r="H53" s="79" t="s">
        <v>6</v>
      </c>
      <c r="I53" s="29"/>
      <c r="J53" s="25" t="s">
        <v>6</v>
      </c>
      <c r="K53" s="30">
        <f>CurrentGrids!F16*100</f>
        <v>2.8057282676096467</v>
      </c>
      <c r="L53" s="181"/>
      <c r="M53" s="181"/>
      <c r="N53" s="181"/>
      <c r="O53" s="181"/>
      <c r="P53" s="182">
        <f>P165*100</f>
        <v>2.3572551073860661</v>
      </c>
      <c r="Q53" s="181"/>
      <c r="R53" s="182">
        <f>F33</f>
        <v>1.9801980198019802</v>
      </c>
      <c r="S53" s="182">
        <f>E132*100</f>
        <v>8.9427507745177159</v>
      </c>
      <c r="T53" s="182">
        <f>F65</f>
        <v>4.9504950495049505</v>
      </c>
      <c r="Z53" s="79"/>
      <c r="AA53" s="29"/>
      <c r="AB53" s="25" t="s">
        <v>50</v>
      </c>
      <c r="AC53" s="14">
        <v>0</v>
      </c>
      <c r="AD53" s="14">
        <v>0</v>
      </c>
      <c r="AE53" s="14">
        <v>0</v>
      </c>
      <c r="AF53" s="14">
        <v>0</v>
      </c>
      <c r="AG53" s="14">
        <v>0</v>
      </c>
      <c r="AH53" s="14">
        <v>0</v>
      </c>
      <c r="AI53" s="14">
        <v>0</v>
      </c>
      <c r="AJ53" s="14">
        <v>0</v>
      </c>
      <c r="AK53" s="137">
        <v>0</v>
      </c>
      <c r="AL53" s="14">
        <v>0</v>
      </c>
    </row>
    <row r="54" spans="2:38" x14ac:dyDescent="0.25">
      <c r="B54" s="72" t="s">
        <v>1</v>
      </c>
      <c r="C54" s="72" t="s">
        <v>40</v>
      </c>
      <c r="D54" s="72" t="s">
        <v>41</v>
      </c>
      <c r="E54" s="72" t="s">
        <v>52</v>
      </c>
      <c r="F54" s="72" t="s">
        <v>109</v>
      </c>
      <c r="H54" s="81" t="s">
        <v>32</v>
      </c>
      <c r="I54" s="29"/>
      <c r="J54" s="25" t="s">
        <v>32</v>
      </c>
      <c r="K54" s="185">
        <f>SUM(CurrentGrids!F14:F15)*100</f>
        <v>0.28767031456870401</v>
      </c>
      <c r="L54" s="139">
        <f>E49*100</f>
        <v>0.54290658613552312</v>
      </c>
      <c r="M54" s="182">
        <f>E126*100</f>
        <v>1.871490954460387</v>
      </c>
      <c r="N54" s="139">
        <f>E81*100</f>
        <v>0.6223017385554821</v>
      </c>
      <c r="O54" s="139">
        <f>E96*100</f>
        <v>0.27200244802203216</v>
      </c>
      <c r="P54" s="182">
        <f>P167*100+P168*100</f>
        <v>1.5715034049240439</v>
      </c>
      <c r="Q54" s="139">
        <f>E111*100</f>
        <v>0.32994452807621716</v>
      </c>
      <c r="R54" s="139">
        <f>F35</f>
        <v>0.99009900990099009</v>
      </c>
      <c r="S54" s="180">
        <f>E133*100</f>
        <v>42.696102678920099</v>
      </c>
      <c r="T54" s="180">
        <f>F67</f>
        <v>17.821782178217823</v>
      </c>
      <c r="Z54" s="82"/>
      <c r="AA54" s="29"/>
      <c r="AB54" s="25" t="s">
        <v>29</v>
      </c>
      <c r="AC54" s="14">
        <v>0</v>
      </c>
      <c r="AD54" s="14">
        <v>0</v>
      </c>
      <c r="AE54" s="14">
        <v>0</v>
      </c>
      <c r="AF54" s="14">
        <v>0</v>
      </c>
      <c r="AG54" s="14">
        <v>0</v>
      </c>
      <c r="AH54" s="14">
        <v>0</v>
      </c>
      <c r="AI54" s="14">
        <v>0</v>
      </c>
      <c r="AJ54" s="14">
        <v>0</v>
      </c>
      <c r="AK54" s="137">
        <v>0</v>
      </c>
      <c r="AL54" s="14">
        <v>0</v>
      </c>
    </row>
    <row r="55" spans="2:38" x14ac:dyDescent="0.25">
      <c r="B55" s="73" t="s">
        <v>5</v>
      </c>
      <c r="C55" s="169">
        <v>27</v>
      </c>
      <c r="D55" s="172">
        <v>122</v>
      </c>
      <c r="E55" s="169">
        <v>95</v>
      </c>
      <c r="F55" s="169">
        <f t="shared" ref="F55:F67" si="8">C55-(C55*($C$68-100)/101)</f>
        <v>26.732673267326732</v>
      </c>
      <c r="G55" s="20"/>
      <c r="H55" s="82"/>
      <c r="I55" s="29" t="s">
        <v>80</v>
      </c>
      <c r="J55" s="29"/>
      <c r="K55" s="186">
        <f>SUM(K$37:K$39,K$44,K$48:K$49,K$51)</f>
        <v>100.00000000000001</v>
      </c>
      <c r="L55" s="186">
        <f t="shared" ref="L55:T55" si="9">SUM(L$37:L$39,L$44,L$48:L$49,L$51)</f>
        <v>100.00000000000001</v>
      </c>
      <c r="M55" s="186">
        <f t="shared" si="9"/>
        <v>100</v>
      </c>
      <c r="N55" s="184">
        <f t="shared" si="9"/>
        <v>99.999999999999986</v>
      </c>
      <c r="O55" s="187">
        <f t="shared" si="9"/>
        <v>99.999999999999972</v>
      </c>
      <c r="P55" s="186">
        <f t="shared" si="9"/>
        <v>100.00000000000001</v>
      </c>
      <c r="Q55" s="184">
        <f t="shared" si="9"/>
        <v>99.999999999999986</v>
      </c>
      <c r="R55" s="186">
        <f t="shared" si="9"/>
        <v>100</v>
      </c>
      <c r="S55" s="186">
        <f t="shared" si="9"/>
        <v>100</v>
      </c>
      <c r="T55" s="186">
        <f t="shared" si="9"/>
        <v>100</v>
      </c>
      <c r="Z55" s="82"/>
      <c r="AA55" s="29"/>
      <c r="AB55" s="29"/>
      <c r="AC55" s="87"/>
      <c r="AD55" s="88"/>
      <c r="AE55" s="88"/>
      <c r="AF55" s="88"/>
      <c r="AG55" s="88"/>
      <c r="AH55" s="88"/>
      <c r="AI55" s="88"/>
      <c r="AJ55" s="88"/>
      <c r="AK55" s="138"/>
      <c r="AL55" s="88"/>
    </row>
    <row r="56" spans="2:38" ht="18.75" x14ac:dyDescent="0.25">
      <c r="B56" s="73" t="s">
        <v>7</v>
      </c>
      <c r="C56" s="170">
        <v>1</v>
      </c>
      <c r="D56" s="170">
        <v>7</v>
      </c>
      <c r="E56" s="169">
        <v>50</v>
      </c>
      <c r="F56" s="171">
        <f t="shared" si="8"/>
        <v>0.99009900990099009</v>
      </c>
      <c r="G56" s="24"/>
      <c r="H56" s="82"/>
      <c r="I56" s="83" t="s">
        <v>435</v>
      </c>
      <c r="J56" s="83"/>
      <c r="K56" s="196">
        <v>0.26</v>
      </c>
      <c r="L56" s="196">
        <v>0.26</v>
      </c>
      <c r="M56" s="196">
        <v>0.22500000000000001</v>
      </c>
      <c r="N56" s="196">
        <v>0.22500000000000001</v>
      </c>
      <c r="O56" s="196">
        <v>0.23</v>
      </c>
      <c r="P56" s="196">
        <v>0.2</v>
      </c>
      <c r="Q56" s="196">
        <v>0.2</v>
      </c>
      <c r="R56" s="196">
        <v>0.15</v>
      </c>
      <c r="S56" s="196">
        <v>0.15</v>
      </c>
      <c r="T56" s="196">
        <v>0.15</v>
      </c>
      <c r="Z56" s="82"/>
      <c r="AA56" s="83" t="s">
        <v>258</v>
      </c>
      <c r="AB56" s="83"/>
      <c r="AC56" s="136">
        <v>0.257738674104112</v>
      </c>
      <c r="AD56" s="136">
        <v>0.257738674104112</v>
      </c>
      <c r="AE56" s="15">
        <v>0.22500000000000001</v>
      </c>
      <c r="AF56" s="15">
        <v>0.22500000000000001</v>
      </c>
      <c r="AG56" s="15">
        <v>0.2</v>
      </c>
      <c r="AH56" s="15">
        <v>0.2</v>
      </c>
      <c r="AI56" s="15">
        <v>0.2</v>
      </c>
      <c r="AJ56" s="15">
        <v>0.15</v>
      </c>
      <c r="AK56" s="138">
        <v>0.15</v>
      </c>
      <c r="AL56" s="15">
        <v>0.15</v>
      </c>
    </row>
    <row r="57" spans="2:38" ht="15.75" customHeight="1" x14ac:dyDescent="0.25">
      <c r="B57" s="73" t="s">
        <v>27</v>
      </c>
      <c r="C57" s="170">
        <v>2</v>
      </c>
      <c r="D57" s="170">
        <v>7</v>
      </c>
      <c r="E57" s="169">
        <v>90</v>
      </c>
      <c r="F57" s="170">
        <f t="shared" si="8"/>
        <v>1.9801980198019802</v>
      </c>
      <c r="G57" s="24"/>
      <c r="H57" s="259" t="s">
        <v>436</v>
      </c>
      <c r="I57" s="259"/>
      <c r="J57" s="259"/>
      <c r="K57" s="259"/>
      <c r="L57" s="259"/>
      <c r="M57" s="259"/>
      <c r="N57" s="259"/>
      <c r="O57" s="259"/>
      <c r="P57" s="259"/>
      <c r="Q57" s="259"/>
      <c r="R57" s="259"/>
      <c r="S57" s="259"/>
      <c r="T57" s="259"/>
    </row>
    <row r="58" spans="2:38" x14ac:dyDescent="0.25">
      <c r="B58" s="73" t="s">
        <v>33</v>
      </c>
      <c r="C58" s="169">
        <v>16</v>
      </c>
      <c r="D58" s="169">
        <v>77</v>
      </c>
      <c r="E58" s="169">
        <v>90</v>
      </c>
      <c r="F58" s="169">
        <f t="shared" si="8"/>
        <v>15.841584158415841</v>
      </c>
      <c r="G58" s="24"/>
      <c r="H58" s="260"/>
      <c r="I58" s="260"/>
      <c r="J58" s="260"/>
      <c r="K58" s="260"/>
      <c r="L58" s="260"/>
      <c r="M58" s="260"/>
      <c r="N58" s="260"/>
      <c r="O58" s="260"/>
      <c r="P58" s="260"/>
      <c r="Q58" s="260"/>
      <c r="R58" s="260"/>
      <c r="S58" s="260"/>
      <c r="T58" s="260"/>
    </row>
    <row r="59" spans="2:38" x14ac:dyDescent="0.25">
      <c r="B59" s="73" t="s">
        <v>31</v>
      </c>
      <c r="C59" s="169">
        <v>12</v>
      </c>
      <c r="D59" s="172">
        <v>133</v>
      </c>
      <c r="E59" s="169">
        <v>40</v>
      </c>
      <c r="F59" s="169">
        <f t="shared" si="8"/>
        <v>11.881188118811881</v>
      </c>
      <c r="G59" s="24"/>
      <c r="H59" s="140"/>
      <c r="I59" s="140"/>
      <c r="J59" s="140"/>
      <c r="K59" s="140"/>
      <c r="L59" s="140"/>
      <c r="M59" s="140"/>
      <c r="N59" s="140"/>
      <c r="O59" s="140"/>
      <c r="P59" s="140"/>
      <c r="Q59" s="140"/>
      <c r="R59" s="27"/>
      <c r="S59" s="27"/>
      <c r="T59" s="27"/>
    </row>
    <row r="60" spans="2:38" x14ac:dyDescent="0.25">
      <c r="B60" s="73" t="s">
        <v>34</v>
      </c>
      <c r="C60" s="170">
        <v>4</v>
      </c>
      <c r="D60" s="169">
        <v>27</v>
      </c>
      <c r="E60" s="169">
        <v>65</v>
      </c>
      <c r="F60" s="170">
        <f t="shared" si="8"/>
        <v>3.9603960396039604</v>
      </c>
      <c r="G60" s="24"/>
      <c r="H60" s="140"/>
      <c r="I60" s="140"/>
      <c r="J60" s="140"/>
      <c r="K60" s="140"/>
      <c r="L60" s="140"/>
      <c r="M60" s="140"/>
      <c r="N60" s="140"/>
      <c r="O60" s="140"/>
      <c r="P60" s="140"/>
      <c r="Q60" s="140"/>
      <c r="R60" s="27"/>
      <c r="S60" s="27"/>
      <c r="T60" s="27"/>
    </row>
    <row r="61" spans="2:38" x14ac:dyDescent="0.25">
      <c r="B61" s="73" t="s">
        <v>28</v>
      </c>
      <c r="C61" s="169">
        <v>10</v>
      </c>
      <c r="D61" s="169">
        <v>76</v>
      </c>
      <c r="E61" s="169">
        <v>56</v>
      </c>
      <c r="F61" s="170">
        <f t="shared" si="8"/>
        <v>9.9009900990099009</v>
      </c>
      <c r="G61" s="24"/>
      <c r="H61" s="140"/>
      <c r="I61" s="140"/>
      <c r="J61" s="140"/>
      <c r="K61" s="140"/>
      <c r="L61" s="140"/>
      <c r="M61" s="140"/>
      <c r="N61" s="140"/>
      <c r="O61" s="140"/>
      <c r="P61" s="140"/>
      <c r="Q61" s="140"/>
      <c r="R61" s="27"/>
      <c r="S61" s="27"/>
      <c r="T61" s="27"/>
    </row>
    <row r="62" spans="2:38" x14ac:dyDescent="0.25">
      <c r="B62" s="73" t="s">
        <v>48</v>
      </c>
      <c r="C62" s="170">
        <v>4</v>
      </c>
      <c r="D62" s="169">
        <v>32</v>
      </c>
      <c r="E62" s="169">
        <v>50</v>
      </c>
      <c r="F62" s="170">
        <f t="shared" si="8"/>
        <v>3.9603960396039604</v>
      </c>
      <c r="G62" s="24"/>
      <c r="H62" s="140"/>
      <c r="I62" s="140"/>
      <c r="J62" s="140"/>
      <c r="K62" s="140"/>
      <c r="L62" s="140"/>
      <c r="M62" s="140"/>
      <c r="N62" s="140"/>
      <c r="O62" s="140"/>
      <c r="P62" s="140"/>
      <c r="Q62" s="140"/>
      <c r="R62" s="27"/>
      <c r="S62" s="27"/>
      <c r="T62" s="27"/>
    </row>
    <row r="63" spans="2:38" x14ac:dyDescent="0.25">
      <c r="B63" s="73" t="s">
        <v>51</v>
      </c>
      <c r="C63" s="170">
        <v>1</v>
      </c>
      <c r="D63" s="170">
        <v>3</v>
      </c>
      <c r="E63" s="169">
        <v>65</v>
      </c>
      <c r="F63" s="171">
        <f t="shared" si="8"/>
        <v>0.99009900990099009</v>
      </c>
      <c r="G63" s="24"/>
      <c r="H63" s="140"/>
      <c r="I63" s="140"/>
      <c r="J63" s="140"/>
      <c r="K63" s="140"/>
      <c r="L63" s="140"/>
      <c r="M63" s="140"/>
      <c r="N63" s="140"/>
      <c r="O63" s="140"/>
      <c r="P63" s="140"/>
      <c r="Q63" s="140"/>
      <c r="R63" s="27"/>
      <c r="S63" s="27"/>
      <c r="T63" s="27"/>
    </row>
    <row r="64" spans="2:38" x14ac:dyDescent="0.25">
      <c r="B64" s="73" t="s">
        <v>49</v>
      </c>
      <c r="C64" s="173">
        <v>0</v>
      </c>
      <c r="D64" s="170">
        <v>2</v>
      </c>
      <c r="E64" s="169">
        <v>85</v>
      </c>
      <c r="F64" s="173">
        <f t="shared" si="8"/>
        <v>0</v>
      </c>
      <c r="G64" s="24"/>
      <c r="H64" s="140"/>
      <c r="I64" s="140"/>
      <c r="J64" s="140"/>
      <c r="K64" s="140"/>
      <c r="L64" s="140"/>
      <c r="M64" s="140"/>
      <c r="N64" s="140"/>
      <c r="O64" s="140"/>
      <c r="P64" s="140"/>
      <c r="Q64" s="140"/>
      <c r="R64" s="27"/>
      <c r="S64" s="27"/>
      <c r="T64" s="27"/>
    </row>
    <row r="65" spans="2:21" x14ac:dyDescent="0.25">
      <c r="B65" s="73" t="s">
        <v>6</v>
      </c>
      <c r="C65" s="170">
        <v>5</v>
      </c>
      <c r="D65" s="169">
        <v>66</v>
      </c>
      <c r="E65" s="169">
        <v>30</v>
      </c>
      <c r="F65" s="170">
        <f t="shared" si="8"/>
        <v>4.9504950495049505</v>
      </c>
      <c r="G65" s="24"/>
      <c r="H65" s="24"/>
    </row>
    <row r="66" spans="2:21" x14ac:dyDescent="0.25">
      <c r="B66" s="73" t="s">
        <v>50</v>
      </c>
      <c r="C66" s="170">
        <v>1</v>
      </c>
      <c r="D66" s="170">
        <v>5</v>
      </c>
      <c r="E66" s="169">
        <v>50</v>
      </c>
      <c r="F66" s="171">
        <f t="shared" si="8"/>
        <v>0.99009900990099009</v>
      </c>
      <c r="G66" s="24"/>
      <c r="H66" s="24"/>
      <c r="I66" s="26"/>
      <c r="K66" s="28"/>
      <c r="L66" s="22"/>
      <c r="M66" s="22"/>
      <c r="N66" s="22"/>
      <c r="O66" s="22"/>
      <c r="P66" s="22"/>
      <c r="Q66" s="22"/>
      <c r="R66" s="22"/>
      <c r="S66" s="22"/>
      <c r="T66" s="22"/>
      <c r="U66" s="22"/>
    </row>
    <row r="67" spans="2:21" x14ac:dyDescent="0.25">
      <c r="B67" s="73" t="s">
        <v>32</v>
      </c>
      <c r="C67" s="169">
        <v>18</v>
      </c>
      <c r="D67" s="172">
        <v>191</v>
      </c>
      <c r="E67" s="169">
        <v>41</v>
      </c>
      <c r="F67" s="169">
        <f t="shared" si="8"/>
        <v>17.821782178217823</v>
      </c>
      <c r="G67" s="24"/>
      <c r="H67" s="24"/>
      <c r="I67" s="26"/>
      <c r="K67" s="28"/>
    </row>
    <row r="68" spans="2:21" x14ac:dyDescent="0.25">
      <c r="B68" s="74" t="s">
        <v>68</v>
      </c>
      <c r="C68" s="174">
        <f>SUM(C55:C67)</f>
        <v>101</v>
      </c>
      <c r="D68" s="174">
        <f>SUM(D55:D67)</f>
        <v>748</v>
      </c>
      <c r="E68" s="75" t="s">
        <v>251</v>
      </c>
      <c r="F68" s="174">
        <f>SUM(F55:F67)</f>
        <v>100</v>
      </c>
      <c r="G68" s="24"/>
      <c r="H68" s="26"/>
      <c r="K68" s="28"/>
    </row>
    <row r="69" spans="2:21" x14ac:dyDescent="0.25">
      <c r="B69" s="17" t="s">
        <v>250</v>
      </c>
      <c r="K69" s="28"/>
    </row>
    <row r="70" spans="2:21" x14ac:dyDescent="0.25">
      <c r="K70" s="28"/>
    </row>
    <row r="71" spans="2:21" x14ac:dyDescent="0.25">
      <c r="B71" s="20" t="s">
        <v>69</v>
      </c>
      <c r="K71" s="28"/>
    </row>
    <row r="72" spans="2:21" x14ac:dyDescent="0.25">
      <c r="B72" s="72" t="s">
        <v>1</v>
      </c>
      <c r="C72" s="72" t="s">
        <v>41</v>
      </c>
      <c r="D72" s="72" t="s">
        <v>255</v>
      </c>
      <c r="E72" s="72" t="s">
        <v>40</v>
      </c>
      <c r="F72" s="20"/>
      <c r="K72" s="28"/>
    </row>
    <row r="73" spans="2:21" x14ac:dyDescent="0.25">
      <c r="B73" s="73" t="s">
        <v>62</v>
      </c>
      <c r="C73" s="169">
        <v>92</v>
      </c>
      <c r="D73" s="169">
        <v>90</v>
      </c>
      <c r="E73" s="65">
        <f t="shared" ref="E73:E81" si="10">C73*(D73/100)/$D$82</f>
        <v>0.32204114970246195</v>
      </c>
      <c r="F73" s="26"/>
      <c r="K73" s="28"/>
    </row>
    <row r="74" spans="2:21" x14ac:dyDescent="0.25">
      <c r="B74" s="73" t="s">
        <v>63</v>
      </c>
      <c r="C74" s="173">
        <v>0</v>
      </c>
      <c r="D74" s="169">
        <v>90</v>
      </c>
      <c r="E74" s="65">
        <f t="shared" si="10"/>
        <v>0</v>
      </c>
      <c r="F74" s="26"/>
      <c r="K74" s="28"/>
    </row>
    <row r="75" spans="2:21" x14ac:dyDescent="0.25">
      <c r="B75" s="73" t="s">
        <v>64</v>
      </c>
      <c r="C75" s="169">
        <v>47</v>
      </c>
      <c r="D75" s="169">
        <v>90</v>
      </c>
      <c r="E75" s="65">
        <f t="shared" si="10"/>
        <v>0.1645210221306056</v>
      </c>
      <c r="F75" s="26"/>
      <c r="K75" s="28"/>
    </row>
    <row r="76" spans="2:21" x14ac:dyDescent="0.25">
      <c r="B76" s="73" t="s">
        <v>31</v>
      </c>
      <c r="C76" s="169">
        <v>95</v>
      </c>
      <c r="D76" s="180">
        <v>40</v>
      </c>
      <c r="E76" s="65">
        <f t="shared" si="10"/>
        <v>0.147796662906927</v>
      </c>
      <c r="F76" s="26"/>
      <c r="K76" s="28"/>
    </row>
    <row r="77" spans="2:21" x14ac:dyDescent="0.25">
      <c r="B77" s="73" t="s">
        <v>65</v>
      </c>
      <c r="C77" s="169">
        <v>10</v>
      </c>
      <c r="D77" s="169">
        <v>40</v>
      </c>
      <c r="E77" s="65">
        <f t="shared" si="10"/>
        <v>1.5557543463887052E-2</v>
      </c>
      <c r="F77" s="26"/>
      <c r="K77" s="28"/>
    </row>
    <row r="78" spans="2:21" x14ac:dyDescent="0.25">
      <c r="B78" s="73" t="s">
        <v>66</v>
      </c>
      <c r="C78" s="170">
        <v>7</v>
      </c>
      <c r="D78" s="169">
        <v>50</v>
      </c>
      <c r="E78" s="65">
        <f t="shared" si="10"/>
        <v>1.361285053090117E-2</v>
      </c>
      <c r="F78" s="26"/>
      <c r="K78" s="28"/>
    </row>
    <row r="79" spans="2:21" x14ac:dyDescent="0.25">
      <c r="B79" s="73" t="s">
        <v>28</v>
      </c>
      <c r="C79" s="172">
        <v>116</v>
      </c>
      <c r="D79" s="169">
        <v>56</v>
      </c>
      <c r="E79" s="65">
        <f t="shared" si="10"/>
        <v>0.25265450585352572</v>
      </c>
      <c r="F79" s="26"/>
      <c r="K79" s="28"/>
    </row>
    <row r="80" spans="2:21" x14ac:dyDescent="0.25">
      <c r="B80" s="73" t="s">
        <v>5</v>
      </c>
      <c r="C80" s="169">
        <v>21</v>
      </c>
      <c r="D80" s="169">
        <v>95</v>
      </c>
      <c r="E80" s="65">
        <f t="shared" si="10"/>
        <v>7.7593248026136666E-2</v>
      </c>
      <c r="F80" s="26"/>
      <c r="K80" s="28"/>
    </row>
    <row r="81" spans="2:11" x14ac:dyDescent="0.25">
      <c r="B81" s="73" t="s">
        <v>67</v>
      </c>
      <c r="C81" s="170">
        <v>4</v>
      </c>
      <c r="D81" s="169">
        <v>40</v>
      </c>
      <c r="E81" s="65">
        <f t="shared" si="10"/>
        <v>6.2230173855548207E-3</v>
      </c>
      <c r="F81" s="26"/>
      <c r="K81" s="28"/>
    </row>
    <row r="82" spans="2:11" x14ac:dyDescent="0.25">
      <c r="B82" s="17" t="s">
        <v>253</v>
      </c>
      <c r="C82" s="74" t="s">
        <v>252</v>
      </c>
      <c r="D82" s="174">
        <f>SUMPRODUCT(C73:C81,(D73:D81)/100)</f>
        <v>257.11</v>
      </c>
      <c r="E82" s="77">
        <f>SUM(E73:E81)</f>
        <v>1</v>
      </c>
      <c r="F82" s="26"/>
      <c r="K82" s="28"/>
    </row>
    <row r="83" spans="2:11" x14ac:dyDescent="0.25">
      <c r="B83" s="12" t="s">
        <v>256</v>
      </c>
      <c r="F83" s="26"/>
      <c r="K83" s="28"/>
    </row>
    <row r="84" spans="2:11" x14ac:dyDescent="0.25">
      <c r="K84" s="28"/>
    </row>
    <row r="85" spans="2:11" x14ac:dyDescent="0.25">
      <c r="K85" s="28"/>
    </row>
    <row r="86" spans="2:11" x14ac:dyDescent="0.25">
      <c r="B86" s="20" t="s">
        <v>70</v>
      </c>
    </row>
    <row r="87" spans="2:11" x14ac:dyDescent="0.25">
      <c r="B87" s="72" t="s">
        <v>1</v>
      </c>
      <c r="C87" s="72" t="s">
        <v>41</v>
      </c>
      <c r="D87" s="72" t="s">
        <v>255</v>
      </c>
      <c r="E87" s="72" t="s">
        <v>40</v>
      </c>
      <c r="F87" s="20"/>
    </row>
    <row r="88" spans="2:11" x14ac:dyDescent="0.25">
      <c r="B88" s="73" t="s">
        <v>62</v>
      </c>
      <c r="C88" s="172">
        <v>456</v>
      </c>
      <c r="D88" s="169">
        <v>90</v>
      </c>
      <c r="E88" s="65">
        <f t="shared" ref="E88:E96" si="11">C88*(D88/100)/$D$97</f>
        <v>0.69768627917651249</v>
      </c>
      <c r="F88" s="26"/>
    </row>
    <row r="89" spans="2:11" x14ac:dyDescent="0.25">
      <c r="B89" s="73" t="s">
        <v>63</v>
      </c>
      <c r="C89" s="169">
        <v>10</v>
      </c>
      <c r="D89" s="169">
        <v>90</v>
      </c>
      <c r="E89" s="65">
        <f t="shared" si="11"/>
        <v>1.5300137701239308E-2</v>
      </c>
      <c r="F89" s="26"/>
    </row>
    <row r="90" spans="2:11" x14ac:dyDescent="0.25">
      <c r="B90" s="73" t="s">
        <v>64</v>
      </c>
      <c r="C90" s="173">
        <v>0</v>
      </c>
      <c r="D90" s="169">
        <v>90</v>
      </c>
      <c r="E90" s="65">
        <f t="shared" si="11"/>
        <v>0</v>
      </c>
      <c r="F90" s="26"/>
    </row>
    <row r="91" spans="2:11" x14ac:dyDescent="0.25">
      <c r="B91" s="73" t="s">
        <v>31</v>
      </c>
      <c r="C91" s="172">
        <v>137</v>
      </c>
      <c r="D91" s="180">
        <v>40</v>
      </c>
      <c r="E91" s="65">
        <f t="shared" si="11"/>
        <v>9.316083844754601E-2</v>
      </c>
      <c r="F91" s="26"/>
    </row>
    <row r="92" spans="2:11" x14ac:dyDescent="0.25">
      <c r="B92" s="73" t="s">
        <v>65</v>
      </c>
      <c r="C92" s="173">
        <v>0</v>
      </c>
      <c r="D92" s="169">
        <v>40</v>
      </c>
      <c r="E92" s="65">
        <f t="shared" si="11"/>
        <v>0</v>
      </c>
      <c r="F92" s="26"/>
    </row>
    <row r="93" spans="2:11" x14ac:dyDescent="0.25">
      <c r="B93" s="73" t="s">
        <v>66</v>
      </c>
      <c r="C93" s="170">
        <v>8</v>
      </c>
      <c r="D93" s="169">
        <v>50</v>
      </c>
      <c r="E93" s="65">
        <f t="shared" si="11"/>
        <v>6.800061200550803E-3</v>
      </c>
      <c r="F93" s="26"/>
    </row>
    <row r="94" spans="2:11" x14ac:dyDescent="0.25">
      <c r="B94" s="73" t="s">
        <v>28</v>
      </c>
      <c r="C94" s="172">
        <v>158</v>
      </c>
      <c r="D94" s="169">
        <v>56</v>
      </c>
      <c r="E94" s="65">
        <f t="shared" si="11"/>
        <v>0.15041735375618379</v>
      </c>
      <c r="F94" s="26"/>
    </row>
    <row r="95" spans="2:11" x14ac:dyDescent="0.25">
      <c r="B95" s="73" t="s">
        <v>5</v>
      </c>
      <c r="C95" s="169">
        <v>21</v>
      </c>
      <c r="D95" s="169">
        <v>95</v>
      </c>
      <c r="E95" s="65">
        <f t="shared" si="11"/>
        <v>3.3915305237747134E-2</v>
      </c>
      <c r="F95" s="26"/>
    </row>
    <row r="96" spans="2:11" x14ac:dyDescent="0.25">
      <c r="B96" s="73" t="s">
        <v>67</v>
      </c>
      <c r="C96" s="170">
        <v>4</v>
      </c>
      <c r="D96" s="169">
        <v>40</v>
      </c>
      <c r="E96" s="65">
        <f t="shared" si="11"/>
        <v>2.7200244802203215E-3</v>
      </c>
      <c r="F96" s="26"/>
    </row>
    <row r="97" spans="2:6" x14ac:dyDescent="0.25">
      <c r="B97" s="17" t="s">
        <v>264</v>
      </c>
      <c r="C97" s="74" t="s">
        <v>252</v>
      </c>
      <c r="D97" s="174">
        <f>SUMPRODUCT(C88:C96,(D88:D96)/100)</f>
        <v>588.23000000000013</v>
      </c>
      <c r="E97" s="77">
        <f>SUM(E88:E96)</f>
        <v>0.99999999999999978</v>
      </c>
      <c r="F97" s="26"/>
    </row>
    <row r="98" spans="2:6" x14ac:dyDescent="0.25">
      <c r="B98" s="12" t="s">
        <v>256</v>
      </c>
      <c r="F98" s="26"/>
    </row>
    <row r="99" spans="2:6" x14ac:dyDescent="0.25"/>
    <row r="100" spans="2:6" x14ac:dyDescent="0.25">
      <c r="B100" s="21"/>
    </row>
    <row r="101" spans="2:6" x14ac:dyDescent="0.25">
      <c r="B101" s="84" t="s">
        <v>71</v>
      </c>
    </row>
    <row r="102" spans="2:6" x14ac:dyDescent="0.25">
      <c r="B102" s="72" t="s">
        <v>1</v>
      </c>
      <c r="C102" s="72" t="s">
        <v>41</v>
      </c>
      <c r="D102" s="72" t="s">
        <v>255</v>
      </c>
      <c r="E102" s="72" t="s">
        <v>40</v>
      </c>
      <c r="F102" s="20"/>
    </row>
    <row r="103" spans="2:6" x14ac:dyDescent="0.25">
      <c r="B103" s="73" t="s">
        <v>62</v>
      </c>
      <c r="C103" s="172">
        <v>135</v>
      </c>
      <c r="D103" s="169">
        <v>90</v>
      </c>
      <c r="E103" s="65">
        <f t="shared" ref="E103:E111" si="12">C103*(D103/100)/$D$112</f>
        <v>0.25055162600787739</v>
      </c>
      <c r="F103" s="26"/>
    </row>
    <row r="104" spans="2:6" x14ac:dyDescent="0.25">
      <c r="B104" s="73" t="s">
        <v>63</v>
      </c>
      <c r="C104" s="170">
        <v>1</v>
      </c>
      <c r="D104" s="169">
        <v>90</v>
      </c>
      <c r="E104" s="65">
        <f t="shared" si="12"/>
        <v>1.8559379704287215E-3</v>
      </c>
      <c r="F104" s="26"/>
    </row>
    <row r="105" spans="2:6" x14ac:dyDescent="0.25">
      <c r="B105" s="73" t="s">
        <v>64</v>
      </c>
      <c r="C105" s="172">
        <v>213</v>
      </c>
      <c r="D105" s="169">
        <v>90</v>
      </c>
      <c r="E105" s="65">
        <f t="shared" si="12"/>
        <v>0.39531478770131773</v>
      </c>
      <c r="F105" s="26"/>
    </row>
    <row r="106" spans="2:6" x14ac:dyDescent="0.25">
      <c r="B106" s="73" t="s">
        <v>31</v>
      </c>
      <c r="C106" s="169">
        <v>89</v>
      </c>
      <c r="D106" s="180">
        <v>40</v>
      </c>
      <c r="E106" s="65">
        <f t="shared" si="12"/>
        <v>7.3412657496958314E-2</v>
      </c>
      <c r="F106" s="26"/>
    </row>
    <row r="107" spans="2:6" x14ac:dyDescent="0.25">
      <c r="B107" s="73" t="s">
        <v>65</v>
      </c>
      <c r="C107" s="169">
        <v>53</v>
      </c>
      <c r="D107" s="169">
        <v>40</v>
      </c>
      <c r="E107" s="65">
        <f t="shared" si="12"/>
        <v>4.3717649970098776E-2</v>
      </c>
      <c r="F107" s="26"/>
    </row>
    <row r="108" spans="2:6" x14ac:dyDescent="0.25">
      <c r="B108" s="73" t="s">
        <v>66</v>
      </c>
      <c r="C108" s="170">
        <v>8</v>
      </c>
      <c r="D108" s="169">
        <v>50</v>
      </c>
      <c r="E108" s="65">
        <f t="shared" si="12"/>
        <v>8.2486132019054283E-3</v>
      </c>
      <c r="F108" s="26"/>
    </row>
    <row r="109" spans="2:6" x14ac:dyDescent="0.25">
      <c r="B109" s="73" t="s">
        <v>28</v>
      </c>
      <c r="C109" s="172">
        <v>158</v>
      </c>
      <c r="D109" s="169">
        <v>56</v>
      </c>
      <c r="E109" s="65">
        <f t="shared" si="12"/>
        <v>0.18245932402614809</v>
      </c>
      <c r="F109" s="26"/>
    </row>
    <row r="110" spans="2:6" x14ac:dyDescent="0.25">
      <c r="B110" s="73" t="s">
        <v>5</v>
      </c>
      <c r="C110" s="169">
        <v>21</v>
      </c>
      <c r="D110" s="169">
        <v>95</v>
      </c>
      <c r="E110" s="65">
        <f t="shared" si="12"/>
        <v>4.1139958344503326E-2</v>
      </c>
      <c r="F110" s="26"/>
    </row>
    <row r="111" spans="2:6" x14ac:dyDescent="0.25">
      <c r="B111" s="73" t="s">
        <v>67</v>
      </c>
      <c r="C111" s="170">
        <v>4</v>
      </c>
      <c r="D111" s="169">
        <v>40</v>
      </c>
      <c r="E111" s="65">
        <f t="shared" si="12"/>
        <v>3.2994452807621716E-3</v>
      </c>
      <c r="F111" s="26"/>
    </row>
    <row r="112" spans="2:6" x14ac:dyDescent="0.25">
      <c r="B112" s="17" t="s">
        <v>264</v>
      </c>
      <c r="C112" s="74" t="s">
        <v>252</v>
      </c>
      <c r="D112" s="174">
        <f>SUMPRODUCT(C103:C111,(D103:D111)/100)</f>
        <v>484.93000000000006</v>
      </c>
      <c r="E112" s="86">
        <f>SUM(E103:E111)</f>
        <v>0.99999999999999989</v>
      </c>
      <c r="F112" s="26"/>
    </row>
    <row r="113" spans="2:6" x14ac:dyDescent="0.25">
      <c r="B113" s="12" t="s">
        <v>256</v>
      </c>
      <c r="F113" s="26"/>
    </row>
    <row r="114" spans="2:6" x14ac:dyDescent="0.25"/>
    <row r="115" spans="2:6" x14ac:dyDescent="0.25"/>
    <row r="116" spans="2:6" x14ac:dyDescent="0.25">
      <c r="B116" s="20" t="s">
        <v>72</v>
      </c>
    </row>
    <row r="117" spans="2:6" x14ac:dyDescent="0.25">
      <c r="B117" s="72" t="s">
        <v>1</v>
      </c>
      <c r="C117" s="72" t="s">
        <v>41</v>
      </c>
      <c r="D117" s="72" t="s">
        <v>255</v>
      </c>
      <c r="E117" s="72" t="s">
        <v>40</v>
      </c>
      <c r="F117" s="20"/>
    </row>
    <row r="118" spans="2:6" x14ac:dyDescent="0.25">
      <c r="B118" s="73" t="s">
        <v>62</v>
      </c>
      <c r="C118" s="169">
        <v>88</v>
      </c>
      <c r="D118" s="169">
        <v>90</v>
      </c>
      <c r="E118" s="65">
        <f t="shared" ref="E118:E126" si="13">C118*(D118/100)/$D$127</f>
        <v>0.30879600748596381</v>
      </c>
      <c r="F118" s="26"/>
    </row>
    <row r="119" spans="2:6" x14ac:dyDescent="0.25">
      <c r="B119" s="73" t="s">
        <v>63</v>
      </c>
      <c r="C119" s="173">
        <v>0</v>
      </c>
      <c r="D119" s="169">
        <v>90</v>
      </c>
      <c r="E119" s="65">
        <f t="shared" si="13"/>
        <v>0</v>
      </c>
      <c r="F119" s="26"/>
    </row>
    <row r="120" spans="2:6" x14ac:dyDescent="0.25">
      <c r="B120" s="73" t="s">
        <v>64</v>
      </c>
      <c r="C120" s="169">
        <v>32</v>
      </c>
      <c r="D120" s="169">
        <v>90</v>
      </c>
      <c r="E120" s="65">
        <f t="shared" si="13"/>
        <v>0.1122894572676232</v>
      </c>
      <c r="F120" s="26"/>
    </row>
    <row r="121" spans="2:6" x14ac:dyDescent="0.25">
      <c r="B121" s="73" t="s">
        <v>31</v>
      </c>
      <c r="C121" s="180">
        <v>89</v>
      </c>
      <c r="D121" s="180">
        <v>40</v>
      </c>
      <c r="E121" s="65">
        <f t="shared" si="13"/>
        <v>0.13880224578914535</v>
      </c>
      <c r="F121" s="26"/>
    </row>
    <row r="122" spans="2:6" x14ac:dyDescent="0.25">
      <c r="B122" s="73" t="s">
        <v>65</v>
      </c>
      <c r="C122" s="180">
        <v>10</v>
      </c>
      <c r="D122" s="169">
        <v>40</v>
      </c>
      <c r="E122" s="65">
        <f t="shared" si="13"/>
        <v>1.5595757953836555E-2</v>
      </c>
      <c r="F122" s="26"/>
    </row>
    <row r="123" spans="2:6" x14ac:dyDescent="0.25">
      <c r="B123" s="73" t="s">
        <v>66</v>
      </c>
      <c r="C123" s="181">
        <v>0</v>
      </c>
      <c r="D123" s="169">
        <v>50</v>
      </c>
      <c r="E123" s="65">
        <f t="shared" si="13"/>
        <v>0</v>
      </c>
      <c r="F123" s="26"/>
    </row>
    <row r="124" spans="2:6" x14ac:dyDescent="0.25">
      <c r="B124" s="73" t="s">
        <v>28</v>
      </c>
      <c r="C124" s="192">
        <v>118</v>
      </c>
      <c r="D124" s="169">
        <v>56</v>
      </c>
      <c r="E124" s="65">
        <f t="shared" si="13"/>
        <v>0.25764192139737996</v>
      </c>
      <c r="F124" s="26"/>
    </row>
    <row r="125" spans="2:6" x14ac:dyDescent="0.25">
      <c r="B125" s="73" t="s">
        <v>5</v>
      </c>
      <c r="C125" s="180">
        <v>40</v>
      </c>
      <c r="D125" s="169">
        <v>95</v>
      </c>
      <c r="E125" s="65">
        <f t="shared" si="13"/>
        <v>0.14815970056144728</v>
      </c>
      <c r="F125" s="26"/>
    </row>
    <row r="126" spans="2:6" x14ac:dyDescent="0.25">
      <c r="B126" s="73" t="s">
        <v>67</v>
      </c>
      <c r="C126" s="169">
        <v>12</v>
      </c>
      <c r="D126" s="169">
        <v>40</v>
      </c>
      <c r="E126" s="65">
        <f t="shared" si="13"/>
        <v>1.8714909544603871E-2</v>
      </c>
      <c r="F126" s="26"/>
    </row>
    <row r="127" spans="2:6" x14ac:dyDescent="0.25">
      <c r="B127" s="17" t="s">
        <v>265</v>
      </c>
      <c r="C127" s="74" t="s">
        <v>252</v>
      </c>
      <c r="D127" s="174">
        <f>SUMPRODUCT(C118:C126,(D118:D126)/100)</f>
        <v>256.48</v>
      </c>
      <c r="E127" s="77">
        <f>SUM(E118:E126)</f>
        <v>1.0000000000000002</v>
      </c>
      <c r="F127" s="26"/>
    </row>
    <row r="128" spans="2:6" x14ac:dyDescent="0.25">
      <c r="B128" s="12" t="s">
        <v>256</v>
      </c>
      <c r="F128" s="26"/>
    </row>
    <row r="129" spans="2:18" x14ac:dyDescent="0.25"/>
    <row r="130" spans="2:18" x14ac:dyDescent="0.25">
      <c r="B130" s="20" t="s">
        <v>86</v>
      </c>
    </row>
    <row r="131" spans="2:18" x14ac:dyDescent="0.25">
      <c r="B131" s="72" t="s">
        <v>1</v>
      </c>
      <c r="C131" s="72" t="s">
        <v>41</v>
      </c>
      <c r="D131" s="72" t="s">
        <v>255</v>
      </c>
      <c r="E131" s="72" t="s">
        <v>40</v>
      </c>
    </row>
    <row r="132" spans="2:18" x14ac:dyDescent="0.25">
      <c r="B132" s="73" t="s">
        <v>6</v>
      </c>
      <c r="C132" s="172">
        <v>229</v>
      </c>
      <c r="D132" s="169">
        <v>30</v>
      </c>
      <c r="E132" s="65">
        <f t="shared" ref="E132:E137" si="14">(C132*(D132/100))/$D$138</f>
        <v>8.9427507745177159E-2</v>
      </c>
    </row>
    <row r="133" spans="2:18" x14ac:dyDescent="0.25">
      <c r="B133" s="73" t="s">
        <v>32</v>
      </c>
      <c r="C133" s="172">
        <v>800</v>
      </c>
      <c r="D133" s="169">
        <v>41</v>
      </c>
      <c r="E133" s="65">
        <f t="shared" si="14"/>
        <v>0.426961026789201</v>
      </c>
    </row>
    <row r="134" spans="2:18" x14ac:dyDescent="0.25">
      <c r="B134" s="73" t="s">
        <v>5</v>
      </c>
      <c r="C134" s="172">
        <v>156</v>
      </c>
      <c r="D134" s="169">
        <v>95</v>
      </c>
      <c r="E134" s="65">
        <f t="shared" si="14"/>
        <v>0.19291348832365726</v>
      </c>
    </row>
    <row r="135" spans="2:18" x14ac:dyDescent="0.25">
      <c r="B135" s="73" t="s">
        <v>28</v>
      </c>
      <c r="C135" s="172">
        <v>142</v>
      </c>
      <c r="D135" s="169">
        <v>56</v>
      </c>
      <c r="E135" s="65">
        <f t="shared" si="14"/>
        <v>0.10351201478743069</v>
      </c>
    </row>
    <row r="136" spans="2:18" x14ac:dyDescent="0.25">
      <c r="B136" s="73" t="s">
        <v>4</v>
      </c>
      <c r="C136" s="172">
        <v>322</v>
      </c>
      <c r="D136" s="169">
        <v>40</v>
      </c>
      <c r="E136" s="65">
        <f t="shared" si="14"/>
        <v>0.16766030564161308</v>
      </c>
    </row>
    <row r="137" spans="2:18" x14ac:dyDescent="0.25">
      <c r="B137" s="73" t="s">
        <v>8</v>
      </c>
      <c r="C137" s="169">
        <v>30</v>
      </c>
      <c r="D137" s="169">
        <v>50</v>
      </c>
      <c r="E137" s="65">
        <f t="shared" si="14"/>
        <v>1.9525656712920777E-2</v>
      </c>
    </row>
    <row r="138" spans="2:18" x14ac:dyDescent="0.25">
      <c r="B138" s="73" t="s">
        <v>68</v>
      </c>
      <c r="C138" s="193">
        <f>SUM(C132:C137)</f>
        <v>1679</v>
      </c>
      <c r="D138" s="174">
        <f>SUMPRODUCT(C132:C137,(D132:D137)/100)</f>
        <v>768.22</v>
      </c>
      <c r="E138" s="77">
        <f>SUM(E132:E137)</f>
        <v>0.99999999999999989</v>
      </c>
    </row>
    <row r="139" spans="2:18" x14ac:dyDescent="0.25">
      <c r="B139" s="67" t="s">
        <v>257</v>
      </c>
      <c r="C139" s="68"/>
      <c r="D139" s="68"/>
      <c r="E139" s="68"/>
    </row>
    <row r="140" spans="2:18" x14ac:dyDescent="0.25">
      <c r="B140" s="17" t="s">
        <v>256</v>
      </c>
    </row>
    <row r="141" spans="2:18" x14ac:dyDescent="0.25">
      <c r="B141" s="11"/>
    </row>
    <row r="142" spans="2:18" x14ac:dyDescent="0.25">
      <c r="B142" s="20" t="s">
        <v>97</v>
      </c>
      <c r="C142" s="258" t="s">
        <v>92</v>
      </c>
      <c r="D142" s="258"/>
      <c r="E142" s="258"/>
      <c r="F142" s="258"/>
      <c r="G142" s="258"/>
      <c r="H142" s="258"/>
      <c r="I142" s="258"/>
      <c r="K142" s="20" t="s">
        <v>97</v>
      </c>
      <c r="L142" s="258" t="s">
        <v>95</v>
      </c>
      <c r="M142" s="258"/>
      <c r="N142" s="258"/>
      <c r="O142" s="258"/>
      <c r="P142" s="258"/>
      <c r="Q142" s="258"/>
      <c r="R142" s="258"/>
    </row>
    <row r="143" spans="2:18" x14ac:dyDescent="0.25">
      <c r="B143" s="72" t="s">
        <v>93</v>
      </c>
      <c r="C143" s="72">
        <v>2010</v>
      </c>
      <c r="D143" s="72">
        <v>2015</v>
      </c>
      <c r="E143" s="72">
        <v>2020</v>
      </c>
      <c r="F143" s="72">
        <v>2025</v>
      </c>
      <c r="G143" s="72">
        <v>2030</v>
      </c>
      <c r="H143" s="72">
        <v>2035</v>
      </c>
      <c r="I143" s="72">
        <v>2040</v>
      </c>
      <c r="K143" s="72" t="s">
        <v>93</v>
      </c>
      <c r="L143" s="72">
        <v>2010</v>
      </c>
      <c r="M143" s="72">
        <v>2015</v>
      </c>
      <c r="N143" s="72">
        <v>2020</v>
      </c>
      <c r="O143" s="72">
        <v>2025</v>
      </c>
      <c r="P143" s="72">
        <v>2030</v>
      </c>
      <c r="Q143" s="72">
        <v>2035</v>
      </c>
      <c r="R143" s="72">
        <v>2040</v>
      </c>
    </row>
    <row r="144" spans="2:18" x14ac:dyDescent="0.25">
      <c r="B144" s="73" t="s">
        <v>88</v>
      </c>
      <c r="C144" s="172">
        <v>208</v>
      </c>
      <c r="D144" s="172">
        <v>241</v>
      </c>
      <c r="E144" s="172">
        <v>285</v>
      </c>
      <c r="F144" s="172">
        <v>327</v>
      </c>
      <c r="G144" s="172">
        <v>376</v>
      </c>
      <c r="H144" s="172">
        <v>440</v>
      </c>
      <c r="I144" s="172">
        <v>510</v>
      </c>
      <c r="K144" s="73" t="s">
        <v>88</v>
      </c>
      <c r="L144" s="65">
        <f t="shared" ref="L144:P150" si="15">C159/(C144*1000000*(365*24)/1000000000)</f>
        <v>0.49613628380751673</v>
      </c>
      <c r="M144" s="65">
        <f t="shared" si="15"/>
        <v>0.52104056537638077</v>
      </c>
      <c r="N144" s="65">
        <f t="shared" si="15"/>
        <v>0.53312505006809263</v>
      </c>
      <c r="O144" s="65">
        <f t="shared" si="15"/>
        <v>0.55960509963274829</v>
      </c>
      <c r="P144" s="65">
        <f t="shared" si="15"/>
        <v>0.57988438744778004</v>
      </c>
      <c r="Q144" s="65">
        <f t="shared" ref="Q144:R153" si="16">H159/(H144*1000000*(365*24)/1000000000)</f>
        <v>0.59749896222498966</v>
      </c>
      <c r="R144" s="65">
        <f t="shared" si="16"/>
        <v>0.61240934730056407</v>
      </c>
    </row>
    <row r="145" spans="2:18" x14ac:dyDescent="0.25">
      <c r="B145" s="73" t="s">
        <v>89</v>
      </c>
      <c r="C145" s="170">
        <v>4</v>
      </c>
      <c r="D145" s="170">
        <v>4</v>
      </c>
      <c r="E145" s="170">
        <v>4</v>
      </c>
      <c r="F145" s="170">
        <v>4</v>
      </c>
      <c r="G145" s="170">
        <v>3</v>
      </c>
      <c r="H145" s="170">
        <v>3</v>
      </c>
      <c r="I145" s="170">
        <v>3</v>
      </c>
      <c r="K145" s="73" t="s">
        <v>89</v>
      </c>
      <c r="L145" s="65">
        <f t="shared" si="15"/>
        <v>0.7134703196347032</v>
      </c>
      <c r="M145" s="65">
        <f t="shared" si="15"/>
        <v>0.7134703196347032</v>
      </c>
      <c r="N145" s="65">
        <f t="shared" si="15"/>
        <v>0.65639269406392697</v>
      </c>
      <c r="O145" s="65">
        <f t="shared" si="15"/>
        <v>0.62785388127853881</v>
      </c>
      <c r="P145" s="65">
        <f t="shared" si="15"/>
        <v>0.79908675799086759</v>
      </c>
      <c r="Q145" s="65">
        <f t="shared" si="16"/>
        <v>0.76103500761035003</v>
      </c>
      <c r="R145" s="65">
        <f t="shared" si="16"/>
        <v>0.72298325722983259</v>
      </c>
    </row>
    <row r="146" spans="2:18" x14ac:dyDescent="0.25">
      <c r="B146" s="73" t="s">
        <v>4</v>
      </c>
      <c r="C146" s="169">
        <v>23</v>
      </c>
      <c r="D146" s="169">
        <v>23</v>
      </c>
      <c r="E146" s="169">
        <v>25</v>
      </c>
      <c r="F146" s="169">
        <v>28</v>
      </c>
      <c r="G146" s="169">
        <v>32</v>
      </c>
      <c r="H146" s="169">
        <v>38</v>
      </c>
      <c r="I146" s="169">
        <v>45</v>
      </c>
      <c r="K146" s="73" t="s">
        <v>4</v>
      </c>
      <c r="L146" s="65">
        <f t="shared" si="15"/>
        <v>0.55092316855270995</v>
      </c>
      <c r="M146" s="65">
        <f t="shared" si="15"/>
        <v>0.55588644034147316</v>
      </c>
      <c r="N146" s="65">
        <f t="shared" si="15"/>
        <v>0.56621004566210043</v>
      </c>
      <c r="O146" s="65">
        <f t="shared" si="15"/>
        <v>0.57485322896281799</v>
      </c>
      <c r="P146" s="65">
        <f t="shared" si="15"/>
        <v>0.59218036529680362</v>
      </c>
      <c r="Q146" s="65">
        <f t="shared" si="16"/>
        <v>0.60081711127132897</v>
      </c>
      <c r="R146" s="65">
        <f t="shared" si="16"/>
        <v>0.61136478944698125</v>
      </c>
    </row>
    <row r="147" spans="2:18" x14ac:dyDescent="0.25">
      <c r="B147" s="73" t="s">
        <v>90</v>
      </c>
      <c r="C147" s="172">
        <v>120</v>
      </c>
      <c r="D147" s="172">
        <v>131</v>
      </c>
      <c r="E147" s="172">
        <v>144</v>
      </c>
      <c r="F147" s="172">
        <v>162</v>
      </c>
      <c r="G147" s="172">
        <v>181</v>
      </c>
      <c r="H147" s="172">
        <v>206</v>
      </c>
      <c r="I147" s="172">
        <v>234</v>
      </c>
      <c r="K147" s="73" t="s">
        <v>90</v>
      </c>
      <c r="L147" s="65">
        <f t="shared" si="15"/>
        <v>0.58409436834094364</v>
      </c>
      <c r="M147" s="65">
        <f t="shared" si="15"/>
        <v>0.61347554811948835</v>
      </c>
      <c r="N147" s="65">
        <f t="shared" si="15"/>
        <v>0.64212328767123283</v>
      </c>
      <c r="O147" s="65">
        <f t="shared" si="15"/>
        <v>0.67436157618806025</v>
      </c>
      <c r="P147" s="65">
        <f t="shared" si="15"/>
        <v>0.70132949872600214</v>
      </c>
      <c r="Q147" s="65">
        <f t="shared" si="16"/>
        <v>0.72372212616926013</v>
      </c>
      <c r="R147" s="65">
        <f t="shared" si="16"/>
        <v>0.74347266128088041</v>
      </c>
    </row>
    <row r="148" spans="2:18" x14ac:dyDescent="0.25">
      <c r="B148" s="73" t="s">
        <v>5</v>
      </c>
      <c r="C148" s="170">
        <v>5</v>
      </c>
      <c r="D148" s="170">
        <v>7</v>
      </c>
      <c r="E148" s="170">
        <v>9</v>
      </c>
      <c r="F148" s="169">
        <v>20</v>
      </c>
      <c r="G148" s="169">
        <v>30</v>
      </c>
      <c r="H148" s="169">
        <v>41</v>
      </c>
      <c r="I148" s="169">
        <v>52</v>
      </c>
      <c r="K148" s="73" t="s">
        <v>5</v>
      </c>
      <c r="L148" s="65">
        <f t="shared" si="15"/>
        <v>0.43378995433789957</v>
      </c>
      <c r="M148" s="65">
        <f t="shared" si="15"/>
        <v>0.79908675799086759</v>
      </c>
      <c r="N148" s="65">
        <f t="shared" si="15"/>
        <v>0.87519025875190259</v>
      </c>
      <c r="O148" s="65">
        <f t="shared" si="15"/>
        <v>0.83333333333333337</v>
      </c>
      <c r="P148" s="65">
        <f t="shared" si="15"/>
        <v>0.84855403348554026</v>
      </c>
      <c r="Q148" s="65">
        <f t="shared" si="16"/>
        <v>0.86034079518877371</v>
      </c>
      <c r="R148" s="65">
        <f t="shared" si="16"/>
        <v>0.86933614330874609</v>
      </c>
    </row>
    <row r="149" spans="2:18" x14ac:dyDescent="0.25">
      <c r="B149" s="73" t="s">
        <v>28</v>
      </c>
      <c r="C149" s="169">
        <v>56</v>
      </c>
      <c r="D149" s="169">
        <v>77</v>
      </c>
      <c r="E149" s="172">
        <v>103</v>
      </c>
      <c r="F149" s="172">
        <v>114</v>
      </c>
      <c r="G149" s="172">
        <v>129</v>
      </c>
      <c r="H149" s="172">
        <v>151</v>
      </c>
      <c r="I149" s="172">
        <v>176</v>
      </c>
      <c r="K149" s="73" t="s">
        <v>28</v>
      </c>
      <c r="L149" s="65">
        <f t="shared" si="15"/>
        <v>0.23034898891063274</v>
      </c>
      <c r="M149" s="65">
        <f t="shared" si="15"/>
        <v>0.23572318092866038</v>
      </c>
      <c r="N149" s="65">
        <f t="shared" si="15"/>
        <v>0.27153433523961523</v>
      </c>
      <c r="O149" s="65">
        <f t="shared" si="15"/>
        <v>0.26836497636786028</v>
      </c>
      <c r="P149" s="65">
        <f t="shared" si="15"/>
        <v>0.27521149693816149</v>
      </c>
      <c r="Q149" s="65">
        <f t="shared" si="16"/>
        <v>0.28349814025219994</v>
      </c>
      <c r="R149" s="65">
        <f t="shared" si="16"/>
        <v>0.28927978414279787</v>
      </c>
    </row>
    <row r="150" spans="2:18" x14ac:dyDescent="0.25">
      <c r="B150" s="73" t="s">
        <v>6</v>
      </c>
      <c r="C150" s="169">
        <v>13</v>
      </c>
      <c r="D150" s="169">
        <v>17</v>
      </c>
      <c r="E150" s="169">
        <v>19</v>
      </c>
      <c r="F150" s="169">
        <v>20</v>
      </c>
      <c r="G150" s="169">
        <v>21</v>
      </c>
      <c r="H150" s="169">
        <v>25</v>
      </c>
      <c r="I150" s="169">
        <v>28</v>
      </c>
      <c r="K150" s="73" t="s">
        <v>6</v>
      </c>
      <c r="L150" s="65">
        <f t="shared" si="15"/>
        <v>0.17562346329469619</v>
      </c>
      <c r="M150" s="65">
        <f t="shared" si="15"/>
        <v>0.22159548751007255</v>
      </c>
      <c r="N150" s="65">
        <f t="shared" si="15"/>
        <v>0.21629416005767846</v>
      </c>
      <c r="O150" s="65">
        <f t="shared" si="15"/>
        <v>0.23401826484018268</v>
      </c>
      <c r="P150" s="65">
        <f t="shared" si="15"/>
        <v>0.2446183953033268</v>
      </c>
      <c r="Q150" s="65">
        <f t="shared" si="16"/>
        <v>0.25114155251141551</v>
      </c>
      <c r="R150" s="65">
        <f t="shared" si="16"/>
        <v>0.26500326157860404</v>
      </c>
    </row>
    <row r="151" spans="2:18" x14ac:dyDescent="0.25">
      <c r="B151" s="73" t="s">
        <v>49</v>
      </c>
      <c r="C151" s="181">
        <v>0</v>
      </c>
      <c r="D151" s="181">
        <v>0</v>
      </c>
      <c r="E151" s="181">
        <v>0</v>
      </c>
      <c r="F151" s="181">
        <v>0</v>
      </c>
      <c r="G151" s="181">
        <v>0</v>
      </c>
      <c r="H151" s="181">
        <v>0</v>
      </c>
      <c r="I151" s="181">
        <v>0</v>
      </c>
      <c r="K151" s="73" t="s">
        <v>49</v>
      </c>
      <c r="L151" s="69"/>
      <c r="M151" s="69"/>
      <c r="N151" s="69"/>
      <c r="O151" s="69"/>
      <c r="P151" s="69"/>
      <c r="Q151" s="69"/>
      <c r="R151" s="69"/>
    </row>
    <row r="152" spans="2:18" x14ac:dyDescent="0.25">
      <c r="B152" s="73" t="s">
        <v>32</v>
      </c>
      <c r="C152" s="173">
        <v>0</v>
      </c>
      <c r="D152" s="170">
        <v>1</v>
      </c>
      <c r="E152" s="170">
        <v>3</v>
      </c>
      <c r="F152" s="170">
        <v>6</v>
      </c>
      <c r="G152" s="170">
        <v>7</v>
      </c>
      <c r="H152" s="170">
        <v>8</v>
      </c>
      <c r="I152" s="169">
        <v>10</v>
      </c>
      <c r="K152" s="73" t="s">
        <v>32</v>
      </c>
      <c r="L152" s="65">
        <v>0</v>
      </c>
      <c r="M152" s="65">
        <f t="shared" ref="M152:P153" si="17">D167/(D152*1000000*(365*24)/1000000000)</f>
        <v>0.34246575342465752</v>
      </c>
      <c r="N152" s="65">
        <f t="shared" si="17"/>
        <v>0.26636225266362251</v>
      </c>
      <c r="O152" s="65">
        <f t="shared" si="17"/>
        <v>0.24733637747336376</v>
      </c>
      <c r="P152" s="65">
        <f t="shared" si="17"/>
        <v>0.22831050228310501</v>
      </c>
      <c r="Q152" s="65">
        <f t="shared" si="16"/>
        <v>0.24257990867579909</v>
      </c>
      <c r="R152" s="65">
        <f t="shared" si="16"/>
        <v>0.22831050228310504</v>
      </c>
    </row>
    <row r="153" spans="2:18" x14ac:dyDescent="0.25">
      <c r="B153" s="73" t="s">
        <v>91</v>
      </c>
      <c r="C153" s="170">
        <v>3</v>
      </c>
      <c r="D153" s="170">
        <v>4</v>
      </c>
      <c r="E153" s="170">
        <v>4</v>
      </c>
      <c r="F153" s="170">
        <v>4</v>
      </c>
      <c r="G153" s="170">
        <v>5</v>
      </c>
      <c r="H153" s="170">
        <v>5</v>
      </c>
      <c r="I153" s="170">
        <v>6</v>
      </c>
      <c r="K153" s="73" t="s">
        <v>91</v>
      </c>
      <c r="L153" s="65">
        <f>C168/(C153*1000000*(365*24)/1000000000)</f>
        <v>7.6103500761035003E-2</v>
      </c>
      <c r="M153" s="65">
        <f t="shared" si="17"/>
        <v>0.42808219178082191</v>
      </c>
      <c r="N153" s="65">
        <f t="shared" si="17"/>
        <v>0.42808219178082191</v>
      </c>
      <c r="O153" s="65">
        <f t="shared" si="17"/>
        <v>0.42808219178082191</v>
      </c>
      <c r="P153" s="65">
        <f t="shared" si="17"/>
        <v>0.36529680365296807</v>
      </c>
      <c r="Q153" s="65">
        <f t="shared" si="16"/>
        <v>0.45662100456621008</v>
      </c>
      <c r="R153" s="65">
        <f t="shared" si="16"/>
        <v>0.4375951293759513</v>
      </c>
    </row>
    <row r="154" spans="2:18" x14ac:dyDescent="0.25">
      <c r="B154" s="17" t="s">
        <v>254</v>
      </c>
      <c r="K154" s="17" t="s">
        <v>254</v>
      </c>
    </row>
    <row r="155" spans="2:18" x14ac:dyDescent="0.25">
      <c r="B155" s="12"/>
      <c r="K155" s="12"/>
    </row>
    <row r="156" spans="2:18" x14ac:dyDescent="0.25"/>
    <row r="157" spans="2:18" x14ac:dyDescent="0.25">
      <c r="B157" s="20" t="s">
        <v>97</v>
      </c>
      <c r="C157" s="258" t="s">
        <v>94</v>
      </c>
      <c r="D157" s="258"/>
      <c r="E157" s="258"/>
      <c r="F157" s="258"/>
      <c r="G157" s="258"/>
      <c r="H157" s="258"/>
      <c r="I157" s="258"/>
      <c r="K157" s="20" t="s">
        <v>97</v>
      </c>
      <c r="L157" s="258" t="s">
        <v>96</v>
      </c>
      <c r="M157" s="258"/>
      <c r="N157" s="258"/>
      <c r="O157" s="258"/>
      <c r="P157" s="258"/>
      <c r="Q157" s="258"/>
      <c r="R157" s="258"/>
    </row>
    <row r="158" spans="2:18" x14ac:dyDescent="0.25">
      <c r="B158" s="72" t="s">
        <v>93</v>
      </c>
      <c r="C158" s="72">
        <v>2010</v>
      </c>
      <c r="D158" s="72">
        <v>2015</v>
      </c>
      <c r="E158" s="72">
        <v>2020</v>
      </c>
      <c r="F158" s="72">
        <v>2025</v>
      </c>
      <c r="G158" s="72">
        <v>2030</v>
      </c>
      <c r="H158" s="72">
        <v>2035</v>
      </c>
      <c r="I158" s="72">
        <v>2040</v>
      </c>
      <c r="K158" s="72" t="s">
        <v>93</v>
      </c>
      <c r="L158" s="72">
        <v>2010</v>
      </c>
      <c r="M158" s="72">
        <v>2015</v>
      </c>
      <c r="N158" s="72">
        <v>2020</v>
      </c>
      <c r="O158" s="72">
        <v>2025</v>
      </c>
      <c r="P158" s="72">
        <v>2030</v>
      </c>
      <c r="Q158" s="72">
        <v>2035</v>
      </c>
      <c r="R158" s="72">
        <v>2040</v>
      </c>
    </row>
    <row r="159" spans="2:18" x14ac:dyDescent="0.25">
      <c r="B159" s="73" t="s">
        <v>88</v>
      </c>
      <c r="C159" s="172">
        <v>904</v>
      </c>
      <c r="D159" s="194">
        <v>1100</v>
      </c>
      <c r="E159" s="194">
        <v>1331</v>
      </c>
      <c r="F159" s="194">
        <v>1603</v>
      </c>
      <c r="G159" s="194">
        <v>1910</v>
      </c>
      <c r="H159" s="194">
        <v>2303</v>
      </c>
      <c r="I159" s="194">
        <v>2736</v>
      </c>
      <c r="K159" s="73" t="s">
        <v>88</v>
      </c>
      <c r="L159" s="65">
        <f t="shared" ref="L159:L168" si="18">C159/C$169</f>
        <v>1</v>
      </c>
      <c r="M159" s="65">
        <f t="shared" ref="M159:M168" si="19">D159/D$169</f>
        <v>0.99909173478655766</v>
      </c>
      <c r="N159" s="65">
        <f t="shared" ref="N159:N168" si="20">E159/E$169</f>
        <v>1.0007518796992481</v>
      </c>
      <c r="O159" s="65">
        <f t="shared" ref="O159:O168" si="21">F159/F$169</f>
        <v>0.99937655860349128</v>
      </c>
      <c r="P159" s="65">
        <f t="shared" ref="P159:P168" si="22">G159/G$169</f>
        <v>1.0005238344683081</v>
      </c>
      <c r="Q159" s="65">
        <f t="shared" ref="Q159:Q168" si="23">H159/H$169</f>
        <v>0.99956597222222221</v>
      </c>
      <c r="R159" s="65">
        <f t="shared" ref="R159:R168" si="24">I159/I$169</f>
        <v>1</v>
      </c>
    </row>
    <row r="160" spans="2:18" x14ac:dyDescent="0.25">
      <c r="B160" s="73" t="s">
        <v>89</v>
      </c>
      <c r="C160" s="169">
        <v>25</v>
      </c>
      <c r="D160" s="169">
        <v>25</v>
      </c>
      <c r="E160" s="169">
        <v>23</v>
      </c>
      <c r="F160" s="169">
        <v>22</v>
      </c>
      <c r="G160" s="169">
        <v>21</v>
      </c>
      <c r="H160" s="169">
        <v>20</v>
      </c>
      <c r="I160" s="169">
        <v>19</v>
      </c>
      <c r="K160" s="73" t="s">
        <v>89</v>
      </c>
      <c r="L160" s="65">
        <f t="shared" si="18"/>
        <v>2.7654867256637169E-2</v>
      </c>
      <c r="M160" s="66">
        <f t="shared" si="19"/>
        <v>2.2706630336058128E-2</v>
      </c>
      <c r="N160" s="66">
        <f t="shared" si="20"/>
        <v>1.7293233082706767E-2</v>
      </c>
      <c r="O160" s="66">
        <f t="shared" si="21"/>
        <v>1.3715710723192019E-2</v>
      </c>
      <c r="P160" s="66">
        <f t="shared" si="22"/>
        <v>1.1000523834468309E-2</v>
      </c>
      <c r="Q160" s="66">
        <f t="shared" si="23"/>
        <v>8.6805555555555559E-3</v>
      </c>
      <c r="R160" s="66">
        <f t="shared" si="24"/>
        <v>6.9444444444444441E-3</v>
      </c>
    </row>
    <row r="161" spans="2:18" x14ac:dyDescent="0.25">
      <c r="B161" s="73" t="s">
        <v>4</v>
      </c>
      <c r="C161" s="172">
        <v>111</v>
      </c>
      <c r="D161" s="172">
        <v>112</v>
      </c>
      <c r="E161" s="172">
        <v>124</v>
      </c>
      <c r="F161" s="172">
        <v>141</v>
      </c>
      <c r="G161" s="172">
        <v>166</v>
      </c>
      <c r="H161" s="172">
        <v>200</v>
      </c>
      <c r="I161" s="172">
        <v>241</v>
      </c>
      <c r="K161" s="73" t="s">
        <v>4</v>
      </c>
      <c r="L161" s="65">
        <f t="shared" si="18"/>
        <v>0.12278761061946902</v>
      </c>
      <c r="M161" s="65">
        <f t="shared" si="19"/>
        <v>0.10172570390554042</v>
      </c>
      <c r="N161" s="65">
        <f t="shared" si="20"/>
        <v>9.3233082706766918E-2</v>
      </c>
      <c r="O161" s="65">
        <f t="shared" si="21"/>
        <v>8.790523690773068E-2</v>
      </c>
      <c r="P161" s="65">
        <f t="shared" si="22"/>
        <v>8.6956521739130432E-2</v>
      </c>
      <c r="Q161" s="65">
        <f t="shared" si="23"/>
        <v>8.6805555555555552E-2</v>
      </c>
      <c r="R161" s="65">
        <f t="shared" si="24"/>
        <v>8.8084795321637432E-2</v>
      </c>
    </row>
    <row r="162" spans="2:18" x14ac:dyDescent="0.25">
      <c r="B162" s="73" t="s">
        <v>90</v>
      </c>
      <c r="C162" s="172">
        <v>614</v>
      </c>
      <c r="D162" s="172">
        <v>704</v>
      </c>
      <c r="E162" s="172">
        <v>810</v>
      </c>
      <c r="F162" s="172">
        <v>957</v>
      </c>
      <c r="G162" s="194">
        <v>1112</v>
      </c>
      <c r="H162" s="194">
        <v>1306</v>
      </c>
      <c r="I162" s="194">
        <v>1524</v>
      </c>
      <c r="K162" s="73" t="s">
        <v>90</v>
      </c>
      <c r="L162" s="65">
        <f t="shared" si="18"/>
        <v>0.67920353982300885</v>
      </c>
      <c r="M162" s="65">
        <f t="shared" si="19"/>
        <v>0.63941871026339692</v>
      </c>
      <c r="N162" s="65">
        <f t="shared" si="20"/>
        <v>0.60902255639097747</v>
      </c>
      <c r="O162" s="65">
        <f t="shared" si="21"/>
        <v>0.59663341645885282</v>
      </c>
      <c r="P162" s="65">
        <f t="shared" si="22"/>
        <v>0.58250392875851231</v>
      </c>
      <c r="Q162" s="65">
        <f t="shared" si="23"/>
        <v>0.56684027777777779</v>
      </c>
      <c r="R162" s="65">
        <f t="shared" si="24"/>
        <v>0.55701754385964908</v>
      </c>
    </row>
    <row r="163" spans="2:18" x14ac:dyDescent="0.25">
      <c r="B163" s="73" t="s">
        <v>5</v>
      </c>
      <c r="C163" s="169">
        <v>19</v>
      </c>
      <c r="D163" s="169">
        <v>49</v>
      </c>
      <c r="E163" s="169">
        <v>69</v>
      </c>
      <c r="F163" s="172">
        <v>146</v>
      </c>
      <c r="G163" s="172">
        <v>223</v>
      </c>
      <c r="H163" s="172">
        <v>309</v>
      </c>
      <c r="I163" s="172">
        <v>396</v>
      </c>
      <c r="K163" s="73" t="s">
        <v>5</v>
      </c>
      <c r="L163" s="65">
        <f t="shared" si="18"/>
        <v>2.1017699115044249E-2</v>
      </c>
      <c r="M163" s="65">
        <f t="shared" si="19"/>
        <v>4.4504995458673931E-2</v>
      </c>
      <c r="N163" s="65">
        <f t="shared" si="20"/>
        <v>5.1879699248120303E-2</v>
      </c>
      <c r="O163" s="65">
        <f t="shared" si="21"/>
        <v>9.1022443890274321E-2</v>
      </c>
      <c r="P163" s="65">
        <f t="shared" si="22"/>
        <v>0.11681508643268727</v>
      </c>
      <c r="Q163" s="65">
        <f t="shared" si="23"/>
        <v>0.13411458333333334</v>
      </c>
      <c r="R163" s="65">
        <f t="shared" si="24"/>
        <v>0.14473684210526316</v>
      </c>
    </row>
    <row r="164" spans="2:18" x14ac:dyDescent="0.25">
      <c r="B164" s="73" t="s">
        <v>28</v>
      </c>
      <c r="C164" s="172">
        <v>113</v>
      </c>
      <c r="D164" s="172">
        <v>159</v>
      </c>
      <c r="E164" s="172">
        <v>245</v>
      </c>
      <c r="F164" s="172">
        <v>268</v>
      </c>
      <c r="G164" s="172">
        <v>311</v>
      </c>
      <c r="H164" s="172">
        <v>375</v>
      </c>
      <c r="I164" s="172">
        <v>446</v>
      </c>
      <c r="K164" s="73" t="s">
        <v>28</v>
      </c>
      <c r="L164" s="65">
        <f t="shared" si="18"/>
        <v>0.125</v>
      </c>
      <c r="M164" s="65">
        <f t="shared" si="19"/>
        <v>0.1444141689373297</v>
      </c>
      <c r="N164" s="65">
        <f t="shared" si="20"/>
        <v>0.18421052631578946</v>
      </c>
      <c r="O164" s="65">
        <f t="shared" si="21"/>
        <v>0.16708229426433915</v>
      </c>
      <c r="P164" s="65">
        <f t="shared" si="22"/>
        <v>0.16291251964379255</v>
      </c>
      <c r="Q164" s="65">
        <f t="shared" si="23"/>
        <v>0.16276041666666666</v>
      </c>
      <c r="R164" s="65">
        <f t="shared" si="24"/>
        <v>0.16301169590643275</v>
      </c>
    </row>
    <row r="165" spans="2:18" x14ac:dyDescent="0.25">
      <c r="B165" s="73" t="s">
        <v>6</v>
      </c>
      <c r="C165" s="169">
        <v>20</v>
      </c>
      <c r="D165" s="169">
        <v>33</v>
      </c>
      <c r="E165" s="169">
        <v>36</v>
      </c>
      <c r="F165" s="169">
        <v>41</v>
      </c>
      <c r="G165" s="169">
        <v>45</v>
      </c>
      <c r="H165" s="169">
        <v>55</v>
      </c>
      <c r="I165" s="169">
        <v>65</v>
      </c>
      <c r="K165" s="73" t="s">
        <v>6</v>
      </c>
      <c r="L165" s="65">
        <f t="shared" si="18"/>
        <v>2.2123893805309734E-2</v>
      </c>
      <c r="M165" s="65">
        <f t="shared" si="19"/>
        <v>2.9972752043596729E-2</v>
      </c>
      <c r="N165" s="65">
        <f t="shared" si="20"/>
        <v>2.7067669172932331E-2</v>
      </c>
      <c r="O165" s="65">
        <f t="shared" si="21"/>
        <v>2.5561097256857856E-2</v>
      </c>
      <c r="P165" s="65">
        <f t="shared" si="22"/>
        <v>2.3572551073860661E-2</v>
      </c>
      <c r="Q165" s="65">
        <f t="shared" si="23"/>
        <v>2.3871527777777776E-2</v>
      </c>
      <c r="R165" s="65">
        <f t="shared" si="24"/>
        <v>2.3757309941520467E-2</v>
      </c>
    </row>
    <row r="166" spans="2:18" x14ac:dyDescent="0.25">
      <c r="B166" s="73" t="s">
        <v>49</v>
      </c>
      <c r="C166" s="173">
        <v>0</v>
      </c>
      <c r="D166" s="170">
        <v>1</v>
      </c>
      <c r="E166" s="170">
        <v>1</v>
      </c>
      <c r="F166" s="170">
        <v>1</v>
      </c>
      <c r="G166" s="170">
        <v>1</v>
      </c>
      <c r="H166" s="170">
        <v>2</v>
      </c>
      <c r="I166" s="170">
        <v>2</v>
      </c>
      <c r="K166" s="73" t="s">
        <v>49</v>
      </c>
      <c r="L166" s="65">
        <f t="shared" si="18"/>
        <v>0</v>
      </c>
      <c r="M166" s="65">
        <f t="shared" si="19"/>
        <v>9.0826521344232513E-4</v>
      </c>
      <c r="N166" s="65">
        <f t="shared" si="20"/>
        <v>7.5187969924812035E-4</v>
      </c>
      <c r="O166" s="65">
        <f t="shared" si="21"/>
        <v>6.2344139650872816E-4</v>
      </c>
      <c r="P166" s="65">
        <f t="shared" si="22"/>
        <v>5.2383446830801469E-4</v>
      </c>
      <c r="Q166" s="65">
        <f t="shared" si="23"/>
        <v>8.6805555555555551E-4</v>
      </c>
      <c r="R166" s="65">
        <f t="shared" si="24"/>
        <v>7.3099415204678359E-4</v>
      </c>
    </row>
    <row r="167" spans="2:18" x14ac:dyDescent="0.25">
      <c r="B167" s="73" t="s">
        <v>32</v>
      </c>
      <c r="C167" s="173">
        <v>0</v>
      </c>
      <c r="D167" s="170">
        <v>3</v>
      </c>
      <c r="E167" s="170">
        <v>7</v>
      </c>
      <c r="F167" s="169">
        <v>13</v>
      </c>
      <c r="G167" s="169">
        <v>14</v>
      </c>
      <c r="H167" s="169">
        <v>17</v>
      </c>
      <c r="I167" s="169">
        <v>20</v>
      </c>
      <c r="K167" s="73" t="s">
        <v>32</v>
      </c>
      <c r="L167" s="65">
        <f t="shared" si="18"/>
        <v>0</v>
      </c>
      <c r="M167" s="66">
        <f t="shared" si="19"/>
        <v>2.7247956403269754E-3</v>
      </c>
      <c r="N167" s="66">
        <f t="shared" si="20"/>
        <v>5.263157894736842E-3</v>
      </c>
      <c r="O167" s="66">
        <f t="shared" si="21"/>
        <v>8.1047381546134663E-3</v>
      </c>
      <c r="P167" s="66">
        <f t="shared" si="22"/>
        <v>7.3336825563122057E-3</v>
      </c>
      <c r="Q167" s="66">
        <f t="shared" si="23"/>
        <v>7.378472222222222E-3</v>
      </c>
      <c r="R167" s="66">
        <f t="shared" si="24"/>
        <v>7.3099415204678359E-3</v>
      </c>
    </row>
    <row r="168" spans="2:18" x14ac:dyDescent="0.25">
      <c r="B168" s="73" t="s">
        <v>91</v>
      </c>
      <c r="C168" s="170">
        <v>2</v>
      </c>
      <c r="D168" s="169">
        <v>15</v>
      </c>
      <c r="E168" s="169">
        <v>15</v>
      </c>
      <c r="F168" s="169">
        <v>15</v>
      </c>
      <c r="G168" s="169">
        <v>16</v>
      </c>
      <c r="H168" s="169">
        <v>20</v>
      </c>
      <c r="I168" s="169">
        <v>23</v>
      </c>
      <c r="K168" s="73" t="s">
        <v>91</v>
      </c>
      <c r="L168" s="65">
        <f t="shared" si="18"/>
        <v>2.2123893805309734E-3</v>
      </c>
      <c r="M168" s="65">
        <f t="shared" si="19"/>
        <v>1.3623978201634877E-2</v>
      </c>
      <c r="N168" s="65">
        <f t="shared" si="20"/>
        <v>1.1278195488721804E-2</v>
      </c>
      <c r="O168" s="65">
        <f t="shared" si="21"/>
        <v>9.3516209476309231E-3</v>
      </c>
      <c r="P168" s="70">
        <f t="shared" si="22"/>
        <v>8.3813514929282351E-3</v>
      </c>
      <c r="Q168" s="65">
        <f t="shared" si="23"/>
        <v>8.6805555555555559E-3</v>
      </c>
      <c r="R168" s="65">
        <f t="shared" si="24"/>
        <v>8.4064327485380112E-3</v>
      </c>
    </row>
    <row r="169" spans="2:18" x14ac:dyDescent="0.25">
      <c r="B169" s="74" t="s">
        <v>68</v>
      </c>
      <c r="C169" s="174">
        <f>SUM(C160:C168)</f>
        <v>904</v>
      </c>
      <c r="D169" s="193">
        <f t="shared" ref="D169:I169" si="25">SUM(D160:D168)</f>
        <v>1101</v>
      </c>
      <c r="E169" s="193">
        <f t="shared" si="25"/>
        <v>1330</v>
      </c>
      <c r="F169" s="193">
        <f t="shared" si="25"/>
        <v>1604</v>
      </c>
      <c r="G169" s="193">
        <f t="shared" si="25"/>
        <v>1909</v>
      </c>
      <c r="H169" s="193">
        <f t="shared" si="25"/>
        <v>2304</v>
      </c>
      <c r="I169" s="193">
        <f t="shared" si="25"/>
        <v>2736</v>
      </c>
      <c r="K169" s="17" t="s">
        <v>254</v>
      </c>
    </row>
    <row r="170" spans="2:18" x14ac:dyDescent="0.25">
      <c r="B170" s="17" t="s">
        <v>254</v>
      </c>
      <c r="K170" s="12"/>
    </row>
    <row r="171" spans="2:18" x14ac:dyDescent="0.25">
      <c r="B171" s="12"/>
    </row>
    <row r="172" spans="2:18" x14ac:dyDescent="0.25"/>
    <row r="173" spans="2:18" x14ac:dyDescent="0.25"/>
    <row r="174" spans="2:18" x14ac:dyDescent="0.25"/>
    <row r="175" spans="2:18" x14ac:dyDescent="0.25"/>
    <row r="176" spans="2:18"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sheetData>
  <mergeCells count="7">
    <mergeCell ref="AC33:AL33"/>
    <mergeCell ref="K34:T34"/>
    <mergeCell ref="L157:R157"/>
    <mergeCell ref="L142:R142"/>
    <mergeCell ref="C142:I142"/>
    <mergeCell ref="C157:I157"/>
    <mergeCell ref="H57:T58"/>
  </mergeCell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O201"/>
  <sheetViews>
    <sheetView zoomScale="73" zoomScaleNormal="73" workbookViewId="0">
      <selection activeCell="D58" sqref="D58"/>
    </sheetView>
  </sheetViews>
  <sheetFormatPr defaultColWidth="0" defaultRowHeight="15.75" zeroHeight="1" x14ac:dyDescent="0.25"/>
  <cols>
    <col min="1" max="1" width="9.140625" style="18" customWidth="1"/>
    <col min="2" max="2" width="35.28515625" style="18" bestFit="1" customWidth="1"/>
    <col min="3" max="3" width="44.7109375" style="18" customWidth="1"/>
    <col min="4" max="4" width="37.85546875" style="18" bestFit="1" customWidth="1"/>
    <col min="5" max="5" width="27.28515625" style="18" bestFit="1" customWidth="1"/>
    <col min="6" max="6" width="32.85546875" style="18" bestFit="1" customWidth="1"/>
    <col min="7" max="7" width="33" style="18" customWidth="1"/>
    <col min="8" max="8" width="19" style="18" customWidth="1"/>
    <col min="9" max="9" width="17.85546875" style="18" customWidth="1"/>
    <col min="10" max="10" width="26.28515625" style="18" customWidth="1"/>
    <col min="11" max="11" width="23.5703125" style="18" bestFit="1" customWidth="1"/>
    <col min="12" max="12" width="33.5703125" style="18" bestFit="1" customWidth="1"/>
    <col min="13" max="13" width="24.42578125" style="18" bestFit="1" customWidth="1"/>
    <col min="14" max="15" width="25" style="18" bestFit="1" customWidth="1"/>
    <col min="16" max="17" width="24.42578125" style="18" bestFit="1" customWidth="1"/>
    <col min="18" max="18" width="29" style="18" bestFit="1" customWidth="1"/>
    <col min="19" max="20" width="24.7109375" style="18" bestFit="1" customWidth="1"/>
    <col min="21" max="21" width="30.7109375" style="18" customWidth="1"/>
    <col min="22" max="22" width="9.140625" style="18" customWidth="1"/>
    <col min="23" max="23" width="8.7109375" style="18" customWidth="1"/>
    <col min="24" max="24" width="9.140625" style="18" customWidth="1"/>
    <col min="25" max="27" width="9.140625" style="18" hidden="1" customWidth="1"/>
    <col min="28" max="28" width="31.5703125" style="18" hidden="1" customWidth="1"/>
    <col min="29" max="29" width="46.85546875" style="18" hidden="1" customWidth="1"/>
    <col min="30" max="30" width="18.85546875" style="18" hidden="1" customWidth="1"/>
    <col min="31" max="31" width="20.28515625" style="18" hidden="1" customWidth="1"/>
    <col min="32" max="32" width="25.7109375" style="18" hidden="1" customWidth="1"/>
    <col min="33" max="33" width="13" style="18" hidden="1" customWidth="1"/>
    <col min="34" max="34" width="19.28515625" style="18" hidden="1" customWidth="1"/>
    <col min="35" max="35" width="19.5703125" style="18" hidden="1" customWidth="1"/>
    <col min="36" max="36" width="19.140625" style="18" hidden="1" customWidth="1"/>
    <col min="37" max="37" width="21" style="18" hidden="1" customWidth="1"/>
    <col min="38" max="38" width="22.42578125" style="18" hidden="1" customWidth="1"/>
    <col min="39" max="39" width="19.28515625" style="18" hidden="1" customWidth="1"/>
    <col min="40" max="40" width="19.140625" style="18" hidden="1" customWidth="1"/>
    <col min="41" max="41" width="23.140625" style="18" hidden="1" customWidth="1"/>
    <col min="42" max="16384" width="9.140625" style="18" hidden="1"/>
  </cols>
  <sheetData>
    <row r="1" spans="1:14" x14ac:dyDescent="0.25">
      <c r="A1" s="89" t="s">
        <v>269</v>
      </c>
    </row>
    <row r="2" spans="1:14" x14ac:dyDescent="0.25">
      <c r="A2" s="16" t="s">
        <v>245</v>
      </c>
    </row>
    <row r="3" spans="1:14" x14ac:dyDescent="0.25">
      <c r="A3" s="17" t="s">
        <v>249</v>
      </c>
    </row>
    <row r="4" spans="1:14" s="21" customFormat="1" x14ac:dyDescent="0.25">
      <c r="A4" s="18"/>
      <c r="B4" s="18"/>
      <c r="C4" s="18"/>
      <c r="D4" s="18"/>
      <c r="E4" s="18"/>
      <c r="F4" s="18"/>
      <c r="G4" s="18"/>
      <c r="H4" s="18"/>
      <c r="I4" s="18"/>
      <c r="J4" s="18"/>
      <c r="K4" s="18"/>
      <c r="L4" s="18"/>
      <c r="M4" s="18"/>
      <c r="N4" s="18"/>
    </row>
    <row r="5" spans="1:14" s="21" customFormat="1" x14ac:dyDescent="0.25">
      <c r="A5" s="18"/>
      <c r="B5" s="18"/>
      <c r="C5" s="18"/>
      <c r="D5" s="18"/>
      <c r="E5" s="18"/>
      <c r="F5" s="18"/>
      <c r="G5" s="18"/>
      <c r="H5" s="85" t="s">
        <v>19</v>
      </c>
      <c r="I5" s="85"/>
      <c r="J5" s="85"/>
      <c r="K5" s="85"/>
      <c r="L5" s="85"/>
      <c r="M5" s="85"/>
      <c r="N5" s="85"/>
    </row>
    <row r="6" spans="1:14" s="21" customFormat="1" ht="18.75" x14ac:dyDescent="0.25">
      <c r="A6" s="18"/>
      <c r="B6" s="20" t="s">
        <v>438</v>
      </c>
      <c r="C6" s="18"/>
      <c r="D6" s="18"/>
      <c r="E6" s="20" t="s">
        <v>439</v>
      </c>
      <c r="F6" s="18"/>
      <c r="G6" s="18"/>
      <c r="H6" s="19" t="s">
        <v>20</v>
      </c>
      <c r="I6" s="18" t="s">
        <v>21</v>
      </c>
      <c r="J6" s="18"/>
      <c r="K6" s="18"/>
      <c r="L6" s="18"/>
      <c r="M6" s="18"/>
      <c r="N6" s="18"/>
    </row>
    <row r="7" spans="1:14" x14ac:dyDescent="0.25">
      <c r="B7" s="72" t="s">
        <v>1</v>
      </c>
      <c r="C7" s="72" t="s">
        <v>246</v>
      </c>
      <c r="E7" s="72" t="s">
        <v>1</v>
      </c>
      <c r="F7" s="72" t="s">
        <v>246</v>
      </c>
      <c r="H7" s="19" t="s">
        <v>20</v>
      </c>
      <c r="I7" s="18" t="s">
        <v>22</v>
      </c>
    </row>
    <row r="8" spans="1:14" x14ac:dyDescent="0.25">
      <c r="B8" s="73" t="s">
        <v>2</v>
      </c>
      <c r="C8" s="197">
        <v>79</v>
      </c>
      <c r="E8" s="73" t="s">
        <v>2</v>
      </c>
      <c r="F8" s="197">
        <v>59</v>
      </c>
      <c r="H8" s="19" t="s">
        <v>20</v>
      </c>
      <c r="I8" s="18" t="s">
        <v>23</v>
      </c>
    </row>
    <row r="9" spans="1:14" x14ac:dyDescent="0.25">
      <c r="B9" s="73" t="s">
        <v>3</v>
      </c>
      <c r="C9" s="197">
        <v>14.8</v>
      </c>
      <c r="E9" s="73" t="s">
        <v>3</v>
      </c>
      <c r="F9" s="197">
        <v>24.8</v>
      </c>
      <c r="H9" s="19" t="s">
        <v>20</v>
      </c>
      <c r="I9" s="18" t="s">
        <v>30</v>
      </c>
    </row>
    <row r="10" spans="1:14" x14ac:dyDescent="0.25">
      <c r="B10" s="73" t="s">
        <v>4</v>
      </c>
      <c r="C10" s="106">
        <v>1.8</v>
      </c>
      <c r="E10" s="73" t="s">
        <v>4</v>
      </c>
      <c r="F10" s="106">
        <v>7.8</v>
      </c>
      <c r="H10" s="19" t="s">
        <v>20</v>
      </c>
      <c r="I10" s="18" t="s">
        <v>55</v>
      </c>
    </row>
    <row r="11" spans="1:14" x14ac:dyDescent="0.25">
      <c r="B11" s="73" t="s">
        <v>5</v>
      </c>
      <c r="C11" s="106">
        <v>1.8</v>
      </c>
      <c r="E11" s="73" t="s">
        <v>5</v>
      </c>
      <c r="F11" s="106">
        <v>3.8</v>
      </c>
      <c r="H11" s="19"/>
    </row>
    <row r="12" spans="1:14" x14ac:dyDescent="0.25">
      <c r="B12" s="73" t="s">
        <v>6</v>
      </c>
      <c r="C12" s="106">
        <v>1.5</v>
      </c>
      <c r="E12" s="73" t="s">
        <v>6</v>
      </c>
      <c r="F12" s="106">
        <v>3.5</v>
      </c>
      <c r="H12" s="19"/>
    </row>
    <row r="13" spans="1:14" x14ac:dyDescent="0.25">
      <c r="B13" s="73" t="s">
        <v>8</v>
      </c>
      <c r="C13" s="198">
        <v>0.7</v>
      </c>
      <c r="E13" s="73" t="s">
        <v>8</v>
      </c>
      <c r="F13" s="198">
        <v>0.7</v>
      </c>
      <c r="H13" s="19"/>
    </row>
    <row r="14" spans="1:14" x14ac:dyDescent="0.25">
      <c r="B14" s="73" t="s">
        <v>7</v>
      </c>
      <c r="C14" s="198">
        <v>0.2</v>
      </c>
      <c r="E14" s="73" t="s">
        <v>7</v>
      </c>
      <c r="F14" s="198">
        <v>0.2</v>
      </c>
      <c r="H14" s="19"/>
    </row>
    <row r="15" spans="1:14" x14ac:dyDescent="0.25">
      <c r="B15" s="73" t="s">
        <v>13</v>
      </c>
      <c r="C15" s="198">
        <v>0.2</v>
      </c>
      <c r="E15" s="73" t="s">
        <v>13</v>
      </c>
      <c r="F15" s="198">
        <v>0.2</v>
      </c>
      <c r="H15" s="19"/>
    </row>
    <row r="16" spans="1:14" x14ac:dyDescent="0.25">
      <c r="B16" s="73" t="s">
        <v>9</v>
      </c>
      <c r="C16" s="198">
        <v>0.1</v>
      </c>
      <c r="E16" s="73" t="s">
        <v>9</v>
      </c>
      <c r="F16" s="198">
        <v>0.1</v>
      </c>
    </row>
    <row r="17" spans="2:41" x14ac:dyDescent="0.25">
      <c r="B17" s="73" t="s">
        <v>11</v>
      </c>
      <c r="C17" s="199">
        <v>100</v>
      </c>
      <c r="E17" s="73" t="s">
        <v>11</v>
      </c>
      <c r="F17" s="199">
        <f>SUM(F8:F16)</f>
        <v>100.1</v>
      </c>
    </row>
    <row r="18" spans="2:41" x14ac:dyDescent="0.25">
      <c r="B18" s="73" t="s">
        <v>248</v>
      </c>
      <c r="C18" s="108">
        <v>0.22</v>
      </c>
      <c r="E18" s="73" t="s">
        <v>248</v>
      </c>
      <c r="F18" s="108">
        <v>0.22</v>
      </c>
    </row>
    <row r="19" spans="2:41" x14ac:dyDescent="0.25">
      <c r="B19" s="17" t="s">
        <v>279</v>
      </c>
      <c r="E19" s="17" t="s">
        <v>279</v>
      </c>
    </row>
    <row r="20" spans="2:41" ht="18.75" x14ac:dyDescent="0.25">
      <c r="B20" s="17" t="s">
        <v>440</v>
      </c>
      <c r="E20" s="17" t="s">
        <v>440</v>
      </c>
    </row>
    <row r="21" spans="2:41" x14ac:dyDescent="0.25">
      <c r="AB21" s="33" t="s">
        <v>319</v>
      </c>
      <c r="AE21" s="128" t="s">
        <v>320</v>
      </c>
    </row>
    <row r="22" spans="2:41" x14ac:dyDescent="0.25">
      <c r="B22" s="20" t="s">
        <v>42</v>
      </c>
      <c r="H22" s="20" t="s">
        <v>271</v>
      </c>
      <c r="J22" s="21"/>
      <c r="K22" s="21"/>
      <c r="AE22" s="32" t="s">
        <v>225</v>
      </c>
      <c r="AF22" s="32" t="s">
        <v>331</v>
      </c>
      <c r="AG22" s="32" t="s">
        <v>332</v>
      </c>
      <c r="AH22" s="32" t="s">
        <v>337</v>
      </c>
      <c r="AI22" s="32" t="s">
        <v>329</v>
      </c>
      <c r="AJ22" s="32" t="s">
        <v>335</v>
      </c>
      <c r="AK22" s="32" t="s">
        <v>330</v>
      </c>
      <c r="AL22" s="32" t="s">
        <v>333</v>
      </c>
      <c r="AM22" s="32" t="s">
        <v>338</v>
      </c>
      <c r="AN22" s="32" t="s">
        <v>336</v>
      </c>
      <c r="AO22" s="32" t="s">
        <v>334</v>
      </c>
    </row>
    <row r="23" spans="2:41" x14ac:dyDescent="0.25">
      <c r="B23" s="72" t="s">
        <v>1</v>
      </c>
      <c r="C23" s="72" t="s">
        <v>40</v>
      </c>
      <c r="D23" s="72" t="s">
        <v>41</v>
      </c>
      <c r="K23" s="90" t="s">
        <v>119</v>
      </c>
      <c r="L23" s="91"/>
      <c r="M23" s="91"/>
      <c r="N23" s="91"/>
      <c r="O23" s="91"/>
      <c r="P23" s="91"/>
      <c r="Q23" s="91"/>
      <c r="R23" s="91"/>
      <c r="S23" s="91"/>
      <c r="T23" s="91"/>
      <c r="U23" s="91"/>
      <c r="AE23" s="90" t="s">
        <v>119</v>
      </c>
      <c r="AF23" s="90"/>
      <c r="AG23" s="90"/>
      <c r="AH23" s="90"/>
      <c r="AI23" s="90"/>
      <c r="AJ23" s="90"/>
      <c r="AK23" s="90"/>
      <c r="AL23" s="90"/>
      <c r="AM23" s="90"/>
      <c r="AN23" s="90"/>
      <c r="AO23" s="90"/>
    </row>
    <row r="24" spans="2:41" x14ac:dyDescent="0.25">
      <c r="B24" s="73" t="s">
        <v>27</v>
      </c>
      <c r="C24" s="197">
        <v>69.099999999999994</v>
      </c>
      <c r="D24" s="200">
        <v>1136</v>
      </c>
      <c r="I24" s="84" t="s">
        <v>117</v>
      </c>
      <c r="K24" s="32">
        <v>1</v>
      </c>
      <c r="L24" s="32">
        <f>K24+1</f>
        <v>2</v>
      </c>
      <c r="M24" s="32">
        <f t="shared" ref="M24:U24" si="0">L24+1</f>
        <v>3</v>
      </c>
      <c r="N24" s="32">
        <f t="shared" si="0"/>
        <v>4</v>
      </c>
      <c r="O24" s="32">
        <f t="shared" si="0"/>
        <v>5</v>
      </c>
      <c r="P24" s="32">
        <f t="shared" si="0"/>
        <v>6</v>
      </c>
      <c r="Q24" s="32">
        <f t="shared" si="0"/>
        <v>7</v>
      </c>
      <c r="R24" s="32">
        <f t="shared" si="0"/>
        <v>8</v>
      </c>
      <c r="S24" s="32">
        <f t="shared" si="0"/>
        <v>9</v>
      </c>
      <c r="T24" s="32">
        <f t="shared" si="0"/>
        <v>10</v>
      </c>
      <c r="U24" s="32">
        <f t="shared" si="0"/>
        <v>11</v>
      </c>
      <c r="AC24" s="84" t="s">
        <v>117</v>
      </c>
      <c r="AE24" s="32">
        <v>1</v>
      </c>
      <c r="AF24" s="32">
        <v>2</v>
      </c>
      <c r="AG24" s="32">
        <v>3</v>
      </c>
      <c r="AH24" s="32">
        <v>4</v>
      </c>
      <c r="AI24" s="32">
        <v>5</v>
      </c>
      <c r="AJ24" s="32">
        <v>6</v>
      </c>
      <c r="AK24" s="32">
        <v>7</v>
      </c>
      <c r="AL24" s="32">
        <v>8</v>
      </c>
      <c r="AM24" s="32">
        <v>9</v>
      </c>
      <c r="AN24" s="32">
        <v>10</v>
      </c>
      <c r="AO24" s="32">
        <v>11</v>
      </c>
    </row>
    <row r="25" spans="2:41" x14ac:dyDescent="0.25">
      <c r="B25" s="73" t="s">
        <v>33</v>
      </c>
      <c r="C25" s="201">
        <v>0</v>
      </c>
      <c r="D25" s="201">
        <v>0</v>
      </c>
      <c r="H25" s="72" t="s">
        <v>179</v>
      </c>
      <c r="I25" s="78" t="s">
        <v>78</v>
      </c>
      <c r="J25" s="72" t="s">
        <v>73</v>
      </c>
      <c r="K25" s="72" t="s">
        <v>214</v>
      </c>
      <c r="L25" s="72" t="s">
        <v>177</v>
      </c>
      <c r="M25" s="72" t="s">
        <v>170</v>
      </c>
      <c r="N25" s="72" t="s">
        <v>173</v>
      </c>
      <c r="O25" s="72" t="s">
        <v>175</v>
      </c>
      <c r="P25" s="72" t="s">
        <v>171</v>
      </c>
      <c r="Q25" s="72" t="s">
        <v>176</v>
      </c>
      <c r="R25" s="72" t="s">
        <v>169</v>
      </c>
      <c r="S25" s="72" t="s">
        <v>174</v>
      </c>
      <c r="T25" s="72" t="s">
        <v>172</v>
      </c>
      <c r="U25" s="72" t="s">
        <v>168</v>
      </c>
      <c r="AB25" s="72" t="s">
        <v>324</v>
      </c>
      <c r="AC25" s="78" t="s">
        <v>78</v>
      </c>
      <c r="AD25" s="72" t="s">
        <v>73</v>
      </c>
      <c r="AE25" s="72" t="s">
        <v>214</v>
      </c>
      <c r="AF25" s="72" t="s">
        <v>177</v>
      </c>
      <c r="AG25" s="72" t="s">
        <v>170</v>
      </c>
      <c r="AH25" s="72" t="s">
        <v>173</v>
      </c>
      <c r="AI25" s="72" t="s">
        <v>175</v>
      </c>
      <c r="AJ25" s="72" t="s">
        <v>171</v>
      </c>
      <c r="AK25" s="72" t="s">
        <v>176</v>
      </c>
      <c r="AL25" s="72" t="s">
        <v>169</v>
      </c>
      <c r="AM25" s="72" t="s">
        <v>174</v>
      </c>
      <c r="AN25" s="72" t="s">
        <v>172</v>
      </c>
      <c r="AO25" s="72" t="s">
        <v>168</v>
      </c>
    </row>
    <row r="26" spans="2:41" x14ac:dyDescent="0.25">
      <c r="B26" s="73" t="s">
        <v>31</v>
      </c>
      <c r="C26" s="106">
        <v>8.4</v>
      </c>
      <c r="D26" s="199">
        <v>208</v>
      </c>
      <c r="H26" s="92" t="s">
        <v>5</v>
      </c>
      <c r="I26" s="78" t="s">
        <v>5</v>
      </c>
      <c r="J26" s="73" t="s">
        <v>79</v>
      </c>
      <c r="K26" s="191">
        <f>CurrentGrids!D11*100</f>
        <v>2.0489859893953457</v>
      </c>
      <c r="L26" s="208">
        <f>E124*100</f>
        <v>7.3350232866522536</v>
      </c>
      <c r="M26" s="208">
        <f>O153*100</f>
        <v>9.5161452570163974</v>
      </c>
      <c r="N26" s="175">
        <f>E82</f>
        <v>12.807881773399014</v>
      </c>
      <c r="O26" s="175">
        <f>E98*100</f>
        <v>11.111628948697517</v>
      </c>
      <c r="P26" s="175">
        <f>E65</f>
        <v>18.7192118226601</v>
      </c>
      <c r="Q26" s="175">
        <f>E111*100</f>
        <v>13.122750387873285</v>
      </c>
      <c r="R26" s="208">
        <f>C31</f>
        <v>7.3</v>
      </c>
      <c r="S26" s="175">
        <f>F82</f>
        <v>24.03846153846154</v>
      </c>
      <c r="T26" s="175">
        <f>F65</f>
        <v>54</v>
      </c>
      <c r="U26" s="175">
        <f>E50</f>
        <v>25.625625625625627</v>
      </c>
      <c r="AB26" s="92" t="s">
        <v>5</v>
      </c>
      <c r="AC26" s="78" t="s">
        <v>5</v>
      </c>
      <c r="AD26" s="73" t="s">
        <v>79</v>
      </c>
      <c r="AE26" s="131">
        <v>2.0489859893953456E-2</v>
      </c>
      <c r="AF26" s="131">
        <v>7.3350232866522536E-2</v>
      </c>
      <c r="AG26" s="131">
        <v>9.5161452570163979E-2</v>
      </c>
      <c r="AH26" s="131">
        <v>0.12807881773399013</v>
      </c>
      <c r="AI26" s="131">
        <v>0.11111628948697516</v>
      </c>
      <c r="AJ26" s="131">
        <v>0.18719211822660101</v>
      </c>
      <c r="AK26" s="131">
        <v>0.13122750387873286</v>
      </c>
      <c r="AL26" s="131">
        <v>7.2999999999999995E-2</v>
      </c>
      <c r="AM26" s="131">
        <v>0.24038461538461539</v>
      </c>
      <c r="AN26" s="131">
        <v>0.54</v>
      </c>
      <c r="AO26" s="131">
        <v>0.25625625625625625</v>
      </c>
    </row>
    <row r="27" spans="2:41" x14ac:dyDescent="0.25">
      <c r="B27" s="73" t="s">
        <v>34</v>
      </c>
      <c r="C27" s="201">
        <v>0</v>
      </c>
      <c r="D27" s="201">
        <v>0</v>
      </c>
      <c r="H27" s="92" t="s">
        <v>7</v>
      </c>
      <c r="I27" s="78" t="s">
        <v>76</v>
      </c>
      <c r="J27" s="73" t="s">
        <v>79</v>
      </c>
      <c r="K27" s="209">
        <f>CurrentGrids!D7*100</f>
        <v>0.11940011356228514</v>
      </c>
      <c r="L27" s="210"/>
      <c r="M27" s="211">
        <f>O150*100</f>
        <v>0.11065285182577204</v>
      </c>
      <c r="N27" s="210"/>
      <c r="O27" s="210"/>
      <c r="P27" s="210"/>
      <c r="Q27" s="210"/>
      <c r="R27" s="211">
        <f>C30</f>
        <v>0.1</v>
      </c>
      <c r="S27" s="210"/>
      <c r="T27" s="210"/>
      <c r="U27" s="211">
        <f>E49</f>
        <v>0.90090090090090091</v>
      </c>
      <c r="AB27" s="92" t="s">
        <v>7</v>
      </c>
      <c r="AC27" s="78" t="s">
        <v>76</v>
      </c>
      <c r="AD27" s="73" t="s">
        <v>79</v>
      </c>
      <c r="AE27" s="131">
        <v>1.1940011356228514E-3</v>
      </c>
      <c r="AF27" s="131">
        <v>0</v>
      </c>
      <c r="AG27" s="131">
        <v>1.1065285182577204E-3</v>
      </c>
      <c r="AH27" s="131">
        <v>0</v>
      </c>
      <c r="AI27" s="131">
        <v>0</v>
      </c>
      <c r="AJ27" s="131">
        <v>0</v>
      </c>
      <c r="AK27" s="131">
        <v>0</v>
      </c>
      <c r="AL27" s="131">
        <v>1E-3</v>
      </c>
      <c r="AM27" s="131">
        <v>0</v>
      </c>
      <c r="AN27" s="131">
        <v>0</v>
      </c>
      <c r="AO27" s="131">
        <v>9.0090090090090089E-3</v>
      </c>
    </row>
    <row r="28" spans="2:41" x14ac:dyDescent="0.25">
      <c r="B28" s="73" t="s">
        <v>8</v>
      </c>
      <c r="C28" s="106">
        <v>1.3</v>
      </c>
      <c r="D28" s="197">
        <v>26</v>
      </c>
      <c r="H28" s="92" t="s">
        <v>27</v>
      </c>
      <c r="I28" s="98" t="s">
        <v>27</v>
      </c>
      <c r="J28" s="73" t="s">
        <v>79</v>
      </c>
      <c r="K28" s="175">
        <f t="shared" ref="K28:P28" si="1">SUM(K29:K32)</f>
        <v>75.466342440774042</v>
      </c>
      <c r="L28" s="175">
        <f t="shared" si="1"/>
        <v>73.826186931530614</v>
      </c>
      <c r="M28" s="175">
        <f t="shared" si="1"/>
        <v>65.013580122724065</v>
      </c>
      <c r="N28" s="175">
        <f t="shared" si="1"/>
        <v>66.009852216748769</v>
      </c>
      <c r="O28" s="175">
        <f t="shared" si="1"/>
        <v>64.935392853666968</v>
      </c>
      <c r="P28" s="175">
        <f t="shared" si="1"/>
        <v>48.275862068965523</v>
      </c>
      <c r="Q28" s="175">
        <v>52.901484150959121</v>
      </c>
      <c r="R28" s="175">
        <f>SUM(R29:R32)</f>
        <v>69.099999999999994</v>
      </c>
      <c r="S28" s="175">
        <f>SUM(S29:S32)</f>
        <v>47.115384615384613</v>
      </c>
      <c r="T28" s="208">
        <f>SUM(T29:T32)</f>
        <v>9</v>
      </c>
      <c r="U28" s="175">
        <f>SUM(U29:U32)</f>
        <v>15.815815815815816</v>
      </c>
      <c r="AB28" s="132"/>
      <c r="AC28" s="133" t="s">
        <v>27</v>
      </c>
      <c r="AD28" s="109" t="s">
        <v>79</v>
      </c>
      <c r="AE28" s="134">
        <v>0.75466342440774037</v>
      </c>
      <c r="AF28" s="134">
        <v>0.73826186931530613</v>
      </c>
      <c r="AG28" s="134">
        <v>0.65013580122724068</v>
      </c>
      <c r="AH28" s="134">
        <v>0.66009852216748766</v>
      </c>
      <c r="AI28" s="134">
        <v>0.64935392853666973</v>
      </c>
      <c r="AJ28" s="134">
        <v>0.48275862068965525</v>
      </c>
      <c r="AK28" s="134">
        <v>0.52901484150959122</v>
      </c>
      <c r="AL28" s="134">
        <v>0.69099999999999995</v>
      </c>
      <c r="AM28" s="134">
        <v>0.47115384615384615</v>
      </c>
      <c r="AN28" s="134">
        <v>0.09</v>
      </c>
      <c r="AO28" s="134">
        <v>0.15815815815815815</v>
      </c>
    </row>
    <row r="29" spans="2:41" x14ac:dyDescent="0.25">
      <c r="B29" s="73" t="s">
        <v>35</v>
      </c>
      <c r="C29" s="201">
        <v>0</v>
      </c>
      <c r="D29" s="201">
        <v>0</v>
      </c>
      <c r="H29" s="92" t="s">
        <v>108</v>
      </c>
      <c r="I29" s="98"/>
      <c r="J29" s="32" t="s">
        <v>74</v>
      </c>
      <c r="K29" s="212">
        <f>CurrentGrids!D6*100</f>
        <v>75.466342440774042</v>
      </c>
      <c r="L29" s="197">
        <f>E120*100</f>
        <v>73.826186931530614</v>
      </c>
      <c r="M29" s="197">
        <f>O152*100</f>
        <v>65.013580122724065</v>
      </c>
      <c r="N29" s="198">
        <f>E78</f>
        <v>0.98522167487684731</v>
      </c>
      <c r="O29" s="197">
        <f>E94*100</f>
        <v>64.935392853666968</v>
      </c>
      <c r="P29" s="201"/>
      <c r="Q29" s="197">
        <f>E107*100</f>
        <v>52.901484150959121</v>
      </c>
      <c r="R29" s="197">
        <f>C24</f>
        <v>69.099999999999994</v>
      </c>
      <c r="S29" s="201"/>
      <c r="T29" s="201"/>
      <c r="U29" s="106">
        <f>E43</f>
        <v>1.0010010010010009</v>
      </c>
      <c r="AB29" s="92" t="s">
        <v>339</v>
      </c>
      <c r="AC29" s="98"/>
      <c r="AD29" s="32" t="s">
        <v>74</v>
      </c>
      <c r="AE29" s="131">
        <v>0.75466342440774037</v>
      </c>
      <c r="AF29" s="131">
        <v>0.73826186931530613</v>
      </c>
      <c r="AG29" s="131">
        <v>0.65013580122724068</v>
      </c>
      <c r="AH29" s="131">
        <v>9.852216748768473E-3</v>
      </c>
      <c r="AI29" s="131">
        <v>0.64935392853666973</v>
      </c>
      <c r="AJ29" s="131">
        <v>0</v>
      </c>
      <c r="AK29" s="131">
        <v>0.52901484150959122</v>
      </c>
      <c r="AL29" s="131">
        <v>0.69099999999999995</v>
      </c>
      <c r="AM29" s="131">
        <v>0</v>
      </c>
      <c r="AN29" s="131">
        <v>0</v>
      </c>
      <c r="AO29" s="131">
        <v>1.0010010010010008E-2</v>
      </c>
    </row>
    <row r="30" spans="2:41" x14ac:dyDescent="0.25">
      <c r="B30" s="73" t="s">
        <v>7</v>
      </c>
      <c r="C30" s="198">
        <v>0.1</v>
      </c>
      <c r="D30" s="106">
        <v>6</v>
      </c>
      <c r="H30" s="92" t="s">
        <v>100</v>
      </c>
      <c r="I30" s="98"/>
      <c r="J30" s="32" t="s">
        <v>106</v>
      </c>
      <c r="K30" s="213"/>
      <c r="L30" s="201"/>
      <c r="M30" s="201"/>
      <c r="N30" s="197">
        <f>E79</f>
        <v>21.674876847290641</v>
      </c>
      <c r="O30" s="201"/>
      <c r="P30" s="197">
        <f>E62</f>
        <v>18.7192118226601</v>
      </c>
      <c r="Q30" s="201"/>
      <c r="R30" s="201"/>
      <c r="S30" s="106">
        <f>F79</f>
        <v>7.6923076923076925</v>
      </c>
      <c r="T30" s="201"/>
      <c r="U30" s="201"/>
      <c r="AB30" s="92" t="s">
        <v>340</v>
      </c>
      <c r="AC30" s="98"/>
      <c r="AD30" s="32" t="s">
        <v>106</v>
      </c>
      <c r="AE30" s="131">
        <v>0</v>
      </c>
      <c r="AF30" s="131">
        <v>0</v>
      </c>
      <c r="AG30" s="131">
        <v>0</v>
      </c>
      <c r="AH30" s="131">
        <v>0.21674876847290642</v>
      </c>
      <c r="AI30" s="131">
        <v>0</v>
      </c>
      <c r="AJ30" s="131">
        <v>0.18719211822660101</v>
      </c>
      <c r="AK30" s="131">
        <v>0</v>
      </c>
      <c r="AL30" s="131">
        <v>0</v>
      </c>
      <c r="AM30" s="131">
        <v>7.6923076923076927E-2</v>
      </c>
      <c r="AN30" s="131">
        <v>0</v>
      </c>
      <c r="AO30" s="131">
        <v>0</v>
      </c>
    </row>
    <row r="31" spans="2:41" x14ac:dyDescent="0.25">
      <c r="B31" s="73" t="s">
        <v>5</v>
      </c>
      <c r="C31" s="106">
        <v>7.3</v>
      </c>
      <c r="D31" s="199">
        <v>110</v>
      </c>
      <c r="H31" s="92" t="s">
        <v>101</v>
      </c>
      <c r="I31" s="98"/>
      <c r="J31" s="32" t="s">
        <v>107</v>
      </c>
      <c r="K31" s="213"/>
      <c r="L31" s="201"/>
      <c r="M31" s="201"/>
      <c r="N31" s="197">
        <f>E80</f>
        <v>43.349753694581281</v>
      </c>
      <c r="O31" s="201"/>
      <c r="P31" s="197">
        <f>E63</f>
        <v>29.55665024630542</v>
      </c>
      <c r="Q31" s="201"/>
      <c r="R31" s="201"/>
      <c r="S31" s="197">
        <f>F80</f>
        <v>39.42307692307692</v>
      </c>
      <c r="T31" s="106">
        <f>F63</f>
        <v>9</v>
      </c>
      <c r="U31" s="201"/>
      <c r="AB31" s="92" t="s">
        <v>341</v>
      </c>
      <c r="AC31" s="98"/>
      <c r="AD31" s="32" t="s">
        <v>107</v>
      </c>
      <c r="AE31" s="131">
        <v>0</v>
      </c>
      <c r="AF31" s="131">
        <v>0</v>
      </c>
      <c r="AG31" s="131">
        <v>0</v>
      </c>
      <c r="AH31" s="131">
        <v>0.43349753694581283</v>
      </c>
      <c r="AI31" s="131">
        <v>0</v>
      </c>
      <c r="AJ31" s="131">
        <v>0.29556650246305421</v>
      </c>
      <c r="AK31" s="131">
        <v>0</v>
      </c>
      <c r="AL31" s="131">
        <v>0</v>
      </c>
      <c r="AM31" s="131">
        <v>0.39423076923076922</v>
      </c>
      <c r="AN31" s="131">
        <v>0.09</v>
      </c>
      <c r="AO31" s="131">
        <v>0</v>
      </c>
    </row>
    <row r="32" spans="2:41" x14ac:dyDescent="0.25">
      <c r="B32" s="73" t="s">
        <v>28</v>
      </c>
      <c r="C32" s="106">
        <v>9.1999999999999993</v>
      </c>
      <c r="D32" s="199">
        <v>365</v>
      </c>
      <c r="H32" s="92" t="s">
        <v>166</v>
      </c>
      <c r="I32" s="98"/>
      <c r="J32" s="32" t="s">
        <v>33</v>
      </c>
      <c r="K32" s="213"/>
      <c r="L32" s="201"/>
      <c r="M32" s="201"/>
      <c r="N32" s="201"/>
      <c r="O32" s="201"/>
      <c r="P32" s="201"/>
      <c r="Q32" s="201"/>
      <c r="R32" s="201"/>
      <c r="S32" s="201"/>
      <c r="T32" s="201"/>
      <c r="U32" s="197">
        <f>E44</f>
        <v>14.814814814814815</v>
      </c>
      <c r="AB32" s="92" t="s">
        <v>342</v>
      </c>
      <c r="AC32" s="98"/>
      <c r="AD32" s="32" t="s">
        <v>33</v>
      </c>
      <c r="AE32" s="131">
        <v>0</v>
      </c>
      <c r="AF32" s="131">
        <v>0</v>
      </c>
      <c r="AG32" s="131">
        <v>0</v>
      </c>
      <c r="AH32" s="131">
        <v>0</v>
      </c>
      <c r="AI32" s="131">
        <v>0</v>
      </c>
      <c r="AJ32" s="131">
        <v>0</v>
      </c>
      <c r="AK32" s="131">
        <v>0</v>
      </c>
      <c r="AL32" s="131">
        <v>0</v>
      </c>
      <c r="AM32" s="131">
        <v>0</v>
      </c>
      <c r="AN32" s="131">
        <v>0</v>
      </c>
      <c r="AO32" s="131">
        <v>0.14814814814814814</v>
      </c>
    </row>
    <row r="33" spans="2:41" x14ac:dyDescent="0.25">
      <c r="B33" s="73" t="s">
        <v>36</v>
      </c>
      <c r="C33" s="198">
        <v>0.8</v>
      </c>
      <c r="D33" s="197">
        <v>62</v>
      </c>
      <c r="H33" s="92" t="s">
        <v>31</v>
      </c>
      <c r="I33" s="98" t="s">
        <v>31</v>
      </c>
      <c r="J33" s="73" t="s">
        <v>79</v>
      </c>
      <c r="K33" s="191">
        <f t="shared" ref="K33:U33" si="2">SUM(K34:K35)</f>
        <v>1.6632670800999627</v>
      </c>
      <c r="L33" s="208">
        <f t="shared" si="2"/>
        <v>5.7021903527204714</v>
      </c>
      <c r="M33" s="208">
        <f t="shared" si="2"/>
        <v>4.2450457700432551</v>
      </c>
      <c r="N33" s="208">
        <f t="shared" si="2"/>
        <v>1.9704433497536946</v>
      </c>
      <c r="O33" s="208">
        <f t="shared" si="2"/>
        <v>8.5598894055318588</v>
      </c>
      <c r="P33" s="208">
        <f t="shared" si="2"/>
        <v>3.9408866995073892</v>
      </c>
      <c r="Q33" s="175">
        <f t="shared" si="2"/>
        <v>15.166114456924268</v>
      </c>
      <c r="R33" s="208">
        <f t="shared" si="2"/>
        <v>8.4</v>
      </c>
      <c r="S33" s="208">
        <f t="shared" si="2"/>
        <v>1.9230769230769231</v>
      </c>
      <c r="T33" s="208">
        <f t="shared" si="2"/>
        <v>2</v>
      </c>
      <c r="U33" s="175">
        <f t="shared" si="2"/>
        <v>22.822822822822822</v>
      </c>
      <c r="AB33" s="132"/>
      <c r="AC33" s="133" t="s">
        <v>31</v>
      </c>
      <c r="AD33" s="109" t="s">
        <v>79</v>
      </c>
      <c r="AE33" s="134">
        <v>1.6632670800999626E-2</v>
      </c>
      <c r="AF33" s="134">
        <v>5.7021903527204716E-2</v>
      </c>
      <c r="AG33" s="134">
        <v>4.2450457700432549E-2</v>
      </c>
      <c r="AH33" s="134">
        <v>1.9704433497536946E-2</v>
      </c>
      <c r="AI33" s="134">
        <v>8.5598894055318592E-2</v>
      </c>
      <c r="AJ33" s="134">
        <v>3.9408866995073892E-2</v>
      </c>
      <c r="AK33" s="134">
        <v>0.15166114456924268</v>
      </c>
      <c r="AL33" s="134">
        <v>8.4000000000000005E-2</v>
      </c>
      <c r="AM33" s="134">
        <v>1.9230769230769232E-2</v>
      </c>
      <c r="AN33" s="134">
        <v>0.02</v>
      </c>
      <c r="AO33" s="134">
        <v>0.22822822822822822</v>
      </c>
    </row>
    <row r="34" spans="2:41" x14ac:dyDescent="0.25">
      <c r="B34" s="73" t="s">
        <v>37</v>
      </c>
      <c r="C34" s="198">
        <v>0.3</v>
      </c>
      <c r="D34" s="197">
        <v>10</v>
      </c>
      <c r="H34" s="92" t="s">
        <v>31</v>
      </c>
      <c r="I34" s="98"/>
      <c r="J34" s="32" t="s">
        <v>75</v>
      </c>
      <c r="K34" s="214">
        <f>CurrentGrids!D8*100</f>
        <v>1.6632670800999627</v>
      </c>
      <c r="L34" s="106">
        <f>E122*100</f>
        <v>5.7021903527204714</v>
      </c>
      <c r="M34" s="106">
        <f>O151*100</f>
        <v>4.2450457700432551</v>
      </c>
      <c r="N34" s="106">
        <f>E81</f>
        <v>1.9704433497536946</v>
      </c>
      <c r="O34" s="106">
        <f>E96*100</f>
        <v>8.5598894055318588</v>
      </c>
      <c r="P34" s="106">
        <f>E64</f>
        <v>3.9408866995073892</v>
      </c>
      <c r="Q34" s="197">
        <f>E109*100</f>
        <v>15.166114456924268</v>
      </c>
      <c r="R34" s="106">
        <f>C26</f>
        <v>8.4</v>
      </c>
      <c r="S34" s="106">
        <f>F81</f>
        <v>1.9230769230769231</v>
      </c>
      <c r="T34" s="106">
        <f>F64</f>
        <v>2</v>
      </c>
      <c r="U34" s="197">
        <f>E45</f>
        <v>19.119119119119119</v>
      </c>
      <c r="AB34" s="92" t="s">
        <v>31</v>
      </c>
      <c r="AC34" s="98"/>
      <c r="AD34" s="32" t="s">
        <v>75</v>
      </c>
      <c r="AE34" s="131">
        <v>1.6632670800999626E-2</v>
      </c>
      <c r="AF34" s="131">
        <v>5.7021903527204716E-2</v>
      </c>
      <c r="AG34" s="131">
        <v>4.2450457700432549E-2</v>
      </c>
      <c r="AH34" s="131">
        <v>1.9704433497536946E-2</v>
      </c>
      <c r="AI34" s="131">
        <v>8.5598894055318592E-2</v>
      </c>
      <c r="AJ34" s="131">
        <v>3.9408866995073892E-2</v>
      </c>
      <c r="AK34" s="131">
        <v>0.15166114456924268</v>
      </c>
      <c r="AL34" s="131">
        <v>8.4000000000000005E-2</v>
      </c>
      <c r="AM34" s="131">
        <v>1.9230769230769232E-2</v>
      </c>
      <c r="AN34" s="131">
        <v>0.02</v>
      </c>
      <c r="AO34" s="131">
        <v>0.19119119119119118</v>
      </c>
    </row>
    <row r="35" spans="2:41" x14ac:dyDescent="0.25">
      <c r="B35" s="73" t="s">
        <v>38</v>
      </c>
      <c r="C35" s="106">
        <v>3.1</v>
      </c>
      <c r="D35" s="199">
        <v>150</v>
      </c>
      <c r="H35" s="92" t="s">
        <v>167</v>
      </c>
      <c r="I35" s="98"/>
      <c r="J35" s="32" t="s">
        <v>34</v>
      </c>
      <c r="K35" s="213"/>
      <c r="L35" s="201"/>
      <c r="M35" s="201"/>
      <c r="N35" s="201"/>
      <c r="O35" s="201"/>
      <c r="P35" s="201"/>
      <c r="Q35" s="201"/>
      <c r="R35" s="201"/>
      <c r="S35" s="201"/>
      <c r="T35" s="201"/>
      <c r="U35" s="106">
        <f>E46</f>
        <v>3.7037037037037037</v>
      </c>
      <c r="AB35" s="92" t="s">
        <v>343</v>
      </c>
      <c r="AC35" s="98"/>
      <c r="AD35" s="32" t="s">
        <v>34</v>
      </c>
      <c r="AE35" s="131">
        <v>0</v>
      </c>
      <c r="AF35" s="131">
        <v>0</v>
      </c>
      <c r="AG35" s="131">
        <v>0</v>
      </c>
      <c r="AH35" s="131">
        <v>0</v>
      </c>
      <c r="AI35" s="131">
        <v>0</v>
      </c>
      <c r="AJ35" s="131">
        <v>0</v>
      </c>
      <c r="AK35" s="131">
        <v>0</v>
      </c>
      <c r="AL35" s="131">
        <v>0</v>
      </c>
      <c r="AM35" s="131">
        <v>0</v>
      </c>
      <c r="AN35" s="131">
        <v>0</v>
      </c>
      <c r="AO35" s="131">
        <v>3.7037037037037035E-2</v>
      </c>
    </row>
    <row r="36" spans="2:41" x14ac:dyDescent="0.25">
      <c r="B36" s="73" t="s">
        <v>39</v>
      </c>
      <c r="C36" s="198">
        <v>0.3</v>
      </c>
      <c r="D36" s="197">
        <v>11</v>
      </c>
      <c r="H36" s="92" t="s">
        <v>28</v>
      </c>
      <c r="I36" s="78" t="s">
        <v>28</v>
      </c>
      <c r="J36" s="73" t="s">
        <v>79</v>
      </c>
      <c r="K36" s="215">
        <f>CurrentGrids!D12*100</f>
        <v>16.894657120287356</v>
      </c>
      <c r="L36" s="208">
        <f>E121*100</f>
        <v>5.8975572636479914</v>
      </c>
      <c r="M36" s="175">
        <f>O154*100</f>
        <v>12.302585252992657</v>
      </c>
      <c r="N36" s="175">
        <f>E83</f>
        <v>11.822660098522167</v>
      </c>
      <c r="O36" s="208">
        <f>E95*100</f>
        <v>6.9315061302626253</v>
      </c>
      <c r="P36" s="175">
        <f>E66</f>
        <v>16.748768472906406</v>
      </c>
      <c r="Q36" s="208">
        <f>E108*100</f>
        <v>7.773938715700031</v>
      </c>
      <c r="R36" s="208">
        <f>C32</f>
        <v>9.1999999999999993</v>
      </c>
      <c r="S36" s="175">
        <f>F83</f>
        <v>11.538461538461538</v>
      </c>
      <c r="T36" s="175">
        <f>F66</f>
        <v>16</v>
      </c>
      <c r="U36" s="175">
        <f>E51</f>
        <v>12.512512512512512</v>
      </c>
      <c r="AB36" s="92" t="s">
        <v>28</v>
      </c>
      <c r="AC36" s="78" t="s">
        <v>28</v>
      </c>
      <c r="AD36" s="73" t="s">
        <v>79</v>
      </c>
      <c r="AE36" s="131">
        <v>0.16894657120287357</v>
      </c>
      <c r="AF36" s="131">
        <v>5.8975572636479914E-2</v>
      </c>
      <c r="AG36" s="131">
        <v>0.12302585252992657</v>
      </c>
      <c r="AH36" s="131">
        <v>0.11822660098522167</v>
      </c>
      <c r="AI36" s="131">
        <v>6.9315061302626255E-2</v>
      </c>
      <c r="AJ36" s="131">
        <v>0.16748768472906406</v>
      </c>
      <c r="AK36" s="131">
        <v>7.7739387157000309E-2</v>
      </c>
      <c r="AL36" s="131">
        <v>9.1999999999999998E-2</v>
      </c>
      <c r="AM36" s="131">
        <v>0.11538461538461538</v>
      </c>
      <c r="AN36" s="131">
        <v>0.16</v>
      </c>
      <c r="AO36" s="131">
        <v>0.12512512512512511</v>
      </c>
    </row>
    <row r="37" spans="2:41" x14ac:dyDescent="0.25">
      <c r="B37" s="73" t="s">
        <v>29</v>
      </c>
      <c r="C37" s="198">
        <v>0.1</v>
      </c>
      <c r="D37" s="106">
        <v>2</v>
      </c>
      <c r="H37" s="92" t="s">
        <v>8</v>
      </c>
      <c r="I37" s="98" t="s">
        <v>48</v>
      </c>
      <c r="J37" s="73" t="s">
        <v>79</v>
      </c>
      <c r="K37" s="209">
        <f t="shared" ref="K37:U37" si="3">SUM(K38:K38)</f>
        <v>0.92898575441357267</v>
      </c>
      <c r="L37" s="210">
        <f t="shared" si="3"/>
        <v>0</v>
      </c>
      <c r="M37" s="210">
        <f t="shared" si="3"/>
        <v>0</v>
      </c>
      <c r="N37" s="211">
        <f t="shared" si="3"/>
        <v>0.49261083743842365</v>
      </c>
      <c r="O37" s="210">
        <f t="shared" si="3"/>
        <v>0</v>
      </c>
      <c r="P37" s="211">
        <f t="shared" si="3"/>
        <v>0.49261083743842365</v>
      </c>
      <c r="Q37" s="210">
        <f t="shared" si="3"/>
        <v>0</v>
      </c>
      <c r="R37" s="208">
        <f t="shared" si="3"/>
        <v>1.3</v>
      </c>
      <c r="S37" s="211">
        <f t="shared" si="3"/>
        <v>0.96153846153846156</v>
      </c>
      <c r="T37" s="208">
        <f t="shared" si="3"/>
        <v>1</v>
      </c>
      <c r="U37" s="208">
        <f t="shared" si="3"/>
        <v>3.9039039039039034</v>
      </c>
      <c r="AB37" s="132" t="s">
        <v>8</v>
      </c>
      <c r="AC37" s="133" t="s">
        <v>48</v>
      </c>
      <c r="AD37" s="109" t="s">
        <v>79</v>
      </c>
      <c r="AE37" s="134">
        <v>9.2898575441357264E-3</v>
      </c>
      <c r="AF37" s="134">
        <v>0</v>
      </c>
      <c r="AG37" s="134">
        <v>0</v>
      </c>
      <c r="AH37" s="134">
        <v>4.9261083743842365E-3</v>
      </c>
      <c r="AI37" s="134">
        <v>0</v>
      </c>
      <c r="AJ37" s="134">
        <v>4.9261083743842365E-3</v>
      </c>
      <c r="AK37" s="134">
        <v>0</v>
      </c>
      <c r="AL37" s="134">
        <v>1.3000000000000001E-2</v>
      </c>
      <c r="AM37" s="134">
        <v>9.6153846153846159E-3</v>
      </c>
      <c r="AN37" s="134">
        <v>0.01</v>
      </c>
      <c r="AO37" s="134">
        <v>3.9039039039039033E-2</v>
      </c>
    </row>
    <row r="38" spans="2:41" x14ac:dyDescent="0.25">
      <c r="B38" s="99" t="s">
        <v>68</v>
      </c>
      <c r="C38" s="202">
        <f>SUM(C24:C37)</f>
        <v>99.999999999999972</v>
      </c>
      <c r="D38" s="203">
        <f>SUM(D24:D37)</f>
        <v>2086</v>
      </c>
      <c r="H38" s="92" t="s">
        <v>8</v>
      </c>
      <c r="I38" s="98"/>
      <c r="J38" s="32" t="s">
        <v>8</v>
      </c>
      <c r="K38" s="216">
        <f>CurrentGrids!D9*100+CurrentGrids!D10*100</f>
        <v>0.92898575441357267</v>
      </c>
      <c r="L38" s="201"/>
      <c r="M38" s="201"/>
      <c r="N38" s="198">
        <f>E86</f>
        <v>0.49261083743842365</v>
      </c>
      <c r="O38" s="201"/>
      <c r="P38" s="198">
        <f>E69</f>
        <v>0.49261083743842365</v>
      </c>
      <c r="Q38" s="201"/>
      <c r="R38" s="106">
        <f>C28</f>
        <v>1.3</v>
      </c>
      <c r="S38" s="198">
        <f>F86</f>
        <v>0.96153846153846156</v>
      </c>
      <c r="T38" s="106">
        <f>F69</f>
        <v>1</v>
      </c>
      <c r="U38" s="106">
        <f>E47+E48</f>
        <v>3.9039039039039034</v>
      </c>
      <c r="AB38" s="92" t="s">
        <v>8</v>
      </c>
      <c r="AC38" s="98"/>
      <c r="AD38" s="32" t="s">
        <v>8</v>
      </c>
      <c r="AE38" s="131">
        <v>9.2898575441357264E-3</v>
      </c>
      <c r="AF38" s="131">
        <v>0</v>
      </c>
      <c r="AG38" s="131">
        <v>0</v>
      </c>
      <c r="AH38" s="131">
        <v>4.9261083743842365E-3</v>
      </c>
      <c r="AI38" s="131">
        <v>0</v>
      </c>
      <c r="AJ38" s="131">
        <v>4.9261083743842365E-3</v>
      </c>
      <c r="AK38" s="131">
        <v>0</v>
      </c>
      <c r="AL38" s="131">
        <v>1.3000000000000001E-2</v>
      </c>
      <c r="AM38" s="131">
        <v>9.6153846153846159E-3</v>
      </c>
      <c r="AN38" s="131">
        <v>0.01</v>
      </c>
      <c r="AO38" s="131">
        <v>3.9039039039039033E-2</v>
      </c>
    </row>
    <row r="39" spans="2:41" x14ac:dyDescent="0.25">
      <c r="B39" s="17" t="s">
        <v>270</v>
      </c>
      <c r="H39" s="92" t="s">
        <v>67</v>
      </c>
      <c r="I39" s="98" t="s">
        <v>67</v>
      </c>
      <c r="J39" s="73" t="s">
        <v>79</v>
      </c>
      <c r="K39" s="191">
        <f t="shared" ref="K39:U39" si="4">SUM(K40:K42)</f>
        <v>2.8783615014674426</v>
      </c>
      <c r="L39" s="208">
        <f t="shared" si="4"/>
        <v>7.2390421654486516</v>
      </c>
      <c r="M39" s="208">
        <f t="shared" si="4"/>
        <v>8.8119907453978481</v>
      </c>
      <c r="N39" s="208">
        <f t="shared" si="4"/>
        <v>6.8965517241379306</v>
      </c>
      <c r="O39" s="208">
        <f t="shared" si="4"/>
        <v>8.461582661841037</v>
      </c>
      <c r="P39" s="175">
        <f t="shared" si="4"/>
        <v>11.822660098522167</v>
      </c>
      <c r="Q39" s="175">
        <f t="shared" si="4"/>
        <v>11.0357122885433</v>
      </c>
      <c r="R39" s="208">
        <f t="shared" si="4"/>
        <v>4.5999999999999996</v>
      </c>
      <c r="S39" s="175">
        <f t="shared" si="4"/>
        <v>14.423076923076923</v>
      </c>
      <c r="T39" s="175">
        <f t="shared" si="4"/>
        <v>18</v>
      </c>
      <c r="U39" s="175">
        <f t="shared" si="4"/>
        <v>18.418418418418419</v>
      </c>
      <c r="AB39" s="132" t="s">
        <v>67</v>
      </c>
      <c r="AC39" s="133" t="s">
        <v>67</v>
      </c>
      <c r="AD39" s="109" t="s">
        <v>79</v>
      </c>
      <c r="AE39" s="134">
        <v>2.8783615014674427E-2</v>
      </c>
      <c r="AF39" s="134">
        <v>7.2390421654486517E-2</v>
      </c>
      <c r="AG39" s="134">
        <v>8.8119907453978477E-2</v>
      </c>
      <c r="AH39" s="134">
        <v>6.8965517241379309E-2</v>
      </c>
      <c r="AI39" s="134">
        <v>8.461582661841037E-2</v>
      </c>
      <c r="AJ39" s="134">
        <v>0.11822660098522167</v>
      </c>
      <c r="AK39" s="134">
        <v>0.11035712288543299</v>
      </c>
      <c r="AL39" s="134">
        <v>4.5999999999999999E-2</v>
      </c>
      <c r="AM39" s="134">
        <v>0.14423076923076925</v>
      </c>
      <c r="AN39" s="134">
        <v>0.18</v>
      </c>
      <c r="AO39" s="134">
        <v>0.1841841841841842</v>
      </c>
    </row>
    <row r="40" spans="2:41" x14ac:dyDescent="0.25">
      <c r="H40" s="92"/>
      <c r="I40" s="98"/>
      <c r="J40" s="32" t="s">
        <v>49</v>
      </c>
      <c r="K40" s="217">
        <f>CurrentGrids!D13*100</f>
        <v>2.0010166633285791E-3</v>
      </c>
      <c r="L40" s="201"/>
      <c r="M40" s="201"/>
      <c r="N40" s="201"/>
      <c r="O40" s="201"/>
      <c r="P40" s="201"/>
      <c r="Q40" s="201"/>
      <c r="R40" s="201"/>
      <c r="S40" s="201"/>
      <c r="T40" s="201"/>
      <c r="U40" s="201"/>
      <c r="AB40" s="92" t="s">
        <v>323</v>
      </c>
      <c r="AC40" s="98"/>
      <c r="AD40" s="32" t="s">
        <v>49</v>
      </c>
      <c r="AE40" s="131">
        <v>2.001016663328579E-5</v>
      </c>
      <c r="AF40" s="131">
        <v>0</v>
      </c>
      <c r="AG40" s="131">
        <v>0</v>
      </c>
      <c r="AH40" s="131">
        <v>0</v>
      </c>
      <c r="AI40" s="131">
        <v>0</v>
      </c>
      <c r="AJ40" s="131">
        <v>0</v>
      </c>
      <c r="AK40" s="131">
        <v>0</v>
      </c>
      <c r="AL40" s="131">
        <v>0</v>
      </c>
      <c r="AM40" s="131">
        <v>0</v>
      </c>
      <c r="AN40" s="131">
        <v>0</v>
      </c>
      <c r="AO40" s="131">
        <v>0</v>
      </c>
    </row>
    <row r="41" spans="2:41" x14ac:dyDescent="0.25">
      <c r="B41" s="20" t="s">
        <v>26</v>
      </c>
      <c r="H41" s="92" t="s">
        <v>6</v>
      </c>
      <c r="I41" s="98"/>
      <c r="J41" s="32" t="s">
        <v>6</v>
      </c>
      <c r="K41" s="214">
        <f>CurrentGrids!D16*100+CurrentGrids!D18*100+CurrentGrids!D17*100</f>
        <v>2.5922344765624956</v>
      </c>
      <c r="L41" s="106">
        <f>E123*100+E126*100</f>
        <v>6.6159750258017329</v>
      </c>
      <c r="M41" s="106">
        <f>O155*100+O158*100+O156*100</f>
        <v>7.9066492304597125</v>
      </c>
      <c r="N41" s="106">
        <f>E84</f>
        <v>5.9113300492610836</v>
      </c>
      <c r="O41" s="106">
        <f>E97*100+E100*100</f>
        <v>7.2442294176432531</v>
      </c>
      <c r="P41" s="106">
        <f>E67</f>
        <v>9.8522167487684733</v>
      </c>
      <c r="Q41" s="106">
        <f>E110*100+E113*100</f>
        <v>9.765671849082409</v>
      </c>
      <c r="R41" s="106">
        <f>C35+C36+C37</f>
        <v>3.5</v>
      </c>
      <c r="S41" s="197">
        <f>F84</f>
        <v>12.5</v>
      </c>
      <c r="T41" s="197">
        <f>F67</f>
        <v>16</v>
      </c>
      <c r="U41" s="197">
        <f>E54+E55+E56</f>
        <v>11.611611611611611</v>
      </c>
      <c r="AB41" s="92" t="s">
        <v>6</v>
      </c>
      <c r="AC41" s="98"/>
      <c r="AD41" s="32" t="s">
        <v>6</v>
      </c>
      <c r="AE41" s="131">
        <v>2.5922344765624956E-2</v>
      </c>
      <c r="AF41" s="131">
        <v>6.6159750258017333E-2</v>
      </c>
      <c r="AG41" s="131">
        <v>7.9066492304597127E-2</v>
      </c>
      <c r="AH41" s="131">
        <v>5.9113300492610835E-2</v>
      </c>
      <c r="AI41" s="131">
        <v>7.2442294176432526E-2</v>
      </c>
      <c r="AJ41" s="131">
        <v>9.8522167487684734E-2</v>
      </c>
      <c r="AK41" s="131">
        <v>9.7656718490824093E-2</v>
      </c>
      <c r="AL41" s="131">
        <v>3.5000000000000003E-2</v>
      </c>
      <c r="AM41" s="131">
        <v>0.125</v>
      </c>
      <c r="AN41" s="131">
        <v>0.16</v>
      </c>
      <c r="AO41" s="131">
        <v>0.11611611611611611</v>
      </c>
    </row>
    <row r="42" spans="2:41" x14ac:dyDescent="0.25">
      <c r="B42" s="72" t="s">
        <v>1</v>
      </c>
      <c r="C42" s="72" t="s">
        <v>40</v>
      </c>
      <c r="D42" s="72" t="s">
        <v>41</v>
      </c>
      <c r="E42" s="72" t="s">
        <v>109</v>
      </c>
      <c r="F42" s="72" t="s">
        <v>272</v>
      </c>
      <c r="H42" s="92" t="s">
        <v>32</v>
      </c>
      <c r="I42" s="98"/>
      <c r="J42" s="32" t="s">
        <v>36</v>
      </c>
      <c r="K42" s="216">
        <f>CurrentGrids!D14*100+CurrentGrids!D15*100</f>
        <v>0.28412600824161854</v>
      </c>
      <c r="L42" s="198">
        <f>E125*100</f>
        <v>0.62306713964691829</v>
      </c>
      <c r="M42" s="198">
        <f>O157*100</f>
        <v>0.90534151493813497</v>
      </c>
      <c r="N42" s="198">
        <f>E85</f>
        <v>0.98522167487684731</v>
      </c>
      <c r="O42" s="106">
        <f>E99*100</f>
        <v>1.2173532441977839</v>
      </c>
      <c r="P42" s="106">
        <f>E68</f>
        <v>1.9704433497536946</v>
      </c>
      <c r="Q42" s="106">
        <f>E112*100</f>
        <v>1.2700404394608908</v>
      </c>
      <c r="R42" s="106">
        <f>C33+C34</f>
        <v>1.1000000000000001</v>
      </c>
      <c r="S42" s="106">
        <f>F85</f>
        <v>1.9230769230769231</v>
      </c>
      <c r="T42" s="106">
        <f>F68</f>
        <v>2</v>
      </c>
      <c r="U42" s="106">
        <f>E52+E53</f>
        <v>6.8068068068068062</v>
      </c>
      <c r="AB42" s="92" t="s">
        <v>32</v>
      </c>
      <c r="AC42" s="98"/>
      <c r="AD42" s="32" t="s">
        <v>36</v>
      </c>
      <c r="AE42" s="131">
        <v>2.8412600824161854E-3</v>
      </c>
      <c r="AF42" s="131">
        <v>6.2306713964691831E-3</v>
      </c>
      <c r="AG42" s="131">
        <v>9.0534151493813497E-3</v>
      </c>
      <c r="AH42" s="131">
        <v>9.852216748768473E-3</v>
      </c>
      <c r="AI42" s="131">
        <v>1.2173532441977839E-2</v>
      </c>
      <c r="AJ42" s="131">
        <v>1.9704433497536946E-2</v>
      </c>
      <c r="AK42" s="131">
        <v>1.2700404394608908E-2</v>
      </c>
      <c r="AL42" s="131">
        <v>1.1000000000000001E-2</v>
      </c>
      <c r="AM42" s="131">
        <v>1.9230769230769232E-2</v>
      </c>
      <c r="AN42" s="131">
        <v>0.02</v>
      </c>
      <c r="AO42" s="131">
        <v>6.8068068068068061E-2</v>
      </c>
    </row>
    <row r="43" spans="2:41" x14ac:dyDescent="0.25">
      <c r="B43" s="73" t="s">
        <v>27</v>
      </c>
      <c r="C43" s="106">
        <v>1</v>
      </c>
      <c r="D43" s="197">
        <v>77</v>
      </c>
      <c r="E43" s="106">
        <f t="shared" ref="E43:E56" si="5">C43+(C43*(100-$C$57)/$C$57)</f>
        <v>1.0010010010010009</v>
      </c>
      <c r="F43" s="93"/>
      <c r="H43" s="92"/>
      <c r="I43" s="100" t="s">
        <v>80</v>
      </c>
      <c r="J43" s="100"/>
      <c r="K43" s="218">
        <f t="shared" ref="K43:U43" si="6">SUM(K26:K28,K33,K36:K37,K39)</f>
        <v>100</v>
      </c>
      <c r="L43" s="175">
        <f t="shared" si="6"/>
        <v>99.999999999999986</v>
      </c>
      <c r="M43" s="219">
        <f t="shared" si="6"/>
        <v>100</v>
      </c>
      <c r="N43" s="219">
        <f t="shared" si="6"/>
        <v>100</v>
      </c>
      <c r="O43" s="219">
        <f t="shared" si="6"/>
        <v>100</v>
      </c>
      <c r="P43" s="219">
        <f t="shared" si="6"/>
        <v>100</v>
      </c>
      <c r="Q43" s="175">
        <f t="shared" si="6"/>
        <v>99.999999999999986</v>
      </c>
      <c r="R43" s="219">
        <f t="shared" si="6"/>
        <v>100</v>
      </c>
      <c r="S43" s="219">
        <f t="shared" si="6"/>
        <v>100</v>
      </c>
      <c r="T43" s="219">
        <f t="shared" si="6"/>
        <v>100</v>
      </c>
      <c r="U43" s="219">
        <f t="shared" si="6"/>
        <v>100</v>
      </c>
      <c r="AB43" s="92"/>
      <c r="AC43" s="100" t="s">
        <v>80</v>
      </c>
      <c r="AD43" s="100"/>
      <c r="AE43" s="76">
        <v>1</v>
      </c>
      <c r="AF43" s="76">
        <v>0.99999999999999978</v>
      </c>
      <c r="AG43" s="76">
        <v>1</v>
      </c>
      <c r="AH43" s="76">
        <v>0.99999999999999989</v>
      </c>
      <c r="AI43" s="76">
        <v>1</v>
      </c>
      <c r="AJ43" s="76">
        <v>1</v>
      </c>
      <c r="AK43" s="76">
        <v>1.0000000000000002</v>
      </c>
      <c r="AL43" s="76">
        <v>0.99999999999999989</v>
      </c>
      <c r="AM43" s="76">
        <v>1</v>
      </c>
      <c r="AN43" s="76">
        <v>1</v>
      </c>
      <c r="AO43" s="76">
        <v>1</v>
      </c>
    </row>
    <row r="44" spans="2:41" x14ac:dyDescent="0.25">
      <c r="B44" s="73" t="s">
        <v>33</v>
      </c>
      <c r="C44" s="197">
        <v>14.8</v>
      </c>
      <c r="D44" s="199">
        <v>199</v>
      </c>
      <c r="E44" s="197">
        <f t="shared" si="5"/>
        <v>14.814814814814815</v>
      </c>
      <c r="F44" s="93"/>
      <c r="H44" s="92"/>
      <c r="I44" s="91" t="s">
        <v>258</v>
      </c>
      <c r="J44" s="91"/>
      <c r="K44" s="77">
        <f>CurrentGrids!C30</f>
        <v>0.17224687270051509</v>
      </c>
      <c r="L44" s="77">
        <f>CurrentGrids!C30</f>
        <v>0.17224687270051509</v>
      </c>
      <c r="M44" s="77">
        <v>0.15</v>
      </c>
      <c r="N44" s="77">
        <v>0.15</v>
      </c>
      <c r="O44" s="77">
        <v>0.15</v>
      </c>
      <c r="P44" s="77">
        <v>0.12</v>
      </c>
      <c r="Q44" s="77">
        <v>0.12</v>
      </c>
      <c r="R44" s="77">
        <v>0.15</v>
      </c>
      <c r="S44" s="77">
        <v>0.15</v>
      </c>
      <c r="T44" s="77">
        <v>0.12</v>
      </c>
      <c r="U44" s="77">
        <v>0.12</v>
      </c>
      <c r="AB44" s="92" t="s">
        <v>208</v>
      </c>
      <c r="AC44" s="91" t="s">
        <v>258</v>
      </c>
      <c r="AD44" s="91"/>
      <c r="AE44" s="77">
        <v>0.17224687270051509</v>
      </c>
      <c r="AF44" s="77">
        <v>0.17224687270051509</v>
      </c>
      <c r="AG44" s="77">
        <v>0.15</v>
      </c>
      <c r="AH44" s="77">
        <v>0.15</v>
      </c>
      <c r="AI44" s="77">
        <v>0.15</v>
      </c>
      <c r="AJ44" s="77">
        <v>0.12</v>
      </c>
      <c r="AK44" s="77">
        <v>0.12</v>
      </c>
      <c r="AL44" s="77">
        <v>0.15</v>
      </c>
      <c r="AM44" s="77">
        <v>0.15</v>
      </c>
      <c r="AN44" s="77">
        <v>0.12</v>
      </c>
      <c r="AO44" s="77">
        <v>0.12</v>
      </c>
    </row>
    <row r="45" spans="2:41" x14ac:dyDescent="0.25">
      <c r="B45" s="73" t="s">
        <v>31</v>
      </c>
      <c r="C45" s="197">
        <v>19.100000000000001</v>
      </c>
      <c r="D45" s="199">
        <v>464</v>
      </c>
      <c r="E45" s="197">
        <f t="shared" si="5"/>
        <v>19.119119119119119</v>
      </c>
      <c r="F45" s="93"/>
      <c r="H45" s="18" t="s">
        <v>437</v>
      </c>
      <c r="AB45" s="18" t="s">
        <v>276</v>
      </c>
    </row>
    <row r="46" spans="2:41" x14ac:dyDescent="0.25">
      <c r="B46" s="73" t="s">
        <v>34</v>
      </c>
      <c r="C46" s="106">
        <v>3.7</v>
      </c>
      <c r="D46" s="197">
        <v>51</v>
      </c>
      <c r="E46" s="106">
        <f t="shared" si="5"/>
        <v>3.7037037037037037</v>
      </c>
      <c r="F46" s="93"/>
    </row>
    <row r="47" spans="2:41" x14ac:dyDescent="0.25">
      <c r="B47" s="73" t="s">
        <v>8</v>
      </c>
      <c r="C47" s="106">
        <v>3.4</v>
      </c>
      <c r="D47" s="197">
        <v>58</v>
      </c>
      <c r="E47" s="106">
        <f t="shared" si="5"/>
        <v>3.4034034034034031</v>
      </c>
      <c r="F47" s="93"/>
    </row>
    <row r="48" spans="2:41" x14ac:dyDescent="0.25">
      <c r="B48" s="73" t="s">
        <v>35</v>
      </c>
      <c r="C48" s="198">
        <v>0.5</v>
      </c>
      <c r="D48" s="197">
        <v>10</v>
      </c>
      <c r="E48" s="198">
        <f t="shared" si="5"/>
        <v>0.50050050050050043</v>
      </c>
      <c r="F48" s="101" t="s">
        <v>275</v>
      </c>
    </row>
    <row r="49" spans="2:34" x14ac:dyDescent="0.25">
      <c r="B49" s="73" t="s">
        <v>7</v>
      </c>
      <c r="C49" s="198">
        <v>0.9</v>
      </c>
      <c r="D49" s="197">
        <v>22</v>
      </c>
      <c r="E49" s="198">
        <f t="shared" si="5"/>
        <v>0.90090090090090091</v>
      </c>
      <c r="F49" s="93"/>
    </row>
    <row r="50" spans="2:34" x14ac:dyDescent="0.25">
      <c r="B50" s="73" t="s">
        <v>5</v>
      </c>
      <c r="C50" s="197">
        <v>25.6</v>
      </c>
      <c r="D50" s="199">
        <v>318</v>
      </c>
      <c r="E50" s="197">
        <f t="shared" si="5"/>
        <v>25.625625625625627</v>
      </c>
      <c r="F50" s="93"/>
    </row>
    <row r="51" spans="2:34" x14ac:dyDescent="0.25">
      <c r="B51" s="73" t="s">
        <v>28</v>
      </c>
      <c r="C51" s="197">
        <v>12.5</v>
      </c>
      <c r="D51" s="199">
        <v>370</v>
      </c>
      <c r="E51" s="197">
        <f t="shared" si="5"/>
        <v>12.512512512512512</v>
      </c>
      <c r="F51" s="93"/>
    </row>
    <row r="52" spans="2:34" x14ac:dyDescent="0.25">
      <c r="B52" s="73" t="s">
        <v>36</v>
      </c>
      <c r="C52" s="106">
        <v>4.4000000000000004</v>
      </c>
      <c r="D52" s="199">
        <v>270</v>
      </c>
      <c r="E52" s="106">
        <f t="shared" si="5"/>
        <v>4.4044044044044046</v>
      </c>
      <c r="F52" s="93"/>
    </row>
    <row r="53" spans="2:34" x14ac:dyDescent="0.25">
      <c r="B53" s="73" t="s">
        <v>37</v>
      </c>
      <c r="C53" s="106">
        <v>2.4</v>
      </c>
      <c r="D53" s="197">
        <v>53</v>
      </c>
      <c r="E53" s="106">
        <f t="shared" si="5"/>
        <v>2.402402402402402</v>
      </c>
      <c r="F53" s="93" t="s">
        <v>273</v>
      </c>
    </row>
    <row r="54" spans="2:34" x14ac:dyDescent="0.25">
      <c r="B54" s="73" t="s">
        <v>38</v>
      </c>
      <c r="C54" s="106">
        <v>5.8</v>
      </c>
      <c r="D54" s="199">
        <v>263</v>
      </c>
      <c r="E54" s="106">
        <f t="shared" si="5"/>
        <v>5.8058058058058055</v>
      </c>
      <c r="F54" s="93"/>
    </row>
    <row r="55" spans="2:34" x14ac:dyDescent="0.25">
      <c r="B55" s="73" t="s">
        <v>39</v>
      </c>
      <c r="C55" s="106">
        <v>5</v>
      </c>
      <c r="D55" s="199">
        <v>133</v>
      </c>
      <c r="E55" s="106">
        <f t="shared" si="5"/>
        <v>5.005005005005005</v>
      </c>
      <c r="F55" s="93"/>
      <c r="AB55" s="32" t="s">
        <v>226</v>
      </c>
      <c r="AC55" s="18" t="s">
        <v>334</v>
      </c>
    </row>
    <row r="56" spans="2:34" x14ac:dyDescent="0.25">
      <c r="B56" s="73" t="s">
        <v>29</v>
      </c>
      <c r="C56" s="198">
        <v>0.8</v>
      </c>
      <c r="D56" s="197">
        <v>19</v>
      </c>
      <c r="E56" s="198">
        <f t="shared" si="5"/>
        <v>0.80080080080080085</v>
      </c>
      <c r="F56" s="101" t="s">
        <v>274</v>
      </c>
    </row>
    <row r="57" spans="2:34" ht="19.5" customHeight="1" x14ac:dyDescent="0.25">
      <c r="B57" s="99" t="s">
        <v>68</v>
      </c>
      <c r="C57" s="202">
        <f>SUM(C43:C56)</f>
        <v>99.9</v>
      </c>
      <c r="D57" s="204">
        <f>SUM(D43:D56)</f>
        <v>2307</v>
      </c>
      <c r="E57" s="205">
        <f>SUM(E43:E56)</f>
        <v>100</v>
      </c>
      <c r="F57" s="102"/>
      <c r="AA57" s="18" t="s">
        <v>5</v>
      </c>
      <c r="AB57" s="32" t="str">
        <f>CONCATENATE($AC$55,"_",AA57)</f>
        <v>IEA_Blue_Nuclear</v>
      </c>
      <c r="AC57" s="32" t="str">
        <f t="shared" ref="AC57:AC70" si="7">CONCATENATE("if(grid_select=", INDEX($AE$24:$AO$24,1,MATCH($AC$55, $AE$22:$AO$22,0)),";",INDEX($AE$26:$AO$44,MATCH(AA57, $AB$26:$AB$44,0), MATCH($AC$55, $AE$22:$AO$22,0)),";0)")</f>
        <v>if(grid_select=11;0.256256256256256;0)</v>
      </c>
      <c r="AD57" s="32">
        <v>0</v>
      </c>
      <c r="AE57" s="32" t="str">
        <f>CONCATENATE("Portion of ", $AC$55, " grid mix generated using ", AA57, " fuel.")</f>
        <v>Portion of IEA_Blue grid mix generated using Nuclear fuel.</v>
      </c>
      <c r="AH57" s="18" t="str">
        <f>CONCATENATE($AE$22,"_",$AA57,"+",$AF$22,"_",$AA57,"+",$AG$22,"_",$AA57,"+",$AH$22,"_",$AA57,"+",$AI$22,"_",$AA57,"+",$AJ$22,"_",$AA57,"+",$AK$22,"_",$AA57,"+",$AL$22,"_",$AA57,"+",$AM$22,"_",$AA57,"+",$AN$22,"_",$AA57,"+",$AO$22,"_",$AA57)</f>
        <v>IEA_2013_Nuclear+BCG_Slow_Nuclear+EIA_2030_Nuclear+LBNL_CIS_2030_Nuclear+BCG_Base_Nuclear+LBNL_AIS_2030_Nuclear+BCG_Clean_Nuclear+IEA_Base_Nuclear+LBNL_CIS_2050_Nuclear+LBNL_AIS_2050_Nuclear+IEA_Blue_Nuclear</v>
      </c>
    </row>
    <row r="58" spans="2:34" ht="19.5" customHeight="1" x14ac:dyDescent="0.25">
      <c r="B58" s="17" t="s">
        <v>498</v>
      </c>
      <c r="AA58" s="18" t="s">
        <v>7</v>
      </c>
      <c r="AB58" s="32" t="str">
        <f t="shared" ref="AB58:AB70" si="8">CONCATENATE($AC$55,"_",AA58)</f>
        <v>IEA_Blue_Oil</v>
      </c>
      <c r="AC58" s="32" t="str">
        <f t="shared" si="7"/>
        <v>if(grid_select=11;0.00900900900900901;0)</v>
      </c>
      <c r="AD58" s="32">
        <v>0</v>
      </c>
      <c r="AE58" s="32" t="str">
        <f t="shared" ref="AE58:AE69" si="9">CONCATENATE("Portion of ", $AC$55, " grid mix generated using ", AA58, " fuel.")</f>
        <v>Portion of IEA_Blue grid mix generated using Oil fuel.</v>
      </c>
      <c r="AH58" s="18" t="str">
        <f t="shared" ref="AH58:AH70" si="10">CONCATENATE($AE$22,"_",$AA58,"+",$AF$22,"_",$AA58,"+",$AG$22,"_",$AA58,"+",$AH$22,"_",$AA58,"+",$AI$22,"_",$AA58,"+",$AJ$22,"_",$AA58,"+",$AK$22,"_",$AA58,"+",$AL$22,"_",$AA58,"+",$AM$22,"_",$AA58,"+",$AN$22,"_",$AA58,"+",$AO$22,"_",$AA58)</f>
        <v>IEA_2013_Oil+BCG_Slow_Oil+EIA_2030_Oil+LBNL_CIS_2030_Oil+BCG_Base_Oil+LBNL_AIS_2030_Oil+BCG_Clean_Oil+IEA_Base_Oil+LBNL_CIS_2050_Oil+LBNL_AIS_2050_Oil+IEA_Blue_Oil</v>
      </c>
    </row>
    <row r="59" spans="2:34" ht="19.5" customHeight="1" x14ac:dyDescent="0.25">
      <c r="AA59" s="18" t="s">
        <v>339</v>
      </c>
      <c r="AB59" s="32" t="str">
        <f t="shared" si="8"/>
        <v>IEA_Blue_Coal_Sub</v>
      </c>
      <c r="AC59" s="32" t="str">
        <f t="shared" si="7"/>
        <v>if(grid_select=11;0.01001001001001;0)</v>
      </c>
      <c r="AD59" s="32">
        <v>0</v>
      </c>
      <c r="AE59" s="32" t="str">
        <f t="shared" si="9"/>
        <v>Portion of IEA_Blue grid mix generated using Coal_Sub fuel.</v>
      </c>
      <c r="AH59" s="18" t="str">
        <f t="shared" si="10"/>
        <v>IEA_2013_Coal_Sub+BCG_Slow_Coal_Sub+EIA_2030_Coal_Sub+LBNL_CIS_2030_Coal_Sub+BCG_Base_Coal_Sub+LBNL_AIS_2030_Coal_Sub+BCG_Clean_Coal_Sub+IEA_Base_Coal_Sub+LBNL_CIS_2050_Coal_Sub+LBNL_AIS_2050_Coal_Sub+IEA_Blue_Coal_Sub</v>
      </c>
    </row>
    <row r="60" spans="2:34" x14ac:dyDescent="0.25">
      <c r="B60" s="261" t="s">
        <v>267</v>
      </c>
      <c r="C60" s="261"/>
      <c r="E60" s="91" t="s">
        <v>109</v>
      </c>
      <c r="F60" s="91"/>
      <c r="AA60" s="18" t="s">
        <v>340</v>
      </c>
      <c r="AB60" s="32" t="str">
        <f t="shared" si="8"/>
        <v>IEA_Blue_Coal_Super</v>
      </c>
      <c r="AC60" s="32" t="str">
        <f t="shared" si="7"/>
        <v>if(grid_select=11;0;0)</v>
      </c>
      <c r="AD60" s="32">
        <v>0</v>
      </c>
      <c r="AE60" s="32" t="str">
        <f t="shared" si="9"/>
        <v>Portion of IEA_Blue grid mix generated using Coal_Super fuel.</v>
      </c>
      <c r="AH60" s="18" t="str">
        <f t="shared" si="10"/>
        <v>IEA_2013_Coal_Super+BCG_Slow_Coal_Super+EIA_2030_Coal_Super+LBNL_CIS_2030_Coal_Super+BCG_Base_Coal_Super+LBNL_AIS_2030_Coal_Super+BCG_Clean_Coal_Super+IEA_Base_Coal_Super+LBNL_CIS_2050_Coal_Super+LBNL_AIS_2050_Coal_Super+IEA_Blue_Coal_Super</v>
      </c>
    </row>
    <row r="61" spans="2:34" x14ac:dyDescent="0.25">
      <c r="B61" s="72" t="s">
        <v>1</v>
      </c>
      <c r="C61" s="72" t="s">
        <v>104</v>
      </c>
      <c r="D61" s="72" t="s">
        <v>105</v>
      </c>
      <c r="E61" s="72" t="s">
        <v>104</v>
      </c>
      <c r="F61" s="72" t="s">
        <v>105</v>
      </c>
      <c r="AA61" s="18" t="s">
        <v>341</v>
      </c>
      <c r="AB61" s="32" t="str">
        <f t="shared" si="8"/>
        <v>IEA_Blue_Coal_Ultra</v>
      </c>
      <c r="AC61" s="32" t="str">
        <f t="shared" si="7"/>
        <v>if(grid_select=11;0;0)</v>
      </c>
      <c r="AD61" s="32">
        <v>0</v>
      </c>
      <c r="AE61" s="32" t="str">
        <f t="shared" si="9"/>
        <v>Portion of IEA_Blue grid mix generated using Coal_Ultra fuel.</v>
      </c>
      <c r="AH61" s="18" t="str">
        <f t="shared" si="10"/>
        <v>IEA_2013_Coal_Ultra+BCG_Slow_Coal_Ultra+EIA_2030_Coal_Ultra+LBNL_CIS_2030_Coal_Ultra+BCG_Base_Coal_Ultra+LBNL_AIS_2030_Coal_Ultra+BCG_Clean_Coal_Ultra+IEA_Base_Coal_Ultra+LBNL_CIS_2050_Coal_Ultra+LBNL_AIS_2050_Coal_Ultra+IEA_Blue_Coal_Ultra</v>
      </c>
    </row>
    <row r="62" spans="2:34" x14ac:dyDescent="0.25">
      <c r="B62" s="73" t="s">
        <v>100</v>
      </c>
      <c r="C62" s="197">
        <v>19</v>
      </c>
      <c r="D62" s="201">
        <v>0</v>
      </c>
      <c r="E62" s="197">
        <f t="shared" ref="E62:F69" si="11">C62-(C62*(C$70-100)/C$70)</f>
        <v>18.7192118226601</v>
      </c>
      <c r="F62" s="201">
        <f t="shared" si="11"/>
        <v>0</v>
      </c>
      <c r="AA62" s="18" t="s">
        <v>342</v>
      </c>
      <c r="AB62" s="32" t="str">
        <f t="shared" si="8"/>
        <v>IEA_Blue_Coal_CCS</v>
      </c>
      <c r="AC62" s="32" t="str">
        <f t="shared" si="7"/>
        <v>if(grid_select=11;0.148148148148148;0)</v>
      </c>
      <c r="AD62" s="32">
        <v>0</v>
      </c>
      <c r="AE62" s="32" t="str">
        <f t="shared" si="9"/>
        <v>Portion of IEA_Blue grid mix generated using Coal_CCS fuel.</v>
      </c>
      <c r="AH62" s="18" t="str">
        <f t="shared" si="10"/>
        <v>IEA_2013_Coal_CCS+BCG_Slow_Coal_CCS+EIA_2030_Coal_CCS+LBNL_CIS_2030_Coal_CCS+BCG_Base_Coal_CCS+LBNL_AIS_2030_Coal_CCS+BCG_Clean_Coal_CCS+IEA_Base_Coal_CCS+LBNL_CIS_2050_Coal_CCS+LBNL_AIS_2050_Coal_CCS+IEA_Blue_Coal_CCS</v>
      </c>
    </row>
    <row r="63" spans="2:34" x14ac:dyDescent="0.25">
      <c r="B63" s="73" t="s">
        <v>101</v>
      </c>
      <c r="C63" s="197">
        <v>30</v>
      </c>
      <c r="D63" s="106">
        <v>9</v>
      </c>
      <c r="E63" s="197">
        <f t="shared" si="11"/>
        <v>29.55665024630542</v>
      </c>
      <c r="F63" s="106">
        <f t="shared" si="11"/>
        <v>9</v>
      </c>
      <c r="AA63" s="18" t="s">
        <v>31</v>
      </c>
      <c r="AB63" s="32" t="str">
        <f t="shared" si="8"/>
        <v>IEA_Blue_Gas</v>
      </c>
      <c r="AC63" s="32" t="str">
        <f t="shared" si="7"/>
        <v>if(grid_select=11;0.191191191191191;0)</v>
      </c>
      <c r="AD63" s="32">
        <v>0</v>
      </c>
      <c r="AE63" s="32" t="str">
        <f t="shared" si="9"/>
        <v>Portion of IEA_Blue grid mix generated using Gas fuel.</v>
      </c>
      <c r="AH63" s="18" t="str">
        <f t="shared" si="10"/>
        <v>IEA_2013_Gas+BCG_Slow_Gas+EIA_2030_Gas+LBNL_CIS_2030_Gas+BCG_Base_Gas+LBNL_AIS_2030_Gas+BCG_Clean_Gas+IEA_Base_Gas+LBNL_CIS_2050_Gas+LBNL_AIS_2050_Gas+IEA_Blue_Gas</v>
      </c>
    </row>
    <row r="64" spans="2:34" x14ac:dyDescent="0.25">
      <c r="B64" s="73" t="s">
        <v>102</v>
      </c>
      <c r="C64" s="106">
        <v>4</v>
      </c>
      <c r="D64" s="106">
        <v>2</v>
      </c>
      <c r="E64" s="106">
        <f t="shared" si="11"/>
        <v>3.9408866995073892</v>
      </c>
      <c r="F64" s="106">
        <f t="shared" si="11"/>
        <v>2</v>
      </c>
      <c r="AA64" s="18" t="s">
        <v>343</v>
      </c>
      <c r="AB64" s="32" t="str">
        <f t="shared" si="8"/>
        <v>IEA_Blue_Gas_CCS</v>
      </c>
      <c r="AC64" s="32" t="str">
        <f t="shared" si="7"/>
        <v>if(grid_select=11;0.037037037037037;0)</v>
      </c>
      <c r="AD64" s="32">
        <v>0</v>
      </c>
      <c r="AE64" s="32" t="str">
        <f t="shared" si="9"/>
        <v>Portion of IEA_Blue grid mix generated using Gas_CCS fuel.</v>
      </c>
      <c r="AH64" s="18" t="str">
        <f t="shared" si="10"/>
        <v>IEA_2013_Gas_CCS+BCG_Slow_Gas_CCS+EIA_2030_Gas_CCS+LBNL_CIS_2030_Gas_CCS+BCG_Base_Gas_CCS+LBNL_AIS_2030_Gas_CCS+BCG_Clean_Gas_CCS+IEA_Base_Gas_CCS+LBNL_CIS_2050_Gas_CCS+LBNL_AIS_2050_Gas_CCS+IEA_Blue_Gas_CCS</v>
      </c>
    </row>
    <row r="65" spans="1:34" x14ac:dyDescent="0.25">
      <c r="B65" s="73" t="s">
        <v>5</v>
      </c>
      <c r="C65" s="197">
        <v>19</v>
      </c>
      <c r="D65" s="197">
        <v>54</v>
      </c>
      <c r="E65" s="197">
        <f t="shared" si="11"/>
        <v>18.7192118226601</v>
      </c>
      <c r="F65" s="197">
        <f t="shared" si="11"/>
        <v>54</v>
      </c>
      <c r="AA65" s="18" t="s">
        <v>28</v>
      </c>
      <c r="AB65" s="32" t="str">
        <f t="shared" si="8"/>
        <v>IEA_Blue_Hydro</v>
      </c>
      <c r="AC65" s="32" t="str">
        <f t="shared" si="7"/>
        <v>if(grid_select=11;0.125125125125125;0)</v>
      </c>
      <c r="AD65" s="32">
        <v>0</v>
      </c>
      <c r="AE65" s="32" t="str">
        <f t="shared" si="9"/>
        <v>Portion of IEA_Blue grid mix generated using Hydro fuel.</v>
      </c>
      <c r="AH65" s="18" t="str">
        <f t="shared" si="10"/>
        <v>IEA_2013_Hydro+BCG_Slow_Hydro+EIA_2030_Hydro+LBNL_CIS_2030_Hydro+BCG_Base_Hydro+LBNL_AIS_2030_Hydro+BCG_Clean_Hydro+IEA_Base_Hydro+LBNL_CIS_2050_Hydro+LBNL_AIS_2050_Hydro+IEA_Blue_Hydro</v>
      </c>
    </row>
    <row r="66" spans="1:34" x14ac:dyDescent="0.25">
      <c r="B66" s="73" t="s">
        <v>28</v>
      </c>
      <c r="C66" s="197">
        <v>17</v>
      </c>
      <c r="D66" s="197">
        <v>16</v>
      </c>
      <c r="E66" s="197">
        <f t="shared" si="11"/>
        <v>16.748768472906406</v>
      </c>
      <c r="F66" s="197">
        <f t="shared" si="11"/>
        <v>16</v>
      </c>
      <c r="AA66" s="18" t="s">
        <v>8</v>
      </c>
      <c r="AB66" s="32" t="str">
        <f t="shared" si="8"/>
        <v>IEA_Blue_Biomass</v>
      </c>
      <c r="AC66" s="32" t="str">
        <f t="shared" si="7"/>
        <v>if(grid_select=11;0.039039039039039;0)</v>
      </c>
      <c r="AD66" s="32">
        <v>0</v>
      </c>
      <c r="AE66" s="32" t="str">
        <f t="shared" si="9"/>
        <v>Portion of IEA_Blue grid mix generated using Biomass fuel.</v>
      </c>
      <c r="AH66" s="18" t="str">
        <f t="shared" si="10"/>
        <v>IEA_2013_Biomass+BCG_Slow_Biomass+EIA_2030_Biomass+LBNL_CIS_2030_Biomass+BCG_Base_Biomass+LBNL_AIS_2030_Biomass+BCG_Clean_Biomass+IEA_Base_Biomass+LBNL_CIS_2050_Biomass+LBNL_AIS_2050_Biomass+IEA_Blue_Biomass</v>
      </c>
    </row>
    <row r="67" spans="1:34" x14ac:dyDescent="0.25">
      <c r="B67" s="73" t="s">
        <v>6</v>
      </c>
      <c r="C67" s="197">
        <v>10</v>
      </c>
      <c r="D67" s="197">
        <v>16</v>
      </c>
      <c r="E67" s="106">
        <f t="shared" si="11"/>
        <v>9.8522167487684733</v>
      </c>
      <c r="F67" s="197">
        <f t="shared" si="11"/>
        <v>16</v>
      </c>
      <c r="AA67" s="18" t="s">
        <v>323</v>
      </c>
      <c r="AB67" s="32" t="str">
        <f t="shared" si="8"/>
        <v>IEA_Blue_Geo</v>
      </c>
      <c r="AC67" s="32" t="str">
        <f t="shared" si="7"/>
        <v>if(grid_select=11;0;0)</v>
      </c>
      <c r="AD67" s="32">
        <v>0</v>
      </c>
      <c r="AE67" s="32" t="str">
        <f t="shared" si="9"/>
        <v>Portion of IEA_Blue grid mix generated using Geo fuel.</v>
      </c>
      <c r="AH67" s="18" t="str">
        <f t="shared" si="10"/>
        <v>IEA_2013_Geo+BCG_Slow_Geo+EIA_2030_Geo+LBNL_CIS_2030_Geo+BCG_Base_Geo+LBNL_AIS_2030_Geo+BCG_Clean_Geo+IEA_Base_Geo+LBNL_CIS_2050_Geo+LBNL_AIS_2050_Geo+IEA_Blue_Geo</v>
      </c>
    </row>
    <row r="68" spans="1:34" x14ac:dyDescent="0.25">
      <c r="B68" s="73" t="s">
        <v>32</v>
      </c>
      <c r="C68" s="106">
        <v>2</v>
      </c>
      <c r="D68" s="106">
        <v>2</v>
      </c>
      <c r="E68" s="106">
        <f t="shared" si="11"/>
        <v>1.9704433497536946</v>
      </c>
      <c r="F68" s="106">
        <f t="shared" si="11"/>
        <v>2</v>
      </c>
      <c r="AA68" s="18" t="s">
        <v>6</v>
      </c>
      <c r="AB68" s="32" t="str">
        <f t="shared" si="8"/>
        <v>IEA_Blue_Wind</v>
      </c>
      <c r="AC68" s="32" t="str">
        <f t="shared" si="7"/>
        <v>if(grid_select=11;0.116116116116116;0)</v>
      </c>
      <c r="AD68" s="32">
        <v>0</v>
      </c>
      <c r="AE68" s="32" t="str">
        <f t="shared" si="9"/>
        <v>Portion of IEA_Blue grid mix generated using Wind fuel.</v>
      </c>
      <c r="AH68" s="18" t="str">
        <f t="shared" si="10"/>
        <v>IEA_2013_Wind+BCG_Slow_Wind+EIA_2030_Wind+LBNL_CIS_2030_Wind+BCG_Base_Wind+LBNL_AIS_2030_Wind+BCG_Clean_Wind+IEA_Base_Wind+LBNL_CIS_2050_Wind+LBNL_AIS_2050_Wind+IEA_Blue_Wind</v>
      </c>
    </row>
    <row r="69" spans="1:34" x14ac:dyDescent="0.25">
      <c r="B69" s="73" t="s">
        <v>103</v>
      </c>
      <c r="C69" s="198">
        <v>0.5</v>
      </c>
      <c r="D69" s="106">
        <v>1</v>
      </c>
      <c r="E69" s="198">
        <f t="shared" si="11"/>
        <v>0.49261083743842365</v>
      </c>
      <c r="F69" s="106">
        <f t="shared" si="11"/>
        <v>1</v>
      </c>
      <c r="AA69" s="18" t="s">
        <v>32</v>
      </c>
      <c r="AB69" s="32" t="str">
        <f t="shared" si="8"/>
        <v>IEA_Blue_Solar</v>
      </c>
      <c r="AC69" s="32" t="str">
        <f t="shared" si="7"/>
        <v>if(grid_select=11;0.0680680680680681;0)</v>
      </c>
      <c r="AD69" s="32">
        <v>0</v>
      </c>
      <c r="AE69" s="32" t="str">
        <f t="shared" si="9"/>
        <v>Portion of IEA_Blue grid mix generated using Solar fuel.</v>
      </c>
      <c r="AH69" s="18" t="str">
        <f t="shared" si="10"/>
        <v>IEA_2013_Solar+BCG_Slow_Solar+EIA_2030_Solar+LBNL_CIS_2030_Solar+BCG_Base_Solar+LBNL_AIS_2030_Solar+BCG_Clean_Solar+IEA_Base_Solar+LBNL_CIS_2050_Solar+LBNL_AIS_2050_Solar+IEA_Blue_Solar</v>
      </c>
    </row>
    <row r="70" spans="1:34" x14ac:dyDescent="0.25">
      <c r="B70" s="74" t="s">
        <v>80</v>
      </c>
      <c r="C70" s="206">
        <f>SUM(C62:C69)</f>
        <v>101.5</v>
      </c>
      <c r="D70" s="206">
        <f>SUM(D62:D69)</f>
        <v>100</v>
      </c>
      <c r="E70" s="174">
        <f>SUM(E62:E69)</f>
        <v>100</v>
      </c>
      <c r="F70" s="174">
        <f>SUM(F62:F69)</f>
        <v>100</v>
      </c>
      <c r="AA70" s="18" t="s">
        <v>208</v>
      </c>
      <c r="AB70" s="32" t="str">
        <f t="shared" si="8"/>
        <v>IEA_Blue_Losses</v>
      </c>
      <c r="AC70" s="32" t="str">
        <f t="shared" si="7"/>
        <v>if(grid_select=11;0.12;0)</v>
      </c>
      <c r="AD70" s="32">
        <v>0</v>
      </c>
      <c r="AE70" s="32" t="str">
        <f>CONCATENATE("Grid Losses for the ", $AC$55, " scenario")</f>
        <v>Grid Losses for the IEA_Blue scenario</v>
      </c>
      <c r="AH70" s="18" t="str">
        <f t="shared" si="10"/>
        <v>IEA_2013_Losses+BCG_Slow_Losses+EIA_2030_Losses+LBNL_CIS_2030_Losses+BCG_Base_Losses+LBNL_AIS_2030_Losses+BCG_Clean_Losses+IEA_Base_Losses+LBNL_CIS_2050_Losses+LBNL_AIS_2050_Losses+IEA_Blue_Losses</v>
      </c>
    </row>
    <row r="71" spans="1:34" x14ac:dyDescent="0.25">
      <c r="A71" s="21"/>
      <c r="B71" s="95" t="s">
        <v>277</v>
      </c>
    </row>
    <row r="72" spans="1:34" x14ac:dyDescent="0.25"/>
    <row r="73" spans="1:34" x14ac:dyDescent="0.25"/>
    <row r="74" spans="1:34" x14ac:dyDescent="0.25"/>
    <row r="75" spans="1:34" x14ac:dyDescent="0.25"/>
    <row r="76" spans="1:34" x14ac:dyDescent="0.25">
      <c r="B76" s="261" t="s">
        <v>268</v>
      </c>
      <c r="C76" s="261"/>
      <c r="E76" s="91" t="s">
        <v>109</v>
      </c>
      <c r="F76" s="91"/>
    </row>
    <row r="77" spans="1:34" x14ac:dyDescent="0.25">
      <c r="B77" s="72" t="s">
        <v>1</v>
      </c>
      <c r="C77" s="72" t="s">
        <v>104</v>
      </c>
      <c r="D77" s="72" t="s">
        <v>105</v>
      </c>
      <c r="E77" s="72" t="s">
        <v>104</v>
      </c>
      <c r="F77" s="72" t="s">
        <v>105</v>
      </c>
      <c r="G77" s="96"/>
    </row>
    <row r="78" spans="1:34" x14ac:dyDescent="0.25">
      <c r="B78" s="32" t="s">
        <v>108</v>
      </c>
      <c r="C78" s="106">
        <v>1</v>
      </c>
      <c r="D78" s="201">
        <v>0</v>
      </c>
      <c r="E78" s="198">
        <f t="shared" ref="E78:E86" si="12">C78-(C78*(C$87-100)/$C$87)</f>
        <v>0.98522167487684731</v>
      </c>
      <c r="F78" s="201">
        <f t="shared" ref="F78:F86" si="13">D78-(D78*(D$87-100)/$D$87)</f>
        <v>0</v>
      </c>
    </row>
    <row r="79" spans="1:34" x14ac:dyDescent="0.25">
      <c r="B79" s="32" t="s">
        <v>100</v>
      </c>
      <c r="C79" s="197">
        <v>22</v>
      </c>
      <c r="D79" s="106">
        <v>8</v>
      </c>
      <c r="E79" s="197">
        <f t="shared" si="12"/>
        <v>21.674876847290641</v>
      </c>
      <c r="F79" s="106">
        <f t="shared" si="13"/>
        <v>7.6923076923076925</v>
      </c>
    </row>
    <row r="80" spans="1:34" x14ac:dyDescent="0.25">
      <c r="B80" s="32" t="s">
        <v>101</v>
      </c>
      <c r="C80" s="197">
        <v>44</v>
      </c>
      <c r="D80" s="197">
        <v>41</v>
      </c>
      <c r="E80" s="197">
        <f t="shared" si="12"/>
        <v>43.349753694581281</v>
      </c>
      <c r="F80" s="197">
        <f t="shared" si="13"/>
        <v>39.42307692307692</v>
      </c>
    </row>
    <row r="81" spans="2:6" x14ac:dyDescent="0.25">
      <c r="B81" s="32" t="s">
        <v>102</v>
      </c>
      <c r="C81" s="106">
        <v>2</v>
      </c>
      <c r="D81" s="106">
        <v>2</v>
      </c>
      <c r="E81" s="106">
        <f t="shared" si="12"/>
        <v>1.9704433497536946</v>
      </c>
      <c r="F81" s="106">
        <f t="shared" si="13"/>
        <v>1.9230769230769231</v>
      </c>
    </row>
    <row r="82" spans="2:6" x14ac:dyDescent="0.25">
      <c r="B82" s="32" t="s">
        <v>5</v>
      </c>
      <c r="C82" s="197">
        <v>13</v>
      </c>
      <c r="D82" s="197">
        <v>25</v>
      </c>
      <c r="E82" s="197">
        <f t="shared" si="12"/>
        <v>12.807881773399014</v>
      </c>
      <c r="F82" s="197">
        <f t="shared" si="13"/>
        <v>24.03846153846154</v>
      </c>
    </row>
    <row r="83" spans="2:6" x14ac:dyDescent="0.25">
      <c r="B83" s="32" t="s">
        <v>28</v>
      </c>
      <c r="C83" s="197">
        <v>12</v>
      </c>
      <c r="D83" s="197">
        <v>12</v>
      </c>
      <c r="E83" s="197">
        <f t="shared" si="12"/>
        <v>11.822660098522167</v>
      </c>
      <c r="F83" s="197">
        <f t="shared" si="13"/>
        <v>11.538461538461538</v>
      </c>
    </row>
    <row r="84" spans="2:6" x14ac:dyDescent="0.25">
      <c r="B84" s="32" t="s">
        <v>6</v>
      </c>
      <c r="C84" s="106">
        <v>6</v>
      </c>
      <c r="D84" s="197">
        <v>13</v>
      </c>
      <c r="E84" s="106">
        <f t="shared" si="12"/>
        <v>5.9113300492610836</v>
      </c>
      <c r="F84" s="197">
        <f t="shared" si="13"/>
        <v>12.5</v>
      </c>
    </row>
    <row r="85" spans="2:6" x14ac:dyDescent="0.25">
      <c r="B85" s="32" t="s">
        <v>32</v>
      </c>
      <c r="C85" s="106">
        <v>1</v>
      </c>
      <c r="D85" s="106">
        <v>2</v>
      </c>
      <c r="E85" s="198">
        <f t="shared" si="12"/>
        <v>0.98522167487684731</v>
      </c>
      <c r="F85" s="106">
        <f t="shared" si="13"/>
        <v>1.9230769230769231</v>
      </c>
    </row>
    <row r="86" spans="2:6" x14ac:dyDescent="0.25">
      <c r="B86" s="32" t="s">
        <v>103</v>
      </c>
      <c r="C86" s="198">
        <v>0.5</v>
      </c>
      <c r="D86" s="106">
        <v>1</v>
      </c>
      <c r="E86" s="198">
        <f t="shared" si="12"/>
        <v>0.49261083743842365</v>
      </c>
      <c r="F86" s="198">
        <f t="shared" si="13"/>
        <v>0.96153846153846156</v>
      </c>
    </row>
    <row r="87" spans="2:6" x14ac:dyDescent="0.25">
      <c r="B87" s="74" t="s">
        <v>80</v>
      </c>
      <c r="C87" s="206">
        <f>SUM(C78:C86)</f>
        <v>101.5</v>
      </c>
      <c r="D87" s="206">
        <f>SUM(D78:D86)</f>
        <v>104</v>
      </c>
      <c r="E87" s="174">
        <f>SUM(E78:E86)</f>
        <v>100</v>
      </c>
      <c r="F87" s="175">
        <f>SUM(F78:F86)</f>
        <v>99.999999999999986</v>
      </c>
    </row>
    <row r="88" spans="2:6" x14ac:dyDescent="0.25">
      <c r="B88" s="95" t="s">
        <v>277</v>
      </c>
    </row>
    <row r="89" spans="2:6" x14ac:dyDescent="0.25"/>
    <row r="90" spans="2:6" x14ac:dyDescent="0.25"/>
    <row r="91" spans="2:6" x14ac:dyDescent="0.25"/>
    <row r="92" spans="2:6" x14ac:dyDescent="0.25">
      <c r="B92" s="20" t="s">
        <v>110</v>
      </c>
    </row>
    <row r="93" spans="2:6" x14ac:dyDescent="0.25">
      <c r="B93" s="72" t="s">
        <v>1</v>
      </c>
      <c r="C93" s="72" t="s">
        <v>111</v>
      </c>
      <c r="D93" s="72" t="s">
        <v>112</v>
      </c>
      <c r="E93" s="72" t="s">
        <v>40</v>
      </c>
    </row>
    <row r="94" spans="2:6" x14ac:dyDescent="0.25">
      <c r="B94" s="73" t="s">
        <v>27</v>
      </c>
      <c r="C94" s="200">
        <v>1125</v>
      </c>
      <c r="D94" s="38">
        <v>0.67316185048161858</v>
      </c>
      <c r="E94" s="38">
        <f>(C94*D94)/$D$101</f>
        <v>0.64935392853666962</v>
      </c>
    </row>
    <row r="95" spans="2:6" x14ac:dyDescent="0.25">
      <c r="B95" s="73" t="s">
        <v>28</v>
      </c>
      <c r="C95" s="199">
        <v>403</v>
      </c>
      <c r="D95" s="38">
        <v>0.20059177032488321</v>
      </c>
      <c r="E95" s="38">
        <f t="shared" ref="E95:E100" si="14">(C95*D95)/$D$101</f>
        <v>6.9315061302626255E-2</v>
      </c>
    </row>
    <row r="96" spans="2:6" x14ac:dyDescent="0.25">
      <c r="B96" s="73" t="s">
        <v>31</v>
      </c>
      <c r="C96" s="199">
        <v>172</v>
      </c>
      <c r="D96" s="38">
        <v>0.5804038070088573</v>
      </c>
      <c r="E96" s="38">
        <f t="shared" si="14"/>
        <v>8.5598894055318592E-2</v>
      </c>
    </row>
    <row r="97" spans="2:5" x14ac:dyDescent="0.25">
      <c r="B97" s="73" t="s">
        <v>6</v>
      </c>
      <c r="C97" s="199">
        <v>279</v>
      </c>
      <c r="D97" s="38">
        <v>0.26015638779469691</v>
      </c>
      <c r="E97" s="38">
        <f t="shared" si="14"/>
        <v>6.2236928514632368E-2</v>
      </c>
    </row>
    <row r="98" spans="2:5" x14ac:dyDescent="0.25">
      <c r="B98" s="73" t="s">
        <v>5</v>
      </c>
      <c r="C98" s="199">
        <v>144</v>
      </c>
      <c r="D98" s="38">
        <v>0.89992389649923887</v>
      </c>
      <c r="E98" s="38">
        <f t="shared" si="14"/>
        <v>0.11111628948697516</v>
      </c>
    </row>
    <row r="99" spans="2:5" x14ac:dyDescent="0.25">
      <c r="B99" s="73" t="s">
        <v>32</v>
      </c>
      <c r="C99" s="197">
        <f>0.03*2211</f>
        <v>66.33</v>
      </c>
      <c r="D99" s="38">
        <v>0.21404109589041095</v>
      </c>
      <c r="E99" s="38">
        <f t="shared" si="14"/>
        <v>1.2173532441977839E-2</v>
      </c>
    </row>
    <row r="100" spans="2:5" x14ac:dyDescent="0.25">
      <c r="B100" s="73" t="s">
        <v>29</v>
      </c>
      <c r="C100" s="197">
        <f>2211-SUM(C94:C99)</f>
        <v>21.670000000000073</v>
      </c>
      <c r="D100" s="38">
        <v>0.54923752907728096</v>
      </c>
      <c r="E100" s="38">
        <f t="shared" si="14"/>
        <v>1.0205365661800163E-2</v>
      </c>
    </row>
    <row r="101" spans="2:5" x14ac:dyDescent="0.25">
      <c r="B101" s="74" t="s">
        <v>68</v>
      </c>
      <c r="C101" s="193">
        <f>SUM(C94:C100)</f>
        <v>2211</v>
      </c>
      <c r="D101" s="207">
        <f>SUMPRODUCT(C94:C100, D94:D100)</f>
        <v>1166.2470164743988</v>
      </c>
      <c r="E101" s="77">
        <f>SUM(E94:E100)</f>
        <v>1</v>
      </c>
    </row>
    <row r="102" spans="2:5" x14ac:dyDescent="0.25">
      <c r="B102" s="17" t="s">
        <v>278</v>
      </c>
    </row>
    <row r="103" spans="2:5" x14ac:dyDescent="0.25"/>
    <row r="104" spans="2:5" x14ac:dyDescent="0.25"/>
    <row r="105" spans="2:5" x14ac:dyDescent="0.25">
      <c r="B105" s="20" t="s">
        <v>115</v>
      </c>
    </row>
    <row r="106" spans="2:5" x14ac:dyDescent="0.25">
      <c r="B106" s="72" t="s">
        <v>1</v>
      </c>
      <c r="C106" s="72" t="s">
        <v>111</v>
      </c>
      <c r="D106" s="72" t="s">
        <v>112</v>
      </c>
      <c r="E106" s="72" t="s">
        <v>40</v>
      </c>
    </row>
    <row r="107" spans="2:5" x14ac:dyDescent="0.25">
      <c r="B107" s="73" t="s">
        <v>27</v>
      </c>
      <c r="C107" s="199">
        <v>803</v>
      </c>
      <c r="D107" s="38">
        <v>0.67316185048161858</v>
      </c>
      <c r="E107" s="38">
        <f>(C107*D107)/$D$114</f>
        <v>0.52901484150959122</v>
      </c>
    </row>
    <row r="108" spans="2:5" x14ac:dyDescent="0.25">
      <c r="B108" s="73" t="s">
        <v>28</v>
      </c>
      <c r="C108" s="199">
        <v>396</v>
      </c>
      <c r="D108" s="38">
        <v>0.20059177032488321</v>
      </c>
      <c r="E108" s="38">
        <f t="shared" ref="E108:E113" si="15">(C108*D108)/$D$114</f>
        <v>7.7739387157000309E-2</v>
      </c>
    </row>
    <row r="109" spans="2:5" x14ac:dyDescent="0.25">
      <c r="B109" s="73" t="s">
        <v>31</v>
      </c>
      <c r="C109" s="199">
        <v>267</v>
      </c>
      <c r="D109" s="38">
        <v>0.5804038070088573</v>
      </c>
      <c r="E109" s="38">
        <f t="shared" si="15"/>
        <v>0.15166114456924268</v>
      </c>
    </row>
    <row r="110" spans="2:5" x14ac:dyDescent="0.25">
      <c r="B110" s="73" t="s">
        <v>6</v>
      </c>
      <c r="C110" s="199">
        <v>311</v>
      </c>
      <c r="D110" s="38">
        <v>0.26015638779469691</v>
      </c>
      <c r="E110" s="38">
        <f t="shared" si="15"/>
        <v>7.9182224492333975E-2</v>
      </c>
    </row>
    <row r="111" spans="2:5" x14ac:dyDescent="0.25">
      <c r="B111" s="73" t="s">
        <v>5</v>
      </c>
      <c r="C111" s="199">
        <v>149</v>
      </c>
      <c r="D111" s="38">
        <v>0.89992389649923887</v>
      </c>
      <c r="E111" s="38">
        <f t="shared" si="15"/>
        <v>0.13122750387873286</v>
      </c>
    </row>
    <row r="112" spans="2:5" x14ac:dyDescent="0.25">
      <c r="B112" s="73" t="s">
        <v>32</v>
      </c>
      <c r="C112" s="197">
        <f>0.03*2021</f>
        <v>60.629999999999995</v>
      </c>
      <c r="D112" s="38">
        <v>0.21404109589041095</v>
      </c>
      <c r="E112" s="38">
        <f t="shared" si="15"/>
        <v>1.2700404394608908E-2</v>
      </c>
    </row>
    <row r="113" spans="2:5" x14ac:dyDescent="0.25">
      <c r="B113" s="73" t="s">
        <v>29</v>
      </c>
      <c r="C113" s="197">
        <f>2021-SUM(C107:C112)</f>
        <v>34.369999999999891</v>
      </c>
      <c r="D113" s="38">
        <v>0.54923752907728096</v>
      </c>
      <c r="E113" s="38">
        <f t="shared" si="15"/>
        <v>1.8474493998490108E-2</v>
      </c>
    </row>
    <row r="114" spans="2:5" x14ac:dyDescent="0.25">
      <c r="B114" s="74" t="s">
        <v>68</v>
      </c>
      <c r="C114" s="193">
        <f>SUM(C107:C113)</f>
        <v>2021</v>
      </c>
      <c r="D114" s="207">
        <f>SUMPRODUCT(C107:C113, D107:D113)</f>
        <v>1021.8030261575174</v>
      </c>
      <c r="E114" s="77">
        <f>SUM(E107:E113)</f>
        <v>1.0000000000000002</v>
      </c>
    </row>
    <row r="115" spans="2:5" x14ac:dyDescent="0.25">
      <c r="B115" s="17" t="s">
        <v>278</v>
      </c>
    </row>
    <row r="116" spans="2:5" x14ac:dyDescent="0.25"/>
    <row r="117" spans="2:5" x14ac:dyDescent="0.25"/>
    <row r="118" spans="2:5" x14ac:dyDescent="0.25">
      <c r="B118" s="20" t="s">
        <v>116</v>
      </c>
    </row>
    <row r="119" spans="2:5" x14ac:dyDescent="0.25">
      <c r="B119" s="72" t="s">
        <v>1</v>
      </c>
      <c r="C119" s="72" t="s">
        <v>111</v>
      </c>
      <c r="D119" s="72" t="s">
        <v>112</v>
      </c>
      <c r="E119" s="72" t="s">
        <v>40</v>
      </c>
    </row>
    <row r="120" spans="2:5" x14ac:dyDescent="0.25">
      <c r="B120" s="73" t="s">
        <v>27</v>
      </c>
      <c r="C120" s="200">
        <v>1507</v>
      </c>
      <c r="D120" s="38">
        <v>0.67316185048161858</v>
      </c>
      <c r="E120" s="38">
        <f>(C120*D120)/$D$127</f>
        <v>0.73826186931530613</v>
      </c>
    </row>
    <row r="121" spans="2:5" x14ac:dyDescent="0.25">
      <c r="B121" s="73" t="s">
        <v>28</v>
      </c>
      <c r="C121" s="199">
        <v>404</v>
      </c>
      <c r="D121" s="38">
        <v>0.20059177032488321</v>
      </c>
      <c r="E121" s="38">
        <f t="shared" ref="E121:E126" si="16">(C121*D121)/$D$127</f>
        <v>5.8975572636479914E-2</v>
      </c>
    </row>
    <row r="122" spans="2:5" x14ac:dyDescent="0.25">
      <c r="B122" s="73" t="s">
        <v>31</v>
      </c>
      <c r="C122" s="199">
        <v>135</v>
      </c>
      <c r="D122" s="38">
        <v>0.5804038070088573</v>
      </c>
      <c r="E122" s="38">
        <f t="shared" si="16"/>
        <v>5.7021903527204709E-2</v>
      </c>
    </row>
    <row r="123" spans="2:5" x14ac:dyDescent="0.25">
      <c r="B123" s="73" t="s">
        <v>6</v>
      </c>
      <c r="C123" s="199">
        <v>265</v>
      </c>
      <c r="D123" s="38">
        <v>0.26015638779469691</v>
      </c>
      <c r="E123" s="38">
        <f t="shared" si="16"/>
        <v>5.0171612335002065E-2</v>
      </c>
    </row>
    <row r="124" spans="2:5" x14ac:dyDescent="0.25">
      <c r="B124" s="73" t="s">
        <v>5</v>
      </c>
      <c r="C124" s="199">
        <v>112</v>
      </c>
      <c r="D124" s="38">
        <v>0.89992389649923887</v>
      </c>
      <c r="E124" s="38">
        <f t="shared" si="16"/>
        <v>7.3350232866522536E-2</v>
      </c>
    </row>
    <row r="125" spans="2:5" x14ac:dyDescent="0.25">
      <c r="B125" s="73" t="s">
        <v>32</v>
      </c>
      <c r="C125" s="197">
        <f>(2503-SUM($C$120:$C$124))/2</f>
        <v>40</v>
      </c>
      <c r="D125" s="38">
        <v>0.21404109589041095</v>
      </c>
      <c r="E125" s="38">
        <f t="shared" si="16"/>
        <v>6.2306713964691831E-3</v>
      </c>
    </row>
    <row r="126" spans="2:5" x14ac:dyDescent="0.25">
      <c r="B126" s="73" t="s">
        <v>29</v>
      </c>
      <c r="C126" s="197">
        <f>(2503-SUM($C$120:$C$124))/2</f>
        <v>40</v>
      </c>
      <c r="D126" s="38">
        <v>0.54923752907728096</v>
      </c>
      <c r="E126" s="38">
        <f t="shared" si="16"/>
        <v>1.5988137923015261E-2</v>
      </c>
    </row>
    <row r="127" spans="2:5" x14ac:dyDescent="0.25">
      <c r="B127" s="74" t="s">
        <v>68</v>
      </c>
      <c r="C127" s="193">
        <f>SUM(C120:C126)</f>
        <v>2503</v>
      </c>
      <c r="D127" s="207">
        <f>SUMPRODUCT(C120:C126, D120:D126)</f>
        <v>1374.1125620054652</v>
      </c>
      <c r="E127" s="77">
        <f>SUM(E120:E126)</f>
        <v>0.99999999999999978</v>
      </c>
    </row>
    <row r="128" spans="2:5" x14ac:dyDescent="0.25">
      <c r="B128" s="17" t="s">
        <v>278</v>
      </c>
    </row>
    <row r="129" spans="2:17" x14ac:dyDescent="0.25"/>
    <row r="130" spans="2:17" x14ac:dyDescent="0.25"/>
    <row r="131" spans="2:17" x14ac:dyDescent="0.25">
      <c r="B131" s="20" t="s">
        <v>97</v>
      </c>
    </row>
    <row r="132" spans="2:17" x14ac:dyDescent="0.25">
      <c r="C132" s="91" t="s">
        <v>92</v>
      </c>
      <c r="D132" s="91"/>
      <c r="E132" s="91"/>
      <c r="F132" s="91"/>
      <c r="G132" s="91"/>
      <c r="H132" s="91"/>
      <c r="I132" s="91"/>
      <c r="K132" s="258" t="s">
        <v>95</v>
      </c>
      <c r="L132" s="258"/>
      <c r="M132" s="258"/>
      <c r="N132" s="258"/>
      <c r="O132" s="258"/>
      <c r="P132" s="258"/>
      <c r="Q132" s="258"/>
    </row>
    <row r="133" spans="2:17" x14ac:dyDescent="0.25">
      <c r="B133" s="72" t="s">
        <v>93</v>
      </c>
      <c r="C133" s="72">
        <v>2010</v>
      </c>
      <c r="D133" s="72">
        <v>2015</v>
      </c>
      <c r="E133" s="72">
        <v>2020</v>
      </c>
      <c r="F133" s="72">
        <v>2025</v>
      </c>
      <c r="G133" s="72">
        <v>2030</v>
      </c>
      <c r="H133" s="72">
        <v>2035</v>
      </c>
      <c r="I133" s="72">
        <v>2040</v>
      </c>
      <c r="J133" s="72" t="s">
        <v>93</v>
      </c>
      <c r="K133" s="72">
        <v>2010</v>
      </c>
      <c r="L133" s="72">
        <v>2015</v>
      </c>
      <c r="M133" s="72">
        <v>2020</v>
      </c>
      <c r="N133" s="72">
        <v>2025</v>
      </c>
      <c r="O133" s="72">
        <v>2030</v>
      </c>
      <c r="P133" s="72">
        <v>2035</v>
      </c>
      <c r="Q133" s="72">
        <v>2040</v>
      </c>
    </row>
    <row r="134" spans="2:17" x14ac:dyDescent="0.25">
      <c r="B134" s="73" t="s">
        <v>88</v>
      </c>
      <c r="C134" s="199">
        <v>988</v>
      </c>
      <c r="D134" s="200">
        <v>1301</v>
      </c>
      <c r="E134" s="200">
        <v>1589</v>
      </c>
      <c r="F134" s="200">
        <v>1804</v>
      </c>
      <c r="G134" s="200">
        <v>2007</v>
      </c>
      <c r="H134" s="200">
        <v>2176</v>
      </c>
      <c r="I134" s="200">
        <v>2265</v>
      </c>
      <c r="J134" s="73" t="s">
        <v>88</v>
      </c>
      <c r="K134" s="38">
        <f t="shared" ref="K134:O140" si="17">C149/(C134*1000000*(365*24)/1000000000)</f>
        <v>0.45107500046216703</v>
      </c>
      <c r="L134" s="38">
        <f t="shared" si="17"/>
        <v>0.50365191510569673</v>
      </c>
      <c r="M134" s="38">
        <f t="shared" si="17"/>
        <v>0.52407964573796451</v>
      </c>
      <c r="N134" s="38">
        <f t="shared" si="17"/>
        <v>0.54881845518330652</v>
      </c>
      <c r="O134" s="38">
        <f t="shared" si="17"/>
        <v>0.56548655049791485</v>
      </c>
      <c r="P134" s="38">
        <f>H149/(H134*1000000*(365*24)/1000000000)</f>
        <v>0.57722896521622358</v>
      </c>
      <c r="Q134" s="38">
        <f>I149/(I134*1000000*(365*24)/1000000000)</f>
        <v>0.58438416643986812</v>
      </c>
    </row>
    <row r="135" spans="2:17" x14ac:dyDescent="0.25">
      <c r="B135" s="73" t="s">
        <v>89</v>
      </c>
      <c r="C135" s="197">
        <v>14</v>
      </c>
      <c r="D135" s="197">
        <v>14</v>
      </c>
      <c r="E135" s="197">
        <v>13</v>
      </c>
      <c r="F135" s="197">
        <v>13</v>
      </c>
      <c r="G135" s="197">
        <v>12</v>
      </c>
      <c r="H135" s="197">
        <v>11</v>
      </c>
      <c r="I135" s="197">
        <v>11</v>
      </c>
      <c r="J135" s="73" t="s">
        <v>89</v>
      </c>
      <c r="K135" s="38">
        <f t="shared" si="17"/>
        <v>9.7847358121330719E-2</v>
      </c>
      <c r="L135" s="38">
        <f t="shared" si="17"/>
        <v>0.10600130463144161</v>
      </c>
      <c r="M135" s="38">
        <f t="shared" si="17"/>
        <v>0.10537407797681771</v>
      </c>
      <c r="N135" s="38">
        <f t="shared" si="17"/>
        <v>0.10537407797681771</v>
      </c>
      <c r="O135" s="38">
        <f t="shared" si="17"/>
        <v>0.10464231354642313</v>
      </c>
      <c r="P135" s="38">
        <f t="shared" ref="P135:Q143" si="18">H150/(H135*1000000*(365*24)/1000000000)</f>
        <v>0.11415525114155252</v>
      </c>
      <c r="Q135" s="38">
        <f t="shared" si="18"/>
        <v>0.10377750103777501</v>
      </c>
    </row>
    <row r="136" spans="2:17" x14ac:dyDescent="0.25">
      <c r="B136" s="73" t="s">
        <v>4</v>
      </c>
      <c r="C136" s="197">
        <v>33</v>
      </c>
      <c r="D136" s="197">
        <v>39</v>
      </c>
      <c r="E136" s="197">
        <v>48</v>
      </c>
      <c r="F136" s="197">
        <v>63</v>
      </c>
      <c r="G136" s="197">
        <v>83</v>
      </c>
      <c r="H136" s="197">
        <v>98</v>
      </c>
      <c r="I136" s="199">
        <v>105</v>
      </c>
      <c r="J136" s="73" t="s">
        <v>4</v>
      </c>
      <c r="K136" s="38">
        <f t="shared" si="17"/>
        <v>0.21793275217932753</v>
      </c>
      <c r="L136" s="38">
        <f t="shared" si="17"/>
        <v>0.31612223393045313</v>
      </c>
      <c r="M136" s="38">
        <f t="shared" si="17"/>
        <v>0.4161910197869102</v>
      </c>
      <c r="N136" s="38">
        <f t="shared" si="17"/>
        <v>0.51641661230702329</v>
      </c>
      <c r="O136" s="38">
        <f t="shared" si="17"/>
        <v>0.5804038070088573</v>
      </c>
      <c r="P136" s="38">
        <f t="shared" si="18"/>
        <v>0.62086478426987235</v>
      </c>
      <c r="Q136" s="38">
        <f t="shared" si="18"/>
        <v>0.63709502065666457</v>
      </c>
    </row>
    <row r="137" spans="2:17" x14ac:dyDescent="0.25">
      <c r="B137" s="73" t="s">
        <v>90</v>
      </c>
      <c r="C137" s="199">
        <v>659</v>
      </c>
      <c r="D137" s="199">
        <v>819</v>
      </c>
      <c r="E137" s="199">
        <v>903</v>
      </c>
      <c r="F137" s="200">
        <v>1008</v>
      </c>
      <c r="G137" s="200">
        <v>1096</v>
      </c>
      <c r="H137" s="200">
        <v>1162</v>
      </c>
      <c r="I137" s="200">
        <v>1187</v>
      </c>
      <c r="J137" s="73" t="s">
        <v>90</v>
      </c>
      <c r="K137" s="38">
        <f t="shared" si="17"/>
        <v>0.51759619182239591</v>
      </c>
      <c r="L137" s="38">
        <f t="shared" si="17"/>
        <v>0.58401770730537861</v>
      </c>
      <c r="M137" s="38">
        <f t="shared" si="17"/>
        <v>0.61780366813816956</v>
      </c>
      <c r="N137" s="38">
        <f t="shared" si="17"/>
        <v>0.65016398492425886</v>
      </c>
      <c r="O137" s="38">
        <f t="shared" si="17"/>
        <v>0.67316185048161858</v>
      </c>
      <c r="P137" s="38">
        <f t="shared" si="18"/>
        <v>0.68974528249986244</v>
      </c>
      <c r="Q137" s="38">
        <f t="shared" si="18"/>
        <v>0.69849165041372863</v>
      </c>
    </row>
    <row r="138" spans="2:17" x14ac:dyDescent="0.25">
      <c r="B138" s="73" t="s">
        <v>5</v>
      </c>
      <c r="C138" s="197">
        <v>11</v>
      </c>
      <c r="D138" s="197">
        <v>40</v>
      </c>
      <c r="E138" s="197">
        <v>80</v>
      </c>
      <c r="F138" s="199">
        <v>100</v>
      </c>
      <c r="G138" s="199">
        <v>120</v>
      </c>
      <c r="H138" s="199">
        <v>140</v>
      </c>
      <c r="I138" s="199">
        <v>160</v>
      </c>
      <c r="J138" s="73" t="s">
        <v>5</v>
      </c>
      <c r="K138" s="38">
        <f t="shared" si="17"/>
        <v>0.72644250726442505</v>
      </c>
      <c r="L138" s="38">
        <f t="shared" si="17"/>
        <v>0.85045662100456632</v>
      </c>
      <c r="M138" s="38">
        <f t="shared" si="17"/>
        <v>0.87043378995433796</v>
      </c>
      <c r="N138" s="38">
        <f t="shared" si="17"/>
        <v>0.8904109589041096</v>
      </c>
      <c r="O138" s="38">
        <f t="shared" si="17"/>
        <v>0.89992389649923887</v>
      </c>
      <c r="P138" s="38">
        <f t="shared" si="18"/>
        <v>0.90998043052837563</v>
      </c>
      <c r="Q138" s="38">
        <f t="shared" si="18"/>
        <v>0.91966324200913252</v>
      </c>
    </row>
    <row r="139" spans="2:17" x14ac:dyDescent="0.25">
      <c r="B139" s="73" t="s">
        <v>28</v>
      </c>
      <c r="C139" s="199">
        <v>271</v>
      </c>
      <c r="D139" s="199">
        <v>388</v>
      </c>
      <c r="E139" s="199">
        <v>545</v>
      </c>
      <c r="F139" s="199">
        <v>620</v>
      </c>
      <c r="G139" s="199">
        <v>696</v>
      </c>
      <c r="H139" s="199">
        <v>764</v>
      </c>
      <c r="I139" s="199">
        <v>802</v>
      </c>
      <c r="J139" s="73" t="s">
        <v>28</v>
      </c>
      <c r="K139" s="38">
        <f t="shared" si="17"/>
        <v>0.30076328160541876</v>
      </c>
      <c r="L139" s="38">
        <f t="shared" si="17"/>
        <v>0.25596667137409967</v>
      </c>
      <c r="M139" s="38">
        <f t="shared" si="17"/>
        <v>0.22831050228310504</v>
      </c>
      <c r="N139" s="38">
        <f t="shared" si="17"/>
        <v>0.21302842833996172</v>
      </c>
      <c r="O139" s="38">
        <f t="shared" si="17"/>
        <v>0.20059177032488321</v>
      </c>
      <c r="P139" s="38">
        <f t="shared" si="18"/>
        <v>0.19738100360993568</v>
      </c>
      <c r="Q139" s="38">
        <f t="shared" si="18"/>
        <v>0.19813479998633551</v>
      </c>
    </row>
    <row r="140" spans="2:17" x14ac:dyDescent="0.25">
      <c r="B140" s="73" t="s">
        <v>6</v>
      </c>
      <c r="C140" s="197">
        <v>31</v>
      </c>
      <c r="D140" s="197">
        <v>84</v>
      </c>
      <c r="E140" s="199">
        <v>148</v>
      </c>
      <c r="F140" s="199">
        <v>191</v>
      </c>
      <c r="G140" s="199">
        <v>233</v>
      </c>
      <c r="H140" s="199">
        <v>263</v>
      </c>
      <c r="I140" s="199">
        <v>277</v>
      </c>
      <c r="J140" s="73" t="s">
        <v>6</v>
      </c>
      <c r="K140" s="38">
        <f t="shared" si="17"/>
        <v>0.16570923552806011</v>
      </c>
      <c r="L140" s="38">
        <f t="shared" si="17"/>
        <v>0.23374646662317894</v>
      </c>
      <c r="M140" s="38">
        <f t="shared" si="17"/>
        <v>0.25222139948167344</v>
      </c>
      <c r="N140" s="38">
        <f t="shared" si="17"/>
        <v>0.25640106146453417</v>
      </c>
      <c r="O140" s="38">
        <f t="shared" si="17"/>
        <v>0.26015638779469691</v>
      </c>
      <c r="P140" s="38">
        <f t="shared" si="18"/>
        <v>0.26260048266402763</v>
      </c>
      <c r="Q140" s="38">
        <f t="shared" si="18"/>
        <v>0.26251586634357021</v>
      </c>
    </row>
    <row r="141" spans="2:17" x14ac:dyDescent="0.25">
      <c r="B141" s="73" t="s">
        <v>49</v>
      </c>
      <c r="C141" s="201">
        <v>0</v>
      </c>
      <c r="D141" s="201">
        <v>0</v>
      </c>
      <c r="E141" s="201">
        <v>0</v>
      </c>
      <c r="F141" s="201">
        <v>0</v>
      </c>
      <c r="G141" s="201">
        <v>0</v>
      </c>
      <c r="H141" s="201">
        <v>0</v>
      </c>
      <c r="I141" s="201">
        <v>0</v>
      </c>
      <c r="J141" s="73" t="s">
        <v>49</v>
      </c>
      <c r="K141" s="38"/>
      <c r="L141" s="38"/>
      <c r="M141" s="38"/>
      <c r="N141" s="38"/>
      <c r="O141" s="38"/>
      <c r="P141" s="38"/>
      <c r="Q141" s="38"/>
    </row>
    <row r="142" spans="2:17" x14ac:dyDescent="0.25">
      <c r="B142" s="73" t="s">
        <v>32</v>
      </c>
      <c r="C142" s="106">
        <v>1</v>
      </c>
      <c r="D142" s="197">
        <v>14</v>
      </c>
      <c r="E142" s="197">
        <v>36</v>
      </c>
      <c r="F142" s="197">
        <v>42</v>
      </c>
      <c r="G142" s="197">
        <v>48</v>
      </c>
      <c r="H142" s="197">
        <v>53</v>
      </c>
      <c r="I142" s="197">
        <v>56</v>
      </c>
      <c r="J142" s="73" t="s">
        <v>32</v>
      </c>
      <c r="K142" s="38">
        <f t="shared" ref="K142:O143" si="19">C157/(C142*1000000*(365*24)/1000000000)</f>
        <v>0.11415525114155252</v>
      </c>
      <c r="L142" s="38">
        <f t="shared" si="19"/>
        <v>0.21200260926288322</v>
      </c>
      <c r="M142" s="38">
        <f t="shared" si="19"/>
        <v>0.21245560629122273</v>
      </c>
      <c r="N142" s="38">
        <f t="shared" si="19"/>
        <v>0.21472059143292019</v>
      </c>
      <c r="O142" s="38">
        <f t="shared" si="19"/>
        <v>0.21404109589041095</v>
      </c>
      <c r="P142" s="38">
        <f t="shared" si="18"/>
        <v>0.21538726630481608</v>
      </c>
      <c r="Q142" s="38">
        <f t="shared" si="18"/>
        <v>0.21404109589041095</v>
      </c>
    </row>
    <row r="143" spans="2:17" x14ac:dyDescent="0.25">
      <c r="B143" s="73" t="s">
        <v>91</v>
      </c>
      <c r="C143" s="197">
        <v>20</v>
      </c>
      <c r="D143" s="197">
        <v>27</v>
      </c>
      <c r="E143" s="197">
        <v>36</v>
      </c>
      <c r="F143" s="197">
        <v>45</v>
      </c>
      <c r="G143" s="197">
        <v>53</v>
      </c>
      <c r="H143" s="197">
        <v>59</v>
      </c>
      <c r="I143" s="197">
        <v>61</v>
      </c>
      <c r="J143" s="73" t="s">
        <v>91</v>
      </c>
      <c r="K143" s="38">
        <f t="shared" si="19"/>
        <v>6.2785388127853892E-2</v>
      </c>
      <c r="L143" s="38">
        <f t="shared" si="19"/>
        <v>0.27059022492812446</v>
      </c>
      <c r="M143" s="38">
        <f t="shared" si="19"/>
        <v>0.40588533739218668</v>
      </c>
      <c r="N143" s="38">
        <f t="shared" si="19"/>
        <v>0.48452562151192291</v>
      </c>
      <c r="O143" s="38">
        <f t="shared" si="19"/>
        <v>0.54923752907728096</v>
      </c>
      <c r="P143" s="38">
        <f t="shared" si="18"/>
        <v>0.57271109047287361</v>
      </c>
      <c r="Q143" s="38">
        <f t="shared" si="18"/>
        <v>0.58387603862564563</v>
      </c>
    </row>
    <row r="144" spans="2:17" x14ac:dyDescent="0.25">
      <c r="B144" s="17" t="s">
        <v>254</v>
      </c>
    </row>
    <row r="145" spans="2:17" x14ac:dyDescent="0.25"/>
    <row r="146" spans="2:17" x14ac:dyDescent="0.25">
      <c r="B146" s="20" t="s">
        <v>97</v>
      </c>
    </row>
    <row r="147" spans="2:17" x14ac:dyDescent="0.25">
      <c r="C147" s="91" t="s">
        <v>94</v>
      </c>
      <c r="D147" s="91"/>
      <c r="E147" s="91"/>
      <c r="F147" s="91"/>
      <c r="G147" s="91"/>
      <c r="H147" s="91"/>
      <c r="I147" s="91"/>
      <c r="K147" s="258" t="s">
        <v>96</v>
      </c>
      <c r="L147" s="258"/>
      <c r="M147" s="258"/>
      <c r="N147" s="258"/>
      <c r="O147" s="258"/>
      <c r="P147" s="258"/>
      <c r="Q147" s="258"/>
    </row>
    <row r="148" spans="2:17" x14ac:dyDescent="0.25">
      <c r="B148" s="72" t="s">
        <v>93</v>
      </c>
      <c r="C148" s="72">
        <v>2010</v>
      </c>
      <c r="D148" s="72">
        <v>2015</v>
      </c>
      <c r="E148" s="72">
        <v>2020</v>
      </c>
      <c r="F148" s="72">
        <v>2025</v>
      </c>
      <c r="G148" s="72">
        <v>2030</v>
      </c>
      <c r="H148" s="72">
        <v>2035</v>
      </c>
      <c r="I148" s="72">
        <v>2040</v>
      </c>
      <c r="J148" s="72" t="s">
        <v>93</v>
      </c>
      <c r="K148" s="72">
        <v>2010</v>
      </c>
      <c r="L148" s="72">
        <v>2015</v>
      </c>
      <c r="M148" s="72">
        <v>2020</v>
      </c>
      <c r="N148" s="72">
        <v>2025</v>
      </c>
      <c r="O148" s="72">
        <v>2030</v>
      </c>
      <c r="P148" s="72">
        <v>2035</v>
      </c>
      <c r="Q148" s="72">
        <v>2040</v>
      </c>
    </row>
    <row r="149" spans="2:17" x14ac:dyDescent="0.25">
      <c r="B149" s="73" t="s">
        <v>88</v>
      </c>
      <c r="C149" s="200">
        <v>3904</v>
      </c>
      <c r="D149" s="200">
        <v>5740</v>
      </c>
      <c r="E149" s="200">
        <v>7295</v>
      </c>
      <c r="F149" s="200">
        <v>8673</v>
      </c>
      <c r="G149" s="200">
        <v>9942</v>
      </c>
      <c r="H149" s="200">
        <v>11003</v>
      </c>
      <c r="I149" s="200">
        <v>11595</v>
      </c>
      <c r="J149" s="73" t="s">
        <v>88</v>
      </c>
      <c r="K149" s="97">
        <f t="shared" ref="K149:K158" si="20">C149/C$159</f>
        <v>1</v>
      </c>
      <c r="L149" s="38">
        <f t="shared" ref="L149:L158" si="21">D149/D$159</f>
        <v>0.99982581431806306</v>
      </c>
      <c r="M149" s="38">
        <f t="shared" ref="M149:M158" si="22">E149/E$159</f>
        <v>0.99986293859649122</v>
      </c>
      <c r="N149" s="38">
        <f t="shared" ref="N149:N158" si="23">F149/F$159</f>
        <v>0.99988471293520864</v>
      </c>
      <c r="O149" s="38">
        <f t="shared" ref="O149:O158" si="24">G149/G$159</f>
        <v>1.0001005935016598</v>
      </c>
      <c r="P149" s="38">
        <f t="shared" ref="P149:P158" si="25">H149/H$159</f>
        <v>1</v>
      </c>
      <c r="Q149" s="38">
        <f t="shared" ref="Q149:Q158" si="26">I149/I$159</f>
        <v>1.0000862515094013</v>
      </c>
    </row>
    <row r="150" spans="2:17" x14ac:dyDescent="0.25">
      <c r="B150" s="73" t="s">
        <v>89</v>
      </c>
      <c r="C150" s="197">
        <v>12</v>
      </c>
      <c r="D150" s="197">
        <v>13</v>
      </c>
      <c r="E150" s="197">
        <v>12</v>
      </c>
      <c r="F150" s="197">
        <v>12</v>
      </c>
      <c r="G150" s="197">
        <v>11</v>
      </c>
      <c r="H150" s="197">
        <v>11</v>
      </c>
      <c r="I150" s="197">
        <v>10</v>
      </c>
      <c r="J150" s="73" t="s">
        <v>89</v>
      </c>
      <c r="K150" s="94">
        <f t="shared" si="20"/>
        <v>3.0737704918032786E-3</v>
      </c>
      <c r="L150" s="94">
        <f t="shared" si="21"/>
        <v>2.2644138651802823E-3</v>
      </c>
      <c r="M150" s="94">
        <f t="shared" si="22"/>
        <v>1.6447368421052631E-3</v>
      </c>
      <c r="N150" s="94">
        <f t="shared" si="23"/>
        <v>1.3834447774959649E-3</v>
      </c>
      <c r="O150" s="94">
        <f t="shared" si="24"/>
        <v>1.1065285182577204E-3</v>
      </c>
      <c r="P150" s="94">
        <f t="shared" si="25"/>
        <v>9.9972734708715801E-4</v>
      </c>
      <c r="Q150" s="94">
        <f t="shared" si="26"/>
        <v>8.6251509401414521E-4</v>
      </c>
    </row>
    <row r="151" spans="2:17" x14ac:dyDescent="0.25">
      <c r="B151" s="73" t="s">
        <v>4</v>
      </c>
      <c r="C151" s="197">
        <v>63</v>
      </c>
      <c r="D151" s="199">
        <v>108</v>
      </c>
      <c r="E151" s="199">
        <v>175</v>
      </c>
      <c r="F151" s="199">
        <v>285</v>
      </c>
      <c r="G151" s="199">
        <v>422</v>
      </c>
      <c r="H151" s="199">
        <v>533</v>
      </c>
      <c r="I151" s="199">
        <v>586</v>
      </c>
      <c r="J151" s="73" t="s">
        <v>4</v>
      </c>
      <c r="K151" s="38">
        <f t="shared" si="20"/>
        <v>1.6137295081967214E-2</v>
      </c>
      <c r="L151" s="38">
        <f t="shared" si="21"/>
        <v>1.8812053649190037E-2</v>
      </c>
      <c r="M151" s="38">
        <f t="shared" si="22"/>
        <v>2.3985745614035089E-2</v>
      </c>
      <c r="N151" s="38">
        <f t="shared" si="23"/>
        <v>3.2856813465529169E-2</v>
      </c>
      <c r="O151" s="38">
        <f t="shared" si="24"/>
        <v>4.2450457700432549E-2</v>
      </c>
      <c r="P151" s="38">
        <f t="shared" si="25"/>
        <v>4.8441334181586838E-2</v>
      </c>
      <c r="Q151" s="38">
        <f t="shared" si="26"/>
        <v>5.0543384509228913E-2</v>
      </c>
    </row>
    <row r="152" spans="2:17" x14ac:dyDescent="0.25">
      <c r="B152" s="73" t="s">
        <v>90</v>
      </c>
      <c r="C152" s="200">
        <v>2988</v>
      </c>
      <c r="D152" s="200">
        <v>4190</v>
      </c>
      <c r="E152" s="200">
        <v>4887</v>
      </c>
      <c r="F152" s="200">
        <v>5741</v>
      </c>
      <c r="G152" s="200">
        <v>6463</v>
      </c>
      <c r="H152" s="200">
        <v>7021</v>
      </c>
      <c r="I152" s="200">
        <v>7263</v>
      </c>
      <c r="J152" s="73" t="s">
        <v>90</v>
      </c>
      <c r="K152" s="38">
        <f t="shared" si="20"/>
        <v>0.76536885245901642</v>
      </c>
      <c r="L152" s="38">
        <f t="shared" si="21"/>
        <v>0.72983800731579862</v>
      </c>
      <c r="M152" s="38">
        <f t="shared" si="22"/>
        <v>0.66981907894736847</v>
      </c>
      <c r="N152" s="38">
        <f t="shared" si="23"/>
        <v>0.66186303896702792</v>
      </c>
      <c r="O152" s="38">
        <f t="shared" si="24"/>
        <v>0.65013580122724068</v>
      </c>
      <c r="P152" s="38">
        <f t="shared" si="25"/>
        <v>0.63809870035444882</v>
      </c>
      <c r="Q152" s="38">
        <f t="shared" si="26"/>
        <v>0.62644471278247371</v>
      </c>
    </row>
    <row r="153" spans="2:17" x14ac:dyDescent="0.25">
      <c r="B153" s="73" t="s">
        <v>5</v>
      </c>
      <c r="C153" s="197">
        <v>70</v>
      </c>
      <c r="D153" s="199">
        <v>298</v>
      </c>
      <c r="E153" s="199">
        <v>610</v>
      </c>
      <c r="F153" s="199">
        <v>780</v>
      </c>
      <c r="G153" s="199">
        <v>946</v>
      </c>
      <c r="H153" s="200">
        <v>1116</v>
      </c>
      <c r="I153" s="200">
        <v>1289</v>
      </c>
      <c r="J153" s="73" t="s">
        <v>5</v>
      </c>
      <c r="K153" s="38">
        <f t="shared" si="20"/>
        <v>1.7930327868852458E-2</v>
      </c>
      <c r="L153" s="38">
        <f t="shared" si="21"/>
        <v>5.1907333217209542E-2</v>
      </c>
      <c r="M153" s="38">
        <f t="shared" si="22"/>
        <v>8.360745614035088E-2</v>
      </c>
      <c r="N153" s="38">
        <f t="shared" si="23"/>
        <v>8.9923910537237722E-2</v>
      </c>
      <c r="O153" s="38">
        <f t="shared" si="24"/>
        <v>9.5161452570163965E-2</v>
      </c>
      <c r="P153" s="38">
        <f t="shared" si="25"/>
        <v>0.10142688357720622</v>
      </c>
      <c r="Q153" s="38">
        <f t="shared" si="26"/>
        <v>0.11117819561842332</v>
      </c>
    </row>
    <row r="154" spans="2:17" x14ac:dyDescent="0.25">
      <c r="B154" s="73" t="s">
        <v>28</v>
      </c>
      <c r="C154" s="199">
        <v>714</v>
      </c>
      <c r="D154" s="199">
        <v>870</v>
      </c>
      <c r="E154" s="200">
        <v>1090</v>
      </c>
      <c r="F154" s="200">
        <v>1157</v>
      </c>
      <c r="G154" s="200">
        <v>1223</v>
      </c>
      <c r="H154" s="200">
        <v>1321</v>
      </c>
      <c r="I154" s="200">
        <v>1392</v>
      </c>
      <c r="J154" s="73" t="s">
        <v>28</v>
      </c>
      <c r="K154" s="38">
        <f t="shared" si="20"/>
        <v>0.18288934426229508</v>
      </c>
      <c r="L154" s="38">
        <f t="shared" si="21"/>
        <v>0.15154154328514197</v>
      </c>
      <c r="M154" s="38">
        <f t="shared" si="22"/>
        <v>0.1493969298245614</v>
      </c>
      <c r="N154" s="38">
        <f t="shared" si="23"/>
        <v>0.1333871339635693</v>
      </c>
      <c r="O154" s="38">
        <f t="shared" si="24"/>
        <v>0.12302585252992657</v>
      </c>
      <c r="P154" s="38">
        <f t="shared" si="25"/>
        <v>0.12005816595473962</v>
      </c>
      <c r="Q154" s="38">
        <f t="shared" si="26"/>
        <v>0.12006210108676901</v>
      </c>
    </row>
    <row r="155" spans="2:17" x14ac:dyDescent="0.25">
      <c r="B155" s="73" t="s">
        <v>6</v>
      </c>
      <c r="C155" s="197">
        <v>45</v>
      </c>
      <c r="D155" s="199">
        <v>172</v>
      </c>
      <c r="E155" s="199">
        <v>327</v>
      </c>
      <c r="F155" s="199">
        <v>429</v>
      </c>
      <c r="G155" s="199">
        <v>531</v>
      </c>
      <c r="H155" s="199">
        <v>605</v>
      </c>
      <c r="I155" s="199">
        <v>637</v>
      </c>
      <c r="J155" s="73" t="s">
        <v>6</v>
      </c>
      <c r="K155" s="38">
        <f t="shared" si="20"/>
        <v>1.1526639344262296E-2</v>
      </c>
      <c r="L155" s="38">
        <f t="shared" si="21"/>
        <v>2.9959937293154503E-2</v>
      </c>
      <c r="M155" s="38">
        <f t="shared" si="22"/>
        <v>4.4819078947368418E-2</v>
      </c>
      <c r="N155" s="38">
        <f t="shared" si="23"/>
        <v>4.945815079548075E-2</v>
      </c>
      <c r="O155" s="38">
        <f t="shared" si="24"/>
        <v>5.3415149381349968E-2</v>
      </c>
      <c r="P155" s="38">
        <f t="shared" si="25"/>
        <v>5.498500408979369E-2</v>
      </c>
      <c r="Q155" s="38">
        <f t="shared" si="26"/>
        <v>5.494221148870105E-2</v>
      </c>
    </row>
    <row r="156" spans="2:17" x14ac:dyDescent="0.25">
      <c r="B156" s="73" t="s">
        <v>49</v>
      </c>
      <c r="C156" s="201">
        <v>0</v>
      </c>
      <c r="D156" s="201">
        <v>0</v>
      </c>
      <c r="E156" s="201">
        <v>0</v>
      </c>
      <c r="F156" s="201">
        <v>0</v>
      </c>
      <c r="G156" s="201">
        <v>0</v>
      </c>
      <c r="H156" s="201">
        <v>0</v>
      </c>
      <c r="I156" s="201">
        <v>0</v>
      </c>
      <c r="J156" s="73" t="s">
        <v>49</v>
      </c>
      <c r="K156" s="38">
        <f t="shared" si="20"/>
        <v>0</v>
      </c>
      <c r="L156" s="38">
        <f t="shared" si="21"/>
        <v>0</v>
      </c>
      <c r="M156" s="38">
        <f t="shared" si="22"/>
        <v>0</v>
      </c>
      <c r="N156" s="38">
        <f t="shared" si="23"/>
        <v>0</v>
      </c>
      <c r="O156" s="38">
        <f t="shared" si="24"/>
        <v>0</v>
      </c>
      <c r="P156" s="38">
        <f t="shared" si="25"/>
        <v>0</v>
      </c>
      <c r="Q156" s="38">
        <f t="shared" si="26"/>
        <v>0</v>
      </c>
    </row>
    <row r="157" spans="2:17" x14ac:dyDescent="0.25">
      <c r="B157" s="73" t="s">
        <v>32</v>
      </c>
      <c r="C157" s="106">
        <v>1</v>
      </c>
      <c r="D157" s="197">
        <v>26</v>
      </c>
      <c r="E157" s="197">
        <v>67</v>
      </c>
      <c r="F157" s="197">
        <v>79</v>
      </c>
      <c r="G157" s="197">
        <v>90</v>
      </c>
      <c r="H157" s="199">
        <v>100</v>
      </c>
      <c r="I157" s="199">
        <v>105</v>
      </c>
      <c r="J157" s="73" t="s">
        <v>32</v>
      </c>
      <c r="K157" s="94">
        <f t="shared" si="20"/>
        <v>2.5614754098360657E-4</v>
      </c>
      <c r="L157" s="94">
        <f t="shared" si="21"/>
        <v>4.5288277303605646E-3</v>
      </c>
      <c r="M157" s="94">
        <f t="shared" si="22"/>
        <v>9.1831140350877201E-3</v>
      </c>
      <c r="N157" s="94">
        <f t="shared" si="23"/>
        <v>9.1076781185151032E-3</v>
      </c>
      <c r="O157" s="94">
        <f t="shared" si="24"/>
        <v>9.0534151493813497E-3</v>
      </c>
      <c r="P157" s="94">
        <f t="shared" si="25"/>
        <v>9.0884304280650727E-3</v>
      </c>
      <c r="Q157" s="94">
        <f t="shared" si="26"/>
        <v>9.0564084871485248E-3</v>
      </c>
    </row>
    <row r="158" spans="2:17" x14ac:dyDescent="0.25">
      <c r="B158" s="73" t="s">
        <v>91</v>
      </c>
      <c r="C158" s="197">
        <v>11</v>
      </c>
      <c r="D158" s="197">
        <v>64</v>
      </c>
      <c r="E158" s="199">
        <v>128</v>
      </c>
      <c r="F158" s="199">
        <v>191</v>
      </c>
      <c r="G158" s="199">
        <v>255</v>
      </c>
      <c r="H158" s="199">
        <v>296</v>
      </c>
      <c r="I158" s="199">
        <v>312</v>
      </c>
      <c r="J158" s="73" t="s">
        <v>91</v>
      </c>
      <c r="K158" s="38">
        <f t="shared" si="20"/>
        <v>2.8176229508196722E-3</v>
      </c>
      <c r="L158" s="38">
        <f t="shared" si="21"/>
        <v>1.1147883643964466E-2</v>
      </c>
      <c r="M158" s="38">
        <f t="shared" si="22"/>
        <v>1.7543859649122806E-2</v>
      </c>
      <c r="N158" s="38">
        <f t="shared" si="23"/>
        <v>2.2019829375144108E-2</v>
      </c>
      <c r="O158" s="38">
        <f t="shared" si="24"/>
        <v>2.565134292324716E-2</v>
      </c>
      <c r="P158" s="38">
        <f t="shared" si="25"/>
        <v>2.6901754067072618E-2</v>
      </c>
      <c r="Q158" s="38">
        <f t="shared" si="26"/>
        <v>2.691047093324133E-2</v>
      </c>
    </row>
    <row r="159" spans="2:17" x14ac:dyDescent="0.25">
      <c r="B159" s="74" t="s">
        <v>68</v>
      </c>
      <c r="C159" s="207">
        <f>SUM(C150:C158)</f>
        <v>3904</v>
      </c>
      <c r="D159" s="207">
        <f t="shared" ref="D159:I159" si="27">SUM(D150:D158)</f>
        <v>5741</v>
      </c>
      <c r="E159" s="207">
        <f t="shared" si="27"/>
        <v>7296</v>
      </c>
      <c r="F159" s="207">
        <f t="shared" si="27"/>
        <v>8674</v>
      </c>
      <c r="G159" s="207">
        <f t="shared" si="27"/>
        <v>9941</v>
      </c>
      <c r="H159" s="207">
        <f t="shared" si="27"/>
        <v>11003</v>
      </c>
      <c r="I159" s="207">
        <f t="shared" si="27"/>
        <v>11594</v>
      </c>
    </row>
    <row r="160" spans="2:17" x14ac:dyDescent="0.25">
      <c r="B160" s="17" t="s">
        <v>254</v>
      </c>
      <c r="O160" s="103"/>
    </row>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sheetData>
  <mergeCells count="4">
    <mergeCell ref="B60:C60"/>
    <mergeCell ref="K132:Q132"/>
    <mergeCell ref="K147:Q147"/>
    <mergeCell ref="B76:C76"/>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D137"/>
  <sheetViews>
    <sheetView zoomScale="80" zoomScaleNormal="80" workbookViewId="0"/>
  </sheetViews>
  <sheetFormatPr defaultColWidth="0" defaultRowHeight="15.75" zeroHeight="1" x14ac:dyDescent="0.25"/>
  <cols>
    <col min="1" max="1" width="9.140625" style="18" customWidth="1"/>
    <col min="2" max="2" width="22.85546875" style="18" customWidth="1"/>
    <col min="3" max="3" width="40.5703125" style="18" customWidth="1"/>
    <col min="4" max="4" width="29.7109375" style="18" bestFit="1" customWidth="1"/>
    <col min="5" max="5" width="30.28515625" style="18" customWidth="1"/>
    <col min="6" max="6" width="27.5703125" style="18" customWidth="1"/>
    <col min="7" max="7" width="23.85546875" style="18" bestFit="1" customWidth="1"/>
    <col min="8" max="8" width="25.42578125" style="18" customWidth="1"/>
    <col min="9" max="9" width="13.5703125" style="18" bestFit="1" customWidth="1"/>
    <col min="10" max="10" width="7.85546875" style="18" bestFit="1" customWidth="1"/>
    <col min="11" max="11" width="23.42578125" style="18" customWidth="1"/>
    <col min="12" max="12" width="24.42578125" style="18" customWidth="1"/>
    <col min="13" max="13" width="28" style="18" bestFit="1" customWidth="1"/>
    <col min="14" max="14" width="25.5703125" style="18" bestFit="1" customWidth="1"/>
    <col min="15" max="15" width="28" style="18" bestFit="1" customWidth="1"/>
    <col min="16" max="16" width="18.42578125" style="18" bestFit="1" customWidth="1"/>
    <col min="17" max="17" width="20.85546875" style="18" bestFit="1" customWidth="1"/>
    <col min="18" max="18" width="17" style="18" bestFit="1" customWidth="1"/>
    <col min="19" max="20" width="9.140625" style="18" customWidth="1"/>
    <col min="21" max="22" width="9.140625" style="18" hidden="1" customWidth="1"/>
    <col min="23" max="23" width="25.5703125" style="18" hidden="1" customWidth="1"/>
    <col min="24" max="24" width="22.42578125" style="18" hidden="1" customWidth="1"/>
    <col min="25" max="25" width="41.7109375" style="18" hidden="1" customWidth="1"/>
    <col min="26" max="30" width="22.42578125" style="18" hidden="1" customWidth="1"/>
    <col min="31" max="16384" width="9.140625" style="18" hidden="1"/>
  </cols>
  <sheetData>
    <row r="1" spans="1:21" x14ac:dyDescent="0.25">
      <c r="A1" s="89" t="s">
        <v>285</v>
      </c>
    </row>
    <row r="2" spans="1:21" x14ac:dyDescent="0.25">
      <c r="A2" s="16" t="s">
        <v>245</v>
      </c>
    </row>
    <row r="3" spans="1:21" x14ac:dyDescent="0.25">
      <c r="A3" s="17" t="s">
        <v>249</v>
      </c>
    </row>
    <row r="4" spans="1:21" x14ac:dyDescent="0.25">
      <c r="A4" s="17" t="s">
        <v>490</v>
      </c>
    </row>
    <row r="5" spans="1:21" x14ac:dyDescent="0.25"/>
    <row r="6" spans="1:21" x14ac:dyDescent="0.25">
      <c r="P6" s="21"/>
      <c r="Q6" s="21"/>
      <c r="R6" s="21"/>
      <c r="S6" s="21"/>
      <c r="T6" s="21"/>
      <c r="U6" s="21"/>
    </row>
    <row r="7" spans="1:21" x14ac:dyDescent="0.25">
      <c r="B7" s="33" t="s">
        <v>491</v>
      </c>
      <c r="K7" s="84" t="s">
        <v>19</v>
      </c>
      <c r="L7" s="85"/>
      <c r="M7" s="85"/>
      <c r="N7" s="85"/>
      <c r="O7" s="85"/>
      <c r="P7" s="21"/>
      <c r="Q7" s="21"/>
      <c r="R7" s="21"/>
      <c r="S7" s="21"/>
      <c r="T7" s="21"/>
      <c r="U7" s="21"/>
    </row>
    <row r="8" spans="1:21" x14ac:dyDescent="0.25">
      <c r="B8" s="72" t="s">
        <v>78</v>
      </c>
      <c r="C8" s="72" t="s">
        <v>145</v>
      </c>
      <c r="D8" s="72" t="s">
        <v>40</v>
      </c>
      <c r="K8" s="19" t="s">
        <v>20</v>
      </c>
      <c r="L8" s="18" t="s">
        <v>327</v>
      </c>
    </row>
    <row r="9" spans="1:21" x14ac:dyDescent="0.25">
      <c r="B9" s="73" t="s">
        <v>27</v>
      </c>
      <c r="C9" s="201">
        <v>0</v>
      </c>
      <c r="D9" s="38">
        <v>0</v>
      </c>
      <c r="K9" s="19" t="s">
        <v>20</v>
      </c>
      <c r="L9" s="18" t="s">
        <v>149</v>
      </c>
    </row>
    <row r="10" spans="1:21" x14ac:dyDescent="0.25">
      <c r="B10" s="73" t="s">
        <v>7</v>
      </c>
      <c r="C10" s="200">
        <v>2060</v>
      </c>
      <c r="D10" s="38">
        <v>0.24849215922798554</v>
      </c>
      <c r="K10" s="19" t="s">
        <v>20</v>
      </c>
      <c r="L10" s="18" t="s">
        <v>325</v>
      </c>
    </row>
    <row r="11" spans="1:21" x14ac:dyDescent="0.25">
      <c r="B11" s="73" t="s">
        <v>31</v>
      </c>
      <c r="C11" s="201">
        <v>0</v>
      </c>
      <c r="D11" s="38">
        <v>0</v>
      </c>
      <c r="K11" s="19"/>
    </row>
    <row r="12" spans="1:21" x14ac:dyDescent="0.25">
      <c r="B12" s="73" t="s">
        <v>8</v>
      </c>
      <c r="C12" s="199">
        <v>316</v>
      </c>
      <c r="D12" s="38">
        <v>3.8118214716525933E-2</v>
      </c>
      <c r="K12" s="19"/>
    </row>
    <row r="13" spans="1:21" x14ac:dyDescent="0.25">
      <c r="B13" s="73" t="s">
        <v>10</v>
      </c>
      <c r="C13" s="201">
        <v>0</v>
      </c>
      <c r="D13" s="38">
        <v>0</v>
      </c>
      <c r="K13" s="19"/>
    </row>
    <row r="14" spans="1:21" x14ac:dyDescent="0.25">
      <c r="B14" s="73" t="s">
        <v>5</v>
      </c>
      <c r="C14" s="201">
        <v>0</v>
      </c>
      <c r="D14" s="38">
        <v>0</v>
      </c>
      <c r="K14" s="19"/>
    </row>
    <row r="15" spans="1:21" x14ac:dyDescent="0.25">
      <c r="B15" s="73" t="s">
        <v>28</v>
      </c>
      <c r="C15" s="200">
        <v>4299</v>
      </c>
      <c r="D15" s="38">
        <v>0.51857659831121838</v>
      </c>
      <c r="K15" s="19"/>
    </row>
    <row r="16" spans="1:21" x14ac:dyDescent="0.25">
      <c r="B16" s="73" t="s">
        <v>323</v>
      </c>
      <c r="C16" s="200">
        <v>1599</v>
      </c>
      <c r="D16" s="38">
        <v>0.19288299155609168</v>
      </c>
    </row>
    <row r="17" spans="2:30" x14ac:dyDescent="0.25">
      <c r="B17" s="73" t="s">
        <v>36</v>
      </c>
      <c r="C17" s="106">
        <v>1</v>
      </c>
      <c r="D17" s="38">
        <v>1.2062726176115802E-4</v>
      </c>
      <c r="K17" s="20" t="s">
        <v>286</v>
      </c>
      <c r="W17" s="33" t="s">
        <v>319</v>
      </c>
      <c r="Z17" s="128" t="s">
        <v>320</v>
      </c>
    </row>
    <row r="18" spans="2:30" x14ac:dyDescent="0.25">
      <c r="B18" s="73" t="s">
        <v>141</v>
      </c>
      <c r="C18" s="201">
        <v>0</v>
      </c>
      <c r="D18" s="38">
        <v>0</v>
      </c>
      <c r="K18" s="107" t="s">
        <v>242</v>
      </c>
      <c r="L18" s="72">
        <v>1</v>
      </c>
      <c r="M18" s="72">
        <f>L18+1</f>
        <v>2</v>
      </c>
      <c r="N18" s="72">
        <f>M18+1</f>
        <v>3</v>
      </c>
      <c r="O18" s="72">
        <f>N18+1</f>
        <v>4</v>
      </c>
      <c r="P18" s="72">
        <f>O18+1</f>
        <v>5</v>
      </c>
      <c r="Q18" s="72">
        <f>P18+1</f>
        <v>6</v>
      </c>
      <c r="X18" s="107" t="s">
        <v>242</v>
      </c>
      <c r="Y18" s="72">
        <v>1</v>
      </c>
      <c r="Z18" s="72">
        <v>2</v>
      </c>
      <c r="AA18" s="72">
        <v>3</v>
      </c>
      <c r="AB18" s="72">
        <v>4</v>
      </c>
      <c r="AC18" s="72">
        <v>5</v>
      </c>
      <c r="AD18" s="72">
        <v>6</v>
      </c>
    </row>
    <row r="19" spans="2:30" ht="31.5" x14ac:dyDescent="0.25">
      <c r="B19" s="73" t="s">
        <v>6</v>
      </c>
      <c r="C19" s="197">
        <v>15</v>
      </c>
      <c r="D19" s="38">
        <v>1.8094089264173703E-3</v>
      </c>
      <c r="K19" s="112" t="s">
        <v>78</v>
      </c>
      <c r="L19" s="98" t="s">
        <v>213</v>
      </c>
      <c r="M19" s="98" t="s">
        <v>220</v>
      </c>
      <c r="N19" s="98" t="s">
        <v>290</v>
      </c>
      <c r="O19" s="98" t="s">
        <v>221</v>
      </c>
      <c r="P19" s="98" t="s">
        <v>219</v>
      </c>
      <c r="Q19" s="98" t="s">
        <v>178</v>
      </c>
      <c r="W19" s="32" t="s">
        <v>322</v>
      </c>
      <c r="X19" s="112" t="s">
        <v>78</v>
      </c>
      <c r="Y19" s="98" t="s">
        <v>213</v>
      </c>
      <c r="Z19" s="98" t="s">
        <v>220</v>
      </c>
      <c r="AA19" s="98" t="s">
        <v>290</v>
      </c>
      <c r="AB19" s="98" t="s">
        <v>221</v>
      </c>
      <c r="AC19" s="98" t="s">
        <v>219</v>
      </c>
      <c r="AD19" s="98" t="s">
        <v>178</v>
      </c>
    </row>
    <row r="20" spans="2:30" x14ac:dyDescent="0.25">
      <c r="B20" s="73" t="s">
        <v>142</v>
      </c>
      <c r="C20" s="201">
        <v>0</v>
      </c>
      <c r="D20" s="38">
        <v>0</v>
      </c>
      <c r="K20" s="73" t="s">
        <v>5</v>
      </c>
      <c r="L20" s="108">
        <f>CurrentGrids!H11</f>
        <v>0</v>
      </c>
      <c r="M20" s="105">
        <f>E106</f>
        <v>0.34922722899200997</v>
      </c>
      <c r="N20" s="38">
        <f>E69</f>
        <v>0.30196045149792072</v>
      </c>
      <c r="O20" s="38">
        <f>E88</f>
        <v>0.48639944279691438</v>
      </c>
      <c r="P20" s="105">
        <f>C51</f>
        <v>0</v>
      </c>
      <c r="Q20" s="38">
        <f>C127</f>
        <v>0</v>
      </c>
      <c r="W20" s="32" t="s">
        <v>27</v>
      </c>
      <c r="X20" s="73" t="s">
        <v>27</v>
      </c>
      <c r="Y20" s="129">
        <v>0</v>
      </c>
      <c r="Z20" s="129">
        <v>6.8338802188220055E-2</v>
      </c>
      <c r="AA20" s="130">
        <v>0.10045192226088431</v>
      </c>
      <c r="AB20" s="130">
        <v>0.10311324144218595</v>
      </c>
      <c r="AC20" s="129">
        <v>0</v>
      </c>
      <c r="AD20" s="130">
        <v>0</v>
      </c>
    </row>
    <row r="21" spans="2:30" x14ac:dyDescent="0.25">
      <c r="B21" s="73" t="s">
        <v>143</v>
      </c>
      <c r="C21" s="201">
        <v>0</v>
      </c>
      <c r="D21" s="38">
        <v>0</v>
      </c>
      <c r="K21" s="73" t="s">
        <v>27</v>
      </c>
      <c r="L21" s="108">
        <f>CurrentGrids!H6</f>
        <v>0</v>
      </c>
      <c r="M21" s="105">
        <f>E101</f>
        <v>6.8338802188220055E-2</v>
      </c>
      <c r="N21" s="38">
        <f>E64</f>
        <v>0.10045192226088431</v>
      </c>
      <c r="O21" s="38">
        <f>E83</f>
        <v>0.10311324144218595</v>
      </c>
      <c r="P21" s="105">
        <f>C46</f>
        <v>0</v>
      </c>
      <c r="Q21" s="38">
        <f t="shared" ref="Q21:Q28" si="0">C119</f>
        <v>0</v>
      </c>
      <c r="W21" s="32" t="s">
        <v>7</v>
      </c>
      <c r="X21" s="73" t="s">
        <v>76</v>
      </c>
      <c r="Y21" s="129">
        <v>0.30712032447048221</v>
      </c>
      <c r="Z21" s="129">
        <v>1.1915551043423205E-3</v>
      </c>
      <c r="AA21" s="130">
        <v>1.8883136722396673E-3</v>
      </c>
      <c r="AB21" s="130">
        <v>9.9575008595996473E-4</v>
      </c>
      <c r="AC21" s="129">
        <v>0.04</v>
      </c>
      <c r="AD21" s="130">
        <v>0</v>
      </c>
    </row>
    <row r="22" spans="2:30" x14ac:dyDescent="0.25">
      <c r="B22" s="73" t="s">
        <v>11</v>
      </c>
      <c r="C22" s="193">
        <v>8290</v>
      </c>
      <c r="D22" s="86">
        <v>1</v>
      </c>
      <c r="K22" s="73" t="s">
        <v>76</v>
      </c>
      <c r="L22" s="108">
        <f>CurrentGrids!H7</f>
        <v>0.30712032447048221</v>
      </c>
      <c r="M22" s="105">
        <f>E102</f>
        <v>1.1915551043423205E-3</v>
      </c>
      <c r="N22" s="38">
        <f>E65</f>
        <v>1.8883136722396673E-3</v>
      </c>
      <c r="O22" s="38">
        <f>E84</f>
        <v>9.9575008595996473E-4</v>
      </c>
      <c r="P22" s="105">
        <f>C47</f>
        <v>0.04</v>
      </c>
      <c r="Q22" s="38">
        <f t="shared" si="0"/>
        <v>0</v>
      </c>
      <c r="W22" s="32" t="s">
        <v>31</v>
      </c>
      <c r="X22" s="73" t="s">
        <v>31</v>
      </c>
      <c r="Y22" s="129">
        <v>0</v>
      </c>
      <c r="Z22" s="129">
        <v>1.3884828860559228E-2</v>
      </c>
      <c r="AA22" s="130">
        <v>1.3006025630145124E-2</v>
      </c>
      <c r="AB22" s="130">
        <v>9.3111878844078632E-3</v>
      </c>
      <c r="AC22" s="129">
        <v>0.46</v>
      </c>
      <c r="AD22" s="130">
        <v>0.18</v>
      </c>
    </row>
    <row r="23" spans="2:30" x14ac:dyDescent="0.25">
      <c r="B23" s="73" t="s">
        <v>144</v>
      </c>
      <c r="C23" s="77">
        <f>1.22795857988166-1</f>
        <v>0.22795857988165991</v>
      </c>
      <c r="D23" s="109"/>
      <c r="K23" s="73" t="s">
        <v>31</v>
      </c>
      <c r="L23" s="108">
        <f>CurrentGrids!H8</f>
        <v>0</v>
      </c>
      <c r="M23" s="105">
        <f>E103</f>
        <v>1.3884828860559228E-2</v>
      </c>
      <c r="N23" s="38">
        <f>E66</f>
        <v>1.3006025630145124E-2</v>
      </c>
      <c r="O23" s="38">
        <f>E85</f>
        <v>9.3111878844078632E-3</v>
      </c>
      <c r="P23" s="105">
        <f>C48</f>
        <v>0.46</v>
      </c>
      <c r="Q23" s="38">
        <f t="shared" si="0"/>
        <v>0.18</v>
      </c>
      <c r="W23" s="32" t="s">
        <v>8</v>
      </c>
      <c r="X23" s="73" t="s">
        <v>8</v>
      </c>
      <c r="Y23" s="129">
        <v>2.0166741775574582E-2</v>
      </c>
      <c r="Z23" s="129">
        <v>0</v>
      </c>
      <c r="AA23" s="130">
        <v>0</v>
      </c>
      <c r="AB23" s="130">
        <v>0</v>
      </c>
      <c r="AC23" s="129">
        <v>0</v>
      </c>
      <c r="AD23" s="130">
        <v>0</v>
      </c>
    </row>
    <row r="24" spans="2:30" x14ac:dyDescent="0.25">
      <c r="K24" s="73" t="s">
        <v>8</v>
      </c>
      <c r="L24" s="108">
        <f>CurrentGrids!H9</f>
        <v>2.0166741775574582E-2</v>
      </c>
      <c r="M24" s="105">
        <f>E104</f>
        <v>0</v>
      </c>
      <c r="N24" s="38">
        <f>E67</f>
        <v>0</v>
      </c>
      <c r="O24" s="38">
        <f>E86</f>
        <v>0</v>
      </c>
      <c r="P24" s="105">
        <f>C49</f>
        <v>0</v>
      </c>
      <c r="Q24" s="38">
        <f t="shared" si="0"/>
        <v>0</v>
      </c>
      <c r="W24" s="32" t="s">
        <v>28</v>
      </c>
      <c r="X24" s="73" t="s">
        <v>28</v>
      </c>
      <c r="Y24" s="129">
        <v>0.44445696259576384</v>
      </c>
      <c r="Z24" s="129">
        <v>1.0511185107176944E-2</v>
      </c>
      <c r="AA24" s="130">
        <v>3.5411185606382074E-2</v>
      </c>
      <c r="AB24" s="130">
        <v>4.8799503158472816E-3</v>
      </c>
      <c r="AC24" s="129">
        <v>0.3</v>
      </c>
      <c r="AD24" s="130">
        <v>0.3</v>
      </c>
    </row>
    <row r="25" spans="2:30" x14ac:dyDescent="0.25">
      <c r="K25" s="73" t="s">
        <v>28</v>
      </c>
      <c r="L25" s="108">
        <f>CurrentGrids!H12</f>
        <v>0.44445696259576384</v>
      </c>
      <c r="M25" s="105">
        <f>E107</f>
        <v>1.0511185107176944E-2</v>
      </c>
      <c r="N25" s="38">
        <f>E70</f>
        <v>3.5411185606382074E-2</v>
      </c>
      <c r="O25" s="38">
        <f>E89</f>
        <v>4.8799503158472816E-3</v>
      </c>
      <c r="P25" s="105">
        <f>C52</f>
        <v>0.3</v>
      </c>
      <c r="Q25" s="38">
        <f t="shared" si="0"/>
        <v>0.3</v>
      </c>
      <c r="W25" s="32" t="s">
        <v>323</v>
      </c>
      <c r="X25" s="73" t="s">
        <v>323</v>
      </c>
      <c r="Y25" s="129">
        <v>0.22611536728255971</v>
      </c>
      <c r="Z25" s="129">
        <v>0.50573726533771513</v>
      </c>
      <c r="AA25" s="130">
        <v>0.47980140880930156</v>
      </c>
      <c r="AB25" s="130">
        <v>0.34784430638775782</v>
      </c>
      <c r="AC25" s="129">
        <v>0.09</v>
      </c>
      <c r="AD25" s="130">
        <v>0.31</v>
      </c>
    </row>
    <row r="26" spans="2:30" x14ac:dyDescent="0.25">
      <c r="B26" s="33" t="s">
        <v>280</v>
      </c>
      <c r="K26" s="73" t="s">
        <v>323</v>
      </c>
      <c r="L26" s="108">
        <f>CurrentGrids!H13</f>
        <v>0.22611536728255971</v>
      </c>
      <c r="M26" s="105">
        <f>E108</f>
        <v>0.50573726533771513</v>
      </c>
      <c r="N26" s="38">
        <f>E71</f>
        <v>0.47980140880930156</v>
      </c>
      <c r="O26" s="38">
        <f>E90</f>
        <v>0.34784430638775782</v>
      </c>
      <c r="P26" s="105">
        <f>C53</f>
        <v>0.09</v>
      </c>
      <c r="Q26" s="38">
        <f t="shared" si="0"/>
        <v>0.31</v>
      </c>
      <c r="W26" s="32" t="s">
        <v>32</v>
      </c>
      <c r="X26" s="73" t="s">
        <v>32</v>
      </c>
      <c r="Y26" s="129">
        <v>1.1266336187471834E-4</v>
      </c>
      <c r="Z26" s="129">
        <v>0</v>
      </c>
      <c r="AA26" s="130">
        <v>0</v>
      </c>
      <c r="AB26" s="130">
        <v>0</v>
      </c>
      <c r="AC26" s="129">
        <v>0.11</v>
      </c>
      <c r="AD26" s="130">
        <v>0.11</v>
      </c>
    </row>
    <row r="27" spans="2:30" x14ac:dyDescent="0.25">
      <c r="B27" s="72" t="s">
        <v>78</v>
      </c>
      <c r="C27" s="72" t="s">
        <v>40</v>
      </c>
      <c r="K27" s="73" t="s">
        <v>32</v>
      </c>
      <c r="L27" s="108">
        <f>CurrentGrids!H14</f>
        <v>1.1266336187471834E-4</v>
      </c>
      <c r="M27" s="105">
        <f>E109</f>
        <v>0</v>
      </c>
      <c r="N27" s="38">
        <f>E72</f>
        <v>0</v>
      </c>
      <c r="O27" s="38">
        <f>E91</f>
        <v>0</v>
      </c>
      <c r="P27" s="105">
        <f>C54</f>
        <v>0.11</v>
      </c>
      <c r="Q27" s="38">
        <f t="shared" si="0"/>
        <v>0.11</v>
      </c>
      <c r="W27" s="32" t="s">
        <v>6</v>
      </c>
      <c r="X27" s="73" t="s">
        <v>6</v>
      </c>
      <c r="Y27" s="129">
        <v>2.0279405137449301E-3</v>
      </c>
      <c r="Z27" s="129">
        <v>5.1109134409976234E-2</v>
      </c>
      <c r="AA27" s="130">
        <v>6.7480692523126537E-2</v>
      </c>
      <c r="AB27" s="130">
        <v>4.7456121086926678E-2</v>
      </c>
      <c r="AC27" s="129">
        <v>0</v>
      </c>
      <c r="AD27" s="130">
        <v>0.1</v>
      </c>
    </row>
    <row r="28" spans="2:30" x14ac:dyDescent="0.25">
      <c r="B28" s="73" t="s">
        <v>27</v>
      </c>
      <c r="C28" s="38"/>
      <c r="K28" s="73" t="s">
        <v>6</v>
      </c>
      <c r="L28" s="108">
        <f>CurrentGrids!H16</f>
        <v>2.0279405137449301E-3</v>
      </c>
      <c r="M28" s="105">
        <f>E111</f>
        <v>5.1109134409976234E-2</v>
      </c>
      <c r="N28" s="38">
        <f>E74</f>
        <v>6.7480692523126537E-2</v>
      </c>
      <c r="O28" s="38">
        <f>E93</f>
        <v>4.7456121086926678E-2</v>
      </c>
      <c r="P28" s="105">
        <f>C56</f>
        <v>0</v>
      </c>
      <c r="Q28" s="38">
        <f t="shared" si="0"/>
        <v>0.1</v>
      </c>
      <c r="W28" s="32" t="s">
        <v>5</v>
      </c>
      <c r="X28" s="73" t="s">
        <v>5</v>
      </c>
      <c r="Y28" s="129">
        <v>0</v>
      </c>
      <c r="Z28" s="129">
        <v>0.34922722899200997</v>
      </c>
      <c r="AA28" s="130">
        <v>0.30196045149792072</v>
      </c>
      <c r="AB28" s="130">
        <v>0.48639944279691438</v>
      </c>
      <c r="AC28" s="129">
        <v>0</v>
      </c>
      <c r="AD28" s="130">
        <v>0</v>
      </c>
    </row>
    <row r="29" spans="2:30" x14ac:dyDescent="0.25">
      <c r="B29" s="73" t="s">
        <v>7</v>
      </c>
      <c r="C29" s="38">
        <v>7.0000000000000007E-2</v>
      </c>
      <c r="K29" s="74" t="s">
        <v>68</v>
      </c>
      <c r="L29" s="105">
        <f>SUM(L20:L28)</f>
        <v>1.0000000000000002</v>
      </c>
      <c r="M29" s="105">
        <f t="shared" ref="M29:Q29" si="1">SUM(M20:M28)</f>
        <v>0.99999999999999989</v>
      </c>
      <c r="N29" s="105">
        <f t="shared" si="1"/>
        <v>0.99999999999999989</v>
      </c>
      <c r="O29" s="105">
        <f t="shared" si="1"/>
        <v>1</v>
      </c>
      <c r="P29" s="105">
        <f t="shared" si="1"/>
        <v>1</v>
      </c>
      <c r="Q29" s="105">
        <f t="shared" si="1"/>
        <v>1</v>
      </c>
      <c r="W29" s="109"/>
      <c r="X29" s="74" t="s">
        <v>68</v>
      </c>
      <c r="Y29" s="129">
        <v>1.0000000000000002</v>
      </c>
      <c r="Z29" s="129">
        <v>0.99999999999999989</v>
      </c>
      <c r="AA29" s="129">
        <v>1</v>
      </c>
      <c r="AB29" s="129">
        <v>0.99999999999999989</v>
      </c>
      <c r="AC29" s="129">
        <v>1</v>
      </c>
      <c r="AD29" s="129">
        <v>1</v>
      </c>
    </row>
    <row r="30" spans="2:30" x14ac:dyDescent="0.25">
      <c r="B30" s="73" t="s">
        <v>31</v>
      </c>
      <c r="C30" s="38">
        <v>0.49</v>
      </c>
      <c r="K30" s="73" t="s">
        <v>326</v>
      </c>
      <c r="L30" s="121">
        <f>CurrentGrids!$G$30</f>
        <v>0.18422232182877632</v>
      </c>
      <c r="M30" s="121">
        <f>CurrentGrids!$G$30</f>
        <v>0.18422232182877632</v>
      </c>
      <c r="N30" s="121">
        <f>CurrentGrids!$G$30</f>
        <v>0.18422232182877632</v>
      </c>
      <c r="O30" s="121">
        <f>CurrentGrids!$G$30</f>
        <v>0.18422232182877632</v>
      </c>
      <c r="P30" s="121">
        <f>CurrentGrids!$G$30</f>
        <v>0.18422232182877632</v>
      </c>
      <c r="Q30" s="77">
        <f>0.75*P30</f>
        <v>0.13816674137158225</v>
      </c>
      <c r="W30" s="32" t="s">
        <v>32</v>
      </c>
      <c r="X30" s="73" t="s">
        <v>326</v>
      </c>
      <c r="Y30" s="121">
        <v>0.18422232182877632</v>
      </c>
      <c r="Z30" s="121">
        <v>0.18422232182877632</v>
      </c>
      <c r="AA30" s="121">
        <v>0.18422232182877632</v>
      </c>
      <c r="AB30" s="121">
        <v>0.18422232182877632</v>
      </c>
      <c r="AC30" s="121">
        <v>0.18422232182877632</v>
      </c>
      <c r="AD30" s="77">
        <v>0.13816674137158225</v>
      </c>
    </row>
    <row r="31" spans="2:30" x14ac:dyDescent="0.25">
      <c r="B31" s="73" t="s">
        <v>8</v>
      </c>
      <c r="C31" s="38"/>
      <c r="E31" s="36" t="s">
        <v>154</v>
      </c>
      <c r="J31" s="21"/>
    </row>
    <row r="32" spans="2:30" x14ac:dyDescent="0.25">
      <c r="B32" s="73" t="s">
        <v>10</v>
      </c>
      <c r="C32" s="38"/>
    </row>
    <row r="33" spans="1:27" x14ac:dyDescent="0.25">
      <c r="B33" s="73" t="s">
        <v>5</v>
      </c>
      <c r="C33" s="38"/>
      <c r="X33" s="32" t="s">
        <v>226</v>
      </c>
      <c r="Y33" s="32" t="s">
        <v>230</v>
      </c>
    </row>
    <row r="34" spans="1:27" x14ac:dyDescent="0.25">
      <c r="B34" s="73" t="s">
        <v>28</v>
      </c>
      <c r="C34" s="38">
        <v>0.33</v>
      </c>
    </row>
    <row r="35" spans="1:27" x14ac:dyDescent="0.25">
      <c r="B35" s="73" t="s">
        <v>323</v>
      </c>
      <c r="C35" s="38">
        <v>0.11</v>
      </c>
      <c r="X35" s="32" t="str">
        <f>CONCATENATE($Y$33,"_",W20)</f>
        <v>ROK_LowDemand_Coal</v>
      </c>
      <c r="Y35" s="32" t="str">
        <f>CONCATENATE("if(grid_select=", $Z$18,";",Z20,";0)")</f>
        <v>if(grid_select=2;0.0683388021882201;0)</v>
      </c>
      <c r="Z35" s="32">
        <v>0</v>
      </c>
      <c r="AA35" s="32" t="str">
        <f>CONCATENATE("Portion of ", $Y$33, " grid mix generated using ", W20, " fuel.")</f>
        <v>Portion of ROK_LowDemand grid mix generated using Coal fuel.</v>
      </c>
    </row>
    <row r="36" spans="1:27" x14ac:dyDescent="0.25">
      <c r="B36" s="73" t="s">
        <v>36</v>
      </c>
      <c r="C36" s="38"/>
      <c r="X36" s="32" t="str">
        <f t="shared" ref="X36:X43" si="2">CONCATENATE($Y$33,"_",W21)</f>
        <v>ROK_LowDemand_Oil</v>
      </c>
      <c r="Y36" s="32" t="str">
        <f t="shared" ref="Y36:Y44" si="3">CONCATENATE("if(grid_select=", $Z$18,";",Z21,";0)")</f>
        <v>if(grid_select=2;0.00119155510434232;0)</v>
      </c>
      <c r="Z36" s="32">
        <v>0</v>
      </c>
      <c r="AA36" s="32" t="str">
        <f t="shared" ref="AA36:AA43" si="4">CONCATENATE("Portion of ", $Y$33, " grid mix generated using ", W21, " fuel.")</f>
        <v>Portion of ROK_LowDemand grid mix generated using Oil fuel.</v>
      </c>
    </row>
    <row r="37" spans="1:27" x14ac:dyDescent="0.25">
      <c r="B37" s="73" t="s">
        <v>141</v>
      </c>
      <c r="C37" s="38"/>
      <c r="X37" s="32" t="str">
        <f t="shared" si="2"/>
        <v>ROK_LowDemand_Gas</v>
      </c>
      <c r="Y37" s="32" t="str">
        <f t="shared" si="3"/>
        <v>if(grid_select=2;0.0138848288605592;0)</v>
      </c>
      <c r="Z37" s="32">
        <v>0</v>
      </c>
      <c r="AA37" s="32" t="str">
        <f t="shared" si="4"/>
        <v>Portion of ROK_LowDemand grid mix generated using Gas fuel.</v>
      </c>
    </row>
    <row r="38" spans="1:27" x14ac:dyDescent="0.25">
      <c r="B38" s="73" t="s">
        <v>6</v>
      </c>
      <c r="C38" s="38"/>
      <c r="X38" s="32" t="str">
        <f t="shared" si="2"/>
        <v>ROK_LowDemand_Biomass</v>
      </c>
      <c r="Y38" s="32" t="str">
        <f t="shared" si="3"/>
        <v>if(grid_select=2;0;0)</v>
      </c>
      <c r="Z38" s="32">
        <v>0</v>
      </c>
      <c r="AA38" s="32" t="str">
        <f t="shared" si="4"/>
        <v>Portion of ROK_LowDemand grid mix generated using Biomass fuel.</v>
      </c>
    </row>
    <row r="39" spans="1:27" x14ac:dyDescent="0.25">
      <c r="B39" s="73" t="s">
        <v>142</v>
      </c>
      <c r="C39" s="38"/>
      <c r="X39" s="32" t="str">
        <f t="shared" si="2"/>
        <v>ROK_LowDemand_Hydro</v>
      </c>
      <c r="Y39" s="32" t="str">
        <f t="shared" si="3"/>
        <v>if(grid_select=2;0.0105111851071769;0)</v>
      </c>
      <c r="Z39" s="32">
        <v>0</v>
      </c>
      <c r="AA39" s="32" t="str">
        <f t="shared" si="4"/>
        <v>Portion of ROK_LowDemand grid mix generated using Hydro fuel.</v>
      </c>
    </row>
    <row r="40" spans="1:27" x14ac:dyDescent="0.25">
      <c r="B40" s="73" t="s">
        <v>143</v>
      </c>
      <c r="C40" s="38"/>
      <c r="X40" s="32" t="str">
        <f t="shared" si="2"/>
        <v>ROK_LowDemand_Geo</v>
      </c>
      <c r="Y40" s="32" t="str">
        <f t="shared" si="3"/>
        <v>if(grid_select=2;0.505737265337715;0)</v>
      </c>
      <c r="Z40" s="32">
        <v>0</v>
      </c>
      <c r="AA40" s="32" t="str">
        <f t="shared" si="4"/>
        <v>Portion of ROK_LowDemand grid mix generated using Geo fuel.</v>
      </c>
    </row>
    <row r="41" spans="1:27" x14ac:dyDescent="0.25">
      <c r="A41" s="21"/>
      <c r="B41" s="73" t="s">
        <v>80</v>
      </c>
      <c r="C41" s="77">
        <f>SUM(C28:C40)</f>
        <v>1.0000000000000002</v>
      </c>
      <c r="X41" s="32" t="str">
        <f t="shared" si="2"/>
        <v>ROK_LowDemand_Solar</v>
      </c>
      <c r="Y41" s="32" t="str">
        <f t="shared" si="3"/>
        <v>if(grid_select=2;0;0)</v>
      </c>
      <c r="Z41" s="32">
        <v>0</v>
      </c>
      <c r="AA41" s="32" t="str">
        <f t="shared" si="4"/>
        <v>Portion of ROK_LowDemand grid mix generated using Solar fuel.</v>
      </c>
    </row>
    <row r="42" spans="1:27" x14ac:dyDescent="0.25">
      <c r="B42" s="95" t="s">
        <v>284</v>
      </c>
      <c r="X42" s="32" t="str">
        <f t="shared" si="2"/>
        <v>ROK_LowDemand_Wind</v>
      </c>
      <c r="Y42" s="32" t="str">
        <f t="shared" si="3"/>
        <v>if(grid_select=2;0.0511091344099762;0)</v>
      </c>
      <c r="Z42" s="32">
        <v>0</v>
      </c>
      <c r="AA42" s="32" t="str">
        <f t="shared" si="4"/>
        <v>Portion of ROK_LowDemand grid mix generated using Wind fuel.</v>
      </c>
    </row>
    <row r="43" spans="1:27" x14ac:dyDescent="0.25">
      <c r="X43" s="32" t="str">
        <f t="shared" si="2"/>
        <v>ROK_LowDemand_Nuclear</v>
      </c>
      <c r="Y43" s="32" t="str">
        <f t="shared" si="3"/>
        <v>if(grid_select=2;0.34922722899201;0)</v>
      </c>
      <c r="Z43" s="32">
        <v>0</v>
      </c>
      <c r="AA43" s="32" t="str">
        <f t="shared" si="4"/>
        <v>Portion of ROK_LowDemand grid mix generated using Nuclear fuel.</v>
      </c>
    </row>
    <row r="44" spans="1:27" x14ac:dyDescent="0.25">
      <c r="B44" s="33" t="s">
        <v>281</v>
      </c>
      <c r="X44" s="32" t="str">
        <f>CONCATENATE($Y$33,"_",W30)</f>
        <v>ROK_LowDemand_Solar</v>
      </c>
      <c r="Y44" s="32" t="str">
        <f t="shared" si="3"/>
        <v>if(grid_select=2;1;0)</v>
      </c>
      <c r="Z44" s="32">
        <v>0</v>
      </c>
      <c r="AA44" s="32" t="str">
        <f>CONCATENATE("Grid Solar for the ", $Y$33, " scenario")</f>
        <v>Grid Solar for the ROK_LowDemand scenario</v>
      </c>
    </row>
    <row r="45" spans="1:27" x14ac:dyDescent="0.25">
      <c r="B45" s="72" t="s">
        <v>78</v>
      </c>
      <c r="C45" s="72" t="s">
        <v>40</v>
      </c>
    </row>
    <row r="46" spans="1:27" x14ac:dyDescent="0.25">
      <c r="B46" s="73" t="s">
        <v>27</v>
      </c>
      <c r="C46" s="38"/>
    </row>
    <row r="47" spans="1:27" x14ac:dyDescent="0.25">
      <c r="B47" s="73" t="s">
        <v>7</v>
      </c>
      <c r="C47" s="38">
        <v>0.04</v>
      </c>
      <c r="X47" s="18" t="s">
        <v>328</v>
      </c>
    </row>
    <row r="48" spans="1:27" x14ac:dyDescent="0.25">
      <c r="B48" s="73" t="s">
        <v>31</v>
      </c>
      <c r="C48" s="38">
        <v>0.46</v>
      </c>
    </row>
    <row r="49" spans="1:8" x14ac:dyDescent="0.25">
      <c r="B49" s="73" t="s">
        <v>8</v>
      </c>
      <c r="C49" s="38"/>
    </row>
    <row r="50" spans="1:8" x14ac:dyDescent="0.25">
      <c r="B50" s="73" t="s">
        <v>10</v>
      </c>
      <c r="C50" s="38"/>
    </row>
    <row r="51" spans="1:8" x14ac:dyDescent="0.25">
      <c r="B51" s="73" t="s">
        <v>5</v>
      </c>
      <c r="C51" s="38"/>
    </row>
    <row r="52" spans="1:8" x14ac:dyDescent="0.25">
      <c r="B52" s="73" t="s">
        <v>28</v>
      </c>
      <c r="C52" s="38">
        <v>0.3</v>
      </c>
    </row>
    <row r="53" spans="1:8" x14ac:dyDescent="0.25">
      <c r="B53" s="73" t="s">
        <v>323</v>
      </c>
      <c r="C53" s="38">
        <v>0.09</v>
      </c>
    </row>
    <row r="54" spans="1:8" x14ac:dyDescent="0.25">
      <c r="B54" s="73" t="s">
        <v>36</v>
      </c>
      <c r="C54" s="38">
        <v>0.11</v>
      </c>
    </row>
    <row r="55" spans="1:8" x14ac:dyDescent="0.25">
      <c r="B55" s="73" t="s">
        <v>141</v>
      </c>
      <c r="C55" s="38"/>
    </row>
    <row r="56" spans="1:8" x14ac:dyDescent="0.25">
      <c r="B56" s="73" t="s">
        <v>6</v>
      </c>
      <c r="C56" s="38"/>
    </row>
    <row r="57" spans="1:8" x14ac:dyDescent="0.25">
      <c r="B57" s="73" t="s">
        <v>142</v>
      </c>
      <c r="C57" s="38"/>
    </row>
    <row r="58" spans="1:8" x14ac:dyDescent="0.25">
      <c r="B58" s="73" t="s">
        <v>143</v>
      </c>
      <c r="C58" s="38"/>
    </row>
    <row r="59" spans="1:8" x14ac:dyDescent="0.25">
      <c r="A59" s="21"/>
      <c r="B59" s="73" t="s">
        <v>80</v>
      </c>
      <c r="C59" s="77">
        <f>SUM(C46:C58)</f>
        <v>1</v>
      </c>
    </row>
    <row r="60" spans="1:8" x14ac:dyDescent="0.25">
      <c r="B60" s="95" t="s">
        <v>284</v>
      </c>
    </row>
    <row r="61" spans="1:8" x14ac:dyDescent="0.25"/>
    <row r="62" spans="1:8" x14ac:dyDescent="0.25">
      <c r="B62" s="33" t="s">
        <v>282</v>
      </c>
    </row>
    <row r="63" spans="1:8" x14ac:dyDescent="0.25">
      <c r="B63" s="72" t="s">
        <v>78</v>
      </c>
      <c r="C63" s="72" t="s">
        <v>288</v>
      </c>
      <c r="D63" s="72" t="s">
        <v>40</v>
      </c>
      <c r="E63" s="72" t="s">
        <v>151</v>
      </c>
      <c r="F63" s="72" t="s">
        <v>272</v>
      </c>
      <c r="G63" s="72" t="s">
        <v>291</v>
      </c>
      <c r="H63" s="72" t="s">
        <v>87</v>
      </c>
    </row>
    <row r="64" spans="1:8" x14ac:dyDescent="0.25">
      <c r="B64" s="73" t="s">
        <v>27</v>
      </c>
      <c r="C64" s="220">
        <v>9469</v>
      </c>
      <c r="D64" s="38">
        <f>C64/$C$77</f>
        <v>8.9521900674085067E-2</v>
      </c>
      <c r="E64" s="94">
        <f>((1-$D$77)/$D$77*D64)+D64</f>
        <v>0.10045192226088431</v>
      </c>
      <c r="F64" s="38"/>
      <c r="G64" s="220">
        <f>2720/1000*8760</f>
        <v>23827.200000000001</v>
      </c>
      <c r="H64" s="198">
        <f>C64/G64</f>
        <v>0.39740296803652969</v>
      </c>
    </row>
    <row r="65" spans="2:8" x14ac:dyDescent="0.25">
      <c r="B65" s="73" t="s">
        <v>7</v>
      </c>
      <c r="C65" s="221">
        <v>178</v>
      </c>
      <c r="D65" s="38">
        <f t="shared" ref="D65:D76" si="5">C65/$C$77</f>
        <v>1.6828491202858953E-3</v>
      </c>
      <c r="E65" s="94">
        <f t="shared" ref="E65:E75" si="6">((1-$D$77)/$D$77*D65)+D65</f>
        <v>1.8883136722396673E-3</v>
      </c>
      <c r="F65" s="38"/>
      <c r="G65" s="220">
        <f>1955/1000*8760</f>
        <v>17125.8</v>
      </c>
      <c r="H65" s="198">
        <f t="shared" ref="H65:H76" si="7">C65/G65</f>
        <v>1.0393675039998131E-2</v>
      </c>
    </row>
    <row r="66" spans="2:8" x14ac:dyDescent="0.25">
      <c r="B66" s="73" t="s">
        <v>31</v>
      </c>
      <c r="C66" s="220">
        <v>1226</v>
      </c>
      <c r="D66" s="38">
        <f t="shared" si="5"/>
        <v>1.1590859671182627E-2</v>
      </c>
      <c r="E66" s="94">
        <f t="shared" si="6"/>
        <v>1.3006025630145124E-2</v>
      </c>
      <c r="F66" s="38"/>
      <c r="G66" s="220">
        <f>2340/1000*8760</f>
        <v>20498.399999999998</v>
      </c>
      <c r="H66" s="198">
        <f t="shared" si="7"/>
        <v>5.9809546110915983E-2</v>
      </c>
    </row>
    <row r="67" spans="2:8" x14ac:dyDescent="0.25">
      <c r="B67" s="73" t="s">
        <v>8</v>
      </c>
      <c r="C67" s="222"/>
      <c r="D67" s="38">
        <f t="shared" si="5"/>
        <v>0</v>
      </c>
      <c r="E67" s="94">
        <f t="shared" si="6"/>
        <v>0</v>
      </c>
      <c r="F67" s="38"/>
      <c r="G67" s="222">
        <v>0</v>
      </c>
      <c r="H67" s="201">
        <v>0</v>
      </c>
    </row>
    <row r="68" spans="2:8" x14ac:dyDescent="0.25">
      <c r="B68" s="73" t="s">
        <v>10</v>
      </c>
      <c r="C68" s="222"/>
      <c r="D68" s="38">
        <f t="shared" si="5"/>
        <v>0</v>
      </c>
      <c r="E68" s="94">
        <f t="shared" si="6"/>
        <v>0</v>
      </c>
      <c r="F68" s="38"/>
      <c r="G68" s="222">
        <v>0</v>
      </c>
      <c r="H68" s="201">
        <v>0</v>
      </c>
    </row>
    <row r="69" spans="2:8" x14ac:dyDescent="0.25">
      <c r="B69" s="73" t="s">
        <v>5</v>
      </c>
      <c r="C69" s="220">
        <v>28464</v>
      </c>
      <c r="D69" s="38">
        <f t="shared" si="5"/>
        <v>0.26910459190908831</v>
      </c>
      <c r="E69" s="94">
        <f t="shared" si="6"/>
        <v>0.30196045149792072</v>
      </c>
      <c r="F69" s="38"/>
      <c r="G69" s="220">
        <f>4000/1000*8760</f>
        <v>35040</v>
      </c>
      <c r="H69" s="198">
        <f t="shared" si="7"/>
        <v>0.81232876712328772</v>
      </c>
    </row>
    <row r="70" spans="2:8" x14ac:dyDescent="0.25">
      <c r="B70" s="73" t="s">
        <v>28</v>
      </c>
      <c r="C70" s="220">
        <v>3338</v>
      </c>
      <c r="D70" s="38">
        <f t="shared" si="5"/>
        <v>3.1558148109631E-2</v>
      </c>
      <c r="E70" s="94">
        <f t="shared" si="6"/>
        <v>3.5411185606382074E-2</v>
      </c>
      <c r="F70" s="38"/>
      <c r="G70" s="220">
        <f>1039/1000*8760</f>
        <v>9101.64</v>
      </c>
      <c r="H70" s="198">
        <f t="shared" si="7"/>
        <v>0.36674709173291847</v>
      </c>
    </row>
    <row r="71" spans="2:8" x14ac:dyDescent="0.25">
      <c r="B71" s="73" t="s">
        <v>323</v>
      </c>
      <c r="C71" s="220">
        <v>45228</v>
      </c>
      <c r="D71" s="38">
        <f t="shared" si="5"/>
        <v>0.42759494388927233</v>
      </c>
      <c r="E71" s="94">
        <f t="shared" si="6"/>
        <v>0.47980140880930156</v>
      </c>
      <c r="F71" s="38"/>
      <c r="G71" s="220">
        <f>5530/1000*8760</f>
        <v>48442.8</v>
      </c>
      <c r="H71" s="198">
        <f t="shared" si="7"/>
        <v>0.93363719685897584</v>
      </c>
    </row>
    <row r="72" spans="2:8" x14ac:dyDescent="0.25">
      <c r="B72" s="73" t="s">
        <v>36</v>
      </c>
      <c r="C72" s="222"/>
      <c r="D72" s="38">
        <f t="shared" si="5"/>
        <v>0</v>
      </c>
      <c r="E72" s="94">
        <f t="shared" si="6"/>
        <v>0</v>
      </c>
      <c r="F72" s="38"/>
      <c r="G72" s="222">
        <v>0</v>
      </c>
      <c r="H72" s="201">
        <v>0</v>
      </c>
    </row>
    <row r="73" spans="2:8" x14ac:dyDescent="0.25">
      <c r="B73" s="73" t="s">
        <v>141</v>
      </c>
      <c r="C73" s="222"/>
      <c r="D73" s="38">
        <f t="shared" si="5"/>
        <v>0</v>
      </c>
      <c r="E73" s="94">
        <f t="shared" si="6"/>
        <v>0</v>
      </c>
      <c r="F73" s="38"/>
      <c r="G73" s="222">
        <v>0</v>
      </c>
      <c r="H73" s="201">
        <v>0</v>
      </c>
    </row>
    <row r="74" spans="2:8" x14ac:dyDescent="0.25">
      <c r="B74" s="73" t="s">
        <v>6</v>
      </c>
      <c r="C74" s="220">
        <v>6361</v>
      </c>
      <c r="D74" s="38">
        <f t="shared" si="5"/>
        <v>6.0138220528868427E-2</v>
      </c>
      <c r="E74" s="94">
        <f t="shared" si="6"/>
        <v>6.7480692523126537E-2</v>
      </c>
      <c r="F74" s="38"/>
      <c r="G74" s="220">
        <f>2036/1000*8760</f>
        <v>17835.36</v>
      </c>
      <c r="H74" s="198">
        <f t="shared" si="7"/>
        <v>0.35665105722564611</v>
      </c>
    </row>
    <row r="75" spans="2:8" x14ac:dyDescent="0.25">
      <c r="B75" s="73" t="s">
        <v>142</v>
      </c>
      <c r="C75" s="222"/>
      <c r="D75" s="38">
        <f t="shared" si="5"/>
        <v>0</v>
      </c>
      <c r="E75" s="94">
        <f t="shared" si="6"/>
        <v>0</v>
      </c>
      <c r="F75" s="38"/>
      <c r="G75" s="222">
        <v>0</v>
      </c>
      <c r="H75" s="201">
        <v>0</v>
      </c>
    </row>
    <row r="76" spans="2:8" x14ac:dyDescent="0.25">
      <c r="B76" s="73" t="s">
        <v>150</v>
      </c>
      <c r="C76" s="220">
        <v>11509</v>
      </c>
      <c r="D76" s="38">
        <f t="shared" si="5"/>
        <v>0.10880848609758634</v>
      </c>
      <c r="E76" s="32"/>
      <c r="F76" s="111" t="s">
        <v>287</v>
      </c>
      <c r="G76" s="220">
        <f>2000/1000*8760</f>
        <v>17520</v>
      </c>
      <c r="H76" s="198">
        <f t="shared" si="7"/>
        <v>0.65690639269406392</v>
      </c>
    </row>
    <row r="77" spans="2:8" x14ac:dyDescent="0.25">
      <c r="B77" s="73" t="s">
        <v>80</v>
      </c>
      <c r="C77" s="207">
        <f>SUM(C64:C76)</f>
        <v>105773</v>
      </c>
      <c r="D77" s="77">
        <f>SUM(D64:D75)</f>
        <v>0.89119151390241369</v>
      </c>
      <c r="E77" s="86">
        <f>SUM(E64:E75)</f>
        <v>0.99999999999999989</v>
      </c>
      <c r="F77" s="110"/>
      <c r="G77" s="220">
        <f>SUM(G64:G76)</f>
        <v>189391.2</v>
      </c>
      <c r="H77" s="114"/>
    </row>
    <row r="78" spans="2:8" x14ac:dyDescent="0.25">
      <c r="B78" s="17" t="s">
        <v>289</v>
      </c>
    </row>
    <row r="79" spans="2:8" x14ac:dyDescent="0.25"/>
    <row r="80" spans="2:8" x14ac:dyDescent="0.25"/>
    <row r="81" spans="2:6" x14ac:dyDescent="0.25">
      <c r="B81" s="33" t="s">
        <v>283</v>
      </c>
    </row>
    <row r="82" spans="2:6" x14ac:dyDescent="0.25">
      <c r="B82" s="72" t="s">
        <v>78</v>
      </c>
      <c r="C82" s="72" t="s">
        <v>293</v>
      </c>
      <c r="D82" s="72" t="s">
        <v>294</v>
      </c>
      <c r="E82" s="72" t="s">
        <v>151</v>
      </c>
      <c r="F82" s="72" t="s">
        <v>272</v>
      </c>
    </row>
    <row r="83" spans="2:6" x14ac:dyDescent="0.25">
      <c r="B83" s="73" t="s">
        <v>27</v>
      </c>
      <c r="C83" s="220">
        <v>3900</v>
      </c>
      <c r="D83" s="220">
        <f>C83/1000*($H64*8760)</f>
        <v>13576.875</v>
      </c>
      <c r="E83" s="94">
        <f>D83/$D$96+(($D$95/$D$96)/(SUM($D$83:$D$94)/$D$96)*(D83/$D$96))</f>
        <v>0.10311324144218595</v>
      </c>
      <c r="F83" s="38"/>
    </row>
    <row r="84" spans="2:6" x14ac:dyDescent="0.25">
      <c r="B84" s="73" t="s">
        <v>7</v>
      </c>
      <c r="C84" s="223">
        <v>1440</v>
      </c>
      <c r="D84" s="224">
        <f t="shared" ref="D84:D95" si="8">C84/1000*($H65*8760)</f>
        <v>131.10997442455241</v>
      </c>
      <c r="E84" s="94">
        <f t="shared" ref="E84:E94" si="9">D84/$D$96+(($D$95/$D$96)/(SUM($D$83:$D$94)/$D$96)*(D84/$D$96))</f>
        <v>9.9575008595996473E-4</v>
      </c>
      <c r="F84" s="38"/>
    </row>
    <row r="85" spans="2:6" x14ac:dyDescent="0.25">
      <c r="B85" s="73" t="s">
        <v>31</v>
      </c>
      <c r="C85" s="220">
        <v>2340</v>
      </c>
      <c r="D85" s="220">
        <f t="shared" si="8"/>
        <v>1226.0000000000002</v>
      </c>
      <c r="E85" s="94">
        <f t="shared" si="9"/>
        <v>9.3111878844078632E-3</v>
      </c>
      <c r="F85" s="38"/>
    </row>
    <row r="86" spans="2:6" x14ac:dyDescent="0.25">
      <c r="B86" s="73" t="s">
        <v>8</v>
      </c>
      <c r="C86" s="222"/>
      <c r="D86" s="222">
        <f t="shared" si="8"/>
        <v>0</v>
      </c>
      <c r="E86" s="94">
        <f t="shared" si="9"/>
        <v>0</v>
      </c>
      <c r="F86" s="38"/>
    </row>
    <row r="87" spans="2:6" x14ac:dyDescent="0.25">
      <c r="B87" s="73" t="s">
        <v>10</v>
      </c>
      <c r="C87" s="222"/>
      <c r="D87" s="222">
        <f t="shared" si="8"/>
        <v>0</v>
      </c>
      <c r="E87" s="94">
        <f t="shared" si="9"/>
        <v>0</v>
      </c>
      <c r="F87" s="38"/>
    </row>
    <row r="88" spans="2:6" x14ac:dyDescent="0.25">
      <c r="B88" s="73" t="s">
        <v>5</v>
      </c>
      <c r="C88" s="220">
        <v>9000</v>
      </c>
      <c r="D88" s="220">
        <f t="shared" si="8"/>
        <v>64044</v>
      </c>
      <c r="E88" s="94">
        <f t="shared" si="9"/>
        <v>0.48639944279691438</v>
      </c>
      <c r="F88" s="38"/>
    </row>
    <row r="89" spans="2:6" x14ac:dyDescent="0.25">
      <c r="B89" s="73" t="s">
        <v>28</v>
      </c>
      <c r="C89" s="224">
        <v>200</v>
      </c>
      <c r="D89" s="224">
        <f t="shared" si="8"/>
        <v>642.54090471607321</v>
      </c>
      <c r="E89" s="94">
        <f t="shared" si="9"/>
        <v>4.8799503158472816E-3</v>
      </c>
      <c r="F89" s="38"/>
    </row>
    <row r="90" spans="2:6" x14ac:dyDescent="0.25">
      <c r="B90" s="73" t="s">
        <v>323</v>
      </c>
      <c r="C90" s="220">
        <v>5600</v>
      </c>
      <c r="D90" s="220">
        <f t="shared" si="8"/>
        <v>45800.506329113916</v>
      </c>
      <c r="E90" s="94">
        <f t="shared" si="9"/>
        <v>0.34784430638775782</v>
      </c>
      <c r="F90" s="38"/>
    </row>
    <row r="91" spans="2:6" x14ac:dyDescent="0.25">
      <c r="B91" s="73" t="s">
        <v>36</v>
      </c>
      <c r="C91" s="222"/>
      <c r="D91" s="222">
        <f t="shared" si="8"/>
        <v>0</v>
      </c>
      <c r="E91" s="94">
        <f t="shared" si="9"/>
        <v>0</v>
      </c>
      <c r="F91" s="38"/>
    </row>
    <row r="92" spans="2:6" x14ac:dyDescent="0.25">
      <c r="B92" s="73" t="s">
        <v>141</v>
      </c>
      <c r="C92" s="222"/>
      <c r="D92" s="222">
        <f t="shared" si="8"/>
        <v>0</v>
      </c>
      <c r="E92" s="94">
        <f t="shared" si="9"/>
        <v>0</v>
      </c>
      <c r="F92" s="38"/>
    </row>
    <row r="93" spans="2:6" x14ac:dyDescent="0.25">
      <c r="B93" s="73" t="s">
        <v>6</v>
      </c>
      <c r="C93" s="220">
        <v>2000</v>
      </c>
      <c r="D93" s="220">
        <f t="shared" si="8"/>
        <v>6248.5265225933199</v>
      </c>
      <c r="E93" s="94">
        <f t="shared" si="9"/>
        <v>4.7456121086926678E-2</v>
      </c>
      <c r="F93" s="38"/>
    </row>
    <row r="94" spans="2:6" x14ac:dyDescent="0.25">
      <c r="B94" s="73" t="s">
        <v>142</v>
      </c>
      <c r="C94" s="222"/>
      <c r="D94" s="222">
        <f t="shared" si="8"/>
        <v>0</v>
      </c>
      <c r="E94" s="94">
        <f t="shared" si="9"/>
        <v>0</v>
      </c>
      <c r="F94" s="38"/>
    </row>
    <row r="95" spans="2:6" x14ac:dyDescent="0.25">
      <c r="B95" s="73" t="s">
        <v>150</v>
      </c>
      <c r="C95" s="220">
        <v>2000</v>
      </c>
      <c r="D95" s="220">
        <f t="shared" si="8"/>
        <v>11509</v>
      </c>
      <c r="E95" s="32"/>
      <c r="F95" s="111" t="s">
        <v>287</v>
      </c>
    </row>
    <row r="96" spans="2:6" x14ac:dyDescent="0.25">
      <c r="B96" s="73" t="s">
        <v>80</v>
      </c>
      <c r="C96" s="207">
        <f>SUM(C83:C95)</f>
        <v>26480</v>
      </c>
      <c r="D96" s="207">
        <f>SUM(D83:D95)</f>
        <v>143178.55873084787</v>
      </c>
      <c r="E96" s="86">
        <f>SUM(E83:E95)</f>
        <v>1</v>
      </c>
      <c r="F96" s="110"/>
    </row>
    <row r="97" spans="2:6" x14ac:dyDescent="0.25">
      <c r="B97" s="17" t="s">
        <v>317</v>
      </c>
    </row>
    <row r="98" spans="2:6" x14ac:dyDescent="0.25"/>
    <row r="99" spans="2:6" x14ac:dyDescent="0.25">
      <c r="B99" s="33" t="s">
        <v>292</v>
      </c>
    </row>
    <row r="100" spans="2:6" x14ac:dyDescent="0.25">
      <c r="B100" s="72" t="s">
        <v>78</v>
      </c>
      <c r="C100" s="72" t="s">
        <v>293</v>
      </c>
      <c r="D100" s="72" t="s">
        <v>294</v>
      </c>
      <c r="E100" s="72" t="s">
        <v>151</v>
      </c>
      <c r="F100" s="72" t="s">
        <v>272</v>
      </c>
    </row>
    <row r="101" spans="2:6" x14ac:dyDescent="0.25">
      <c r="B101" s="73" t="s">
        <v>27</v>
      </c>
      <c r="C101" s="220">
        <v>1200</v>
      </c>
      <c r="D101" s="220">
        <f>C101/1000*($H64*8760)</f>
        <v>4177.5</v>
      </c>
      <c r="E101" s="94">
        <f>D101/$D$114+(($D$113/$D$114)/(SUM($D$101:$D$112)/$D$114)*(D101/$D$114))</f>
        <v>6.8338802188220055E-2</v>
      </c>
      <c r="F101" s="38"/>
    </row>
    <row r="102" spans="2:6" x14ac:dyDescent="0.25">
      <c r="B102" s="73" t="s">
        <v>7</v>
      </c>
      <c r="C102" s="221">
        <v>800</v>
      </c>
      <c r="D102" s="225">
        <f t="shared" ref="D102:D113" si="10">C102/1000*(H65*8760)</f>
        <v>72.838874680306901</v>
      </c>
      <c r="E102" s="94">
        <f t="shared" ref="E102:E112" si="11">D102/$D$114+(($D$113/$D$114)/(SUM($D$101:$D$112)/$D$114)*(D102/$D$114))</f>
        <v>1.1915551043423205E-3</v>
      </c>
      <c r="F102" s="38"/>
    </row>
    <row r="103" spans="2:6" x14ac:dyDescent="0.25">
      <c r="B103" s="73" t="s">
        <v>31</v>
      </c>
      <c r="C103" s="220">
        <v>1620</v>
      </c>
      <c r="D103" s="224">
        <f t="shared" si="10"/>
        <v>848.76923076923094</v>
      </c>
      <c r="E103" s="94">
        <f t="shared" si="11"/>
        <v>1.3884828860559228E-2</v>
      </c>
      <c r="F103" s="38"/>
    </row>
    <row r="104" spans="2:6" x14ac:dyDescent="0.25">
      <c r="B104" s="73" t="s">
        <v>8</v>
      </c>
      <c r="C104" s="222">
        <v>0</v>
      </c>
      <c r="D104" s="222">
        <f t="shared" si="10"/>
        <v>0</v>
      </c>
      <c r="E104" s="94">
        <f t="shared" si="11"/>
        <v>0</v>
      </c>
      <c r="F104" s="38"/>
    </row>
    <row r="105" spans="2:6" x14ac:dyDescent="0.25">
      <c r="B105" s="73" t="s">
        <v>10</v>
      </c>
      <c r="C105" s="222">
        <v>0</v>
      </c>
      <c r="D105" s="222">
        <f t="shared" si="10"/>
        <v>0</v>
      </c>
      <c r="E105" s="94">
        <f t="shared" si="11"/>
        <v>0</v>
      </c>
      <c r="F105" s="38"/>
    </row>
    <row r="106" spans="2:6" x14ac:dyDescent="0.25">
      <c r="B106" s="73" t="s">
        <v>5</v>
      </c>
      <c r="C106" s="220">
        <v>3000</v>
      </c>
      <c r="D106" s="220">
        <f t="shared" si="10"/>
        <v>21348</v>
      </c>
      <c r="E106" s="94">
        <f t="shared" si="11"/>
        <v>0.34922722899200997</v>
      </c>
      <c r="F106" s="38"/>
    </row>
    <row r="107" spans="2:6" x14ac:dyDescent="0.25">
      <c r="B107" s="73" t="s">
        <v>28</v>
      </c>
      <c r="C107" s="224">
        <v>200</v>
      </c>
      <c r="D107" s="224">
        <f t="shared" si="10"/>
        <v>642.54090471607321</v>
      </c>
      <c r="E107" s="94">
        <f t="shared" si="11"/>
        <v>1.0511185107176944E-2</v>
      </c>
      <c r="F107" s="38"/>
    </row>
    <row r="108" spans="2:6" x14ac:dyDescent="0.25">
      <c r="B108" s="73" t="s">
        <v>323</v>
      </c>
      <c r="C108" s="220">
        <v>3780</v>
      </c>
      <c r="D108" s="220">
        <f t="shared" si="10"/>
        <v>30915.341772151893</v>
      </c>
      <c r="E108" s="94">
        <f t="shared" si="11"/>
        <v>0.50573726533771513</v>
      </c>
      <c r="F108" s="38"/>
    </row>
    <row r="109" spans="2:6" x14ac:dyDescent="0.25">
      <c r="B109" s="73" t="s">
        <v>36</v>
      </c>
      <c r="C109" s="222">
        <v>0</v>
      </c>
      <c r="D109" s="222">
        <f t="shared" si="10"/>
        <v>0</v>
      </c>
      <c r="E109" s="94">
        <f t="shared" si="11"/>
        <v>0</v>
      </c>
      <c r="F109" s="38"/>
    </row>
    <row r="110" spans="2:6" x14ac:dyDescent="0.25">
      <c r="B110" s="73" t="s">
        <v>141</v>
      </c>
      <c r="C110" s="222">
        <v>0</v>
      </c>
      <c r="D110" s="222">
        <f t="shared" si="10"/>
        <v>0</v>
      </c>
      <c r="E110" s="94">
        <f t="shared" si="11"/>
        <v>0</v>
      </c>
      <c r="F110" s="38"/>
    </row>
    <row r="111" spans="2:6" x14ac:dyDescent="0.25">
      <c r="B111" s="73" t="s">
        <v>6</v>
      </c>
      <c r="C111" s="220">
        <v>1000</v>
      </c>
      <c r="D111" s="220">
        <f t="shared" si="10"/>
        <v>3124.2632612966599</v>
      </c>
      <c r="E111" s="94">
        <f t="shared" si="11"/>
        <v>5.1109134409976234E-2</v>
      </c>
      <c r="F111" s="38"/>
    </row>
    <row r="112" spans="2:6" x14ac:dyDescent="0.25">
      <c r="B112" s="73" t="s">
        <v>142</v>
      </c>
      <c r="C112" s="222">
        <v>0</v>
      </c>
      <c r="D112" s="222">
        <f t="shared" si="10"/>
        <v>0</v>
      </c>
      <c r="E112" s="94">
        <f t="shared" si="11"/>
        <v>0</v>
      </c>
      <c r="F112" s="38"/>
    </row>
    <row r="113" spans="2:8" x14ac:dyDescent="0.25">
      <c r="B113" s="73" t="s">
        <v>150</v>
      </c>
      <c r="C113" s="220">
        <v>2000</v>
      </c>
      <c r="D113" s="220">
        <f t="shared" si="10"/>
        <v>11509</v>
      </c>
      <c r="E113" s="94"/>
      <c r="F113" s="111" t="s">
        <v>287</v>
      </c>
    </row>
    <row r="114" spans="2:8" x14ac:dyDescent="0.25">
      <c r="B114" s="73" t="s">
        <v>80</v>
      </c>
      <c r="C114" s="207">
        <f>SUM(C101:C113)</f>
        <v>13600</v>
      </c>
      <c r="D114" s="207">
        <f>SUM(D101:D113)</f>
        <v>72638.254043614172</v>
      </c>
      <c r="E114" s="86">
        <f>SUM(E101:E113)</f>
        <v>0.99999999999999989</v>
      </c>
      <c r="F114" s="110"/>
    </row>
    <row r="115" spans="2:8" x14ac:dyDescent="0.25">
      <c r="B115" s="17" t="s">
        <v>316</v>
      </c>
    </row>
    <row r="116" spans="2:8" x14ac:dyDescent="0.25"/>
    <row r="117" spans="2:8" x14ac:dyDescent="0.25">
      <c r="B117" s="36" t="s">
        <v>295</v>
      </c>
    </row>
    <row r="118" spans="2:8" ht="15.75" customHeight="1" x14ac:dyDescent="0.25">
      <c r="B118" s="112" t="s">
        <v>78</v>
      </c>
      <c r="C118" s="98" t="s">
        <v>178</v>
      </c>
      <c r="D118" s="262" t="s">
        <v>443</v>
      </c>
      <c r="E118" s="154"/>
      <c r="F118" s="40"/>
      <c r="G118" s="40"/>
      <c r="H118" s="40"/>
    </row>
    <row r="119" spans="2:8" x14ac:dyDescent="0.25">
      <c r="B119" s="73" t="s">
        <v>27</v>
      </c>
      <c r="C119" s="38">
        <v>0</v>
      </c>
      <c r="D119" s="262"/>
      <c r="E119" s="154"/>
      <c r="F119" s="40"/>
      <c r="G119" s="40"/>
      <c r="H119" s="40"/>
    </row>
    <row r="120" spans="2:8" x14ac:dyDescent="0.25">
      <c r="B120" s="73" t="s">
        <v>76</v>
      </c>
      <c r="C120" s="38">
        <v>0</v>
      </c>
      <c r="D120" s="262"/>
      <c r="E120" s="154"/>
      <c r="F120" s="40"/>
      <c r="G120" s="40"/>
      <c r="H120" s="40"/>
    </row>
    <row r="121" spans="2:8" x14ac:dyDescent="0.25">
      <c r="B121" s="73" t="s">
        <v>31</v>
      </c>
      <c r="C121" s="38">
        <v>0.18</v>
      </c>
      <c r="D121" s="262"/>
    </row>
    <row r="122" spans="2:8" x14ac:dyDescent="0.25">
      <c r="B122" s="73" t="s">
        <v>8</v>
      </c>
      <c r="C122" s="38">
        <v>0</v>
      </c>
      <c r="D122" s="262"/>
    </row>
    <row r="123" spans="2:8" x14ac:dyDescent="0.25">
      <c r="B123" s="73" t="s">
        <v>28</v>
      </c>
      <c r="C123" s="38">
        <v>0.3</v>
      </c>
      <c r="D123" s="262"/>
    </row>
    <row r="124" spans="2:8" x14ac:dyDescent="0.25">
      <c r="B124" s="73" t="s">
        <v>323</v>
      </c>
      <c r="C124" s="38">
        <v>0.31</v>
      </c>
      <c r="D124" s="262"/>
    </row>
    <row r="125" spans="2:8" x14ac:dyDescent="0.25">
      <c r="B125" s="73" t="s">
        <v>32</v>
      </c>
      <c r="C125" s="38">
        <v>0.11</v>
      </c>
      <c r="D125" s="262"/>
    </row>
    <row r="126" spans="2:8" x14ac:dyDescent="0.25">
      <c r="B126" s="73" t="s">
        <v>6</v>
      </c>
      <c r="C126" s="38">
        <v>0.1</v>
      </c>
      <c r="D126" s="262"/>
    </row>
    <row r="127" spans="2:8" x14ac:dyDescent="0.25">
      <c r="B127" s="73" t="s">
        <v>5</v>
      </c>
      <c r="C127" s="38">
        <v>0</v>
      </c>
      <c r="D127" s="262"/>
    </row>
    <row r="128" spans="2:8" x14ac:dyDescent="0.25">
      <c r="B128" s="74" t="s">
        <v>68</v>
      </c>
      <c r="C128" s="105">
        <v>1</v>
      </c>
      <c r="D128" s="262"/>
    </row>
    <row r="129" ht="15.75" customHeight="1" x14ac:dyDescent="0.25"/>
    <row r="130" x14ac:dyDescent="0.25"/>
    <row r="131" x14ac:dyDescent="0.25"/>
    <row r="132" x14ac:dyDescent="0.25"/>
    <row r="133" x14ac:dyDescent="0.25"/>
    <row r="134" x14ac:dyDescent="0.25"/>
    <row r="135" x14ac:dyDescent="0.25"/>
    <row r="136" x14ac:dyDescent="0.25"/>
    <row r="137" hidden="1" x14ac:dyDescent="0.25"/>
  </sheetData>
  <mergeCells count="1">
    <mergeCell ref="D118:D128"/>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133"/>
  <sheetViews>
    <sheetView zoomScale="86" zoomScaleNormal="86" workbookViewId="0">
      <selection activeCell="I10" sqref="I10"/>
    </sheetView>
  </sheetViews>
  <sheetFormatPr defaultColWidth="0" defaultRowHeight="15.75" zeroHeight="1" x14ac:dyDescent="0.25"/>
  <cols>
    <col min="1" max="1" width="9.140625" style="18" customWidth="1"/>
    <col min="2" max="2" width="20.5703125" style="18" customWidth="1"/>
    <col min="3" max="3" width="36.85546875" style="18" customWidth="1"/>
    <col min="4" max="4" width="25.85546875" style="18" bestFit="1" customWidth="1"/>
    <col min="5" max="7" width="15.140625" style="18" customWidth="1"/>
    <col min="8" max="8" width="28.140625" style="18" customWidth="1"/>
    <col min="9" max="9" width="17.28515625" style="18" customWidth="1"/>
    <col min="10" max="10" width="26.42578125" style="18" bestFit="1" customWidth="1"/>
    <col min="11" max="11" width="28.42578125" style="18" bestFit="1" customWidth="1"/>
    <col min="12" max="12" width="25.28515625" style="18" bestFit="1" customWidth="1"/>
    <col min="13" max="13" width="29.42578125" style="18" bestFit="1" customWidth="1"/>
    <col min="14" max="14" width="12" style="18" customWidth="1"/>
    <col min="15" max="19" width="9.140625" style="18" customWidth="1"/>
    <col min="20" max="20" width="9.140625" style="18" hidden="1" customWidth="1"/>
    <col min="21" max="21" width="25.5703125" style="18" hidden="1" customWidth="1"/>
    <col min="22" max="22" width="40.85546875" style="18" hidden="1" customWidth="1"/>
    <col min="23" max="23" width="47.7109375" style="18" hidden="1" customWidth="1"/>
    <col min="24" max="24" width="37" style="18" hidden="1" customWidth="1"/>
    <col min="25" max="25" width="45" style="18" hidden="1" customWidth="1"/>
    <col min="26" max="26" width="35.85546875" style="18" hidden="1" customWidth="1"/>
    <col min="27" max="27" width="29.42578125" style="18" hidden="1" customWidth="1"/>
    <col min="28" max="16384" width="9.140625" style="18" hidden="1"/>
  </cols>
  <sheetData>
    <row r="1" spans="1:19" x14ac:dyDescent="0.25">
      <c r="A1" s="89" t="s">
        <v>299</v>
      </c>
    </row>
    <row r="2" spans="1:19" x14ac:dyDescent="0.25">
      <c r="A2" s="16" t="s">
        <v>245</v>
      </c>
    </row>
    <row r="3" spans="1:19" x14ac:dyDescent="0.25">
      <c r="A3" s="17" t="s">
        <v>249</v>
      </c>
    </row>
    <row r="4" spans="1:19" x14ac:dyDescent="0.25">
      <c r="A4" s="17" t="s">
        <v>489</v>
      </c>
    </row>
    <row r="5" spans="1:19" x14ac:dyDescent="0.25"/>
    <row r="6" spans="1:19" x14ac:dyDescent="0.25">
      <c r="B6" s="33" t="s">
        <v>492</v>
      </c>
      <c r="H6" s="84" t="s">
        <v>19</v>
      </c>
      <c r="I6" s="85"/>
      <c r="J6" s="85"/>
      <c r="K6" s="85"/>
      <c r="L6" s="85"/>
      <c r="M6" s="85"/>
      <c r="N6" s="85"/>
      <c r="O6" s="85"/>
      <c r="P6" s="85"/>
      <c r="Q6" s="85"/>
      <c r="R6" s="85"/>
      <c r="S6" s="21"/>
    </row>
    <row r="7" spans="1:19" x14ac:dyDescent="0.25">
      <c r="B7" s="72" t="s">
        <v>146</v>
      </c>
      <c r="C7" s="72" t="s">
        <v>145</v>
      </c>
      <c r="D7" s="72" t="s">
        <v>40</v>
      </c>
      <c r="H7" s="19" t="s">
        <v>20</v>
      </c>
      <c r="I7" s="18" t="s">
        <v>300</v>
      </c>
    </row>
    <row r="8" spans="1:19" x14ac:dyDescent="0.25">
      <c r="B8" s="73" t="s">
        <v>27</v>
      </c>
      <c r="C8" s="113">
        <v>0</v>
      </c>
      <c r="D8" s="38">
        <v>0</v>
      </c>
      <c r="H8" s="19" t="s">
        <v>20</v>
      </c>
      <c r="I8" s="18" t="s">
        <v>163</v>
      </c>
    </row>
    <row r="9" spans="1:19" x14ac:dyDescent="0.25">
      <c r="B9" s="73" t="s">
        <v>7</v>
      </c>
      <c r="C9" s="113">
        <v>2505</v>
      </c>
      <c r="D9" s="38">
        <v>0.20833333333333334</v>
      </c>
      <c r="H9" s="19" t="s">
        <v>20</v>
      </c>
      <c r="I9" s="18" t="s">
        <v>162</v>
      </c>
    </row>
    <row r="10" spans="1:19" x14ac:dyDescent="0.25">
      <c r="B10" s="73" t="s">
        <v>31</v>
      </c>
      <c r="C10" s="113">
        <v>1448</v>
      </c>
      <c r="D10" s="38">
        <v>0.12042581503659348</v>
      </c>
      <c r="H10" s="19" t="s">
        <v>20</v>
      </c>
      <c r="I10" s="18" t="s">
        <v>164</v>
      </c>
    </row>
    <row r="11" spans="1:19" x14ac:dyDescent="0.25">
      <c r="B11" s="73" t="s">
        <v>140</v>
      </c>
      <c r="C11" s="113">
        <v>0</v>
      </c>
      <c r="D11" s="38">
        <v>0</v>
      </c>
      <c r="H11" s="19" t="s">
        <v>20</v>
      </c>
      <c r="I11" s="18" t="s">
        <v>301</v>
      </c>
    </row>
    <row r="12" spans="1:19" x14ac:dyDescent="0.25">
      <c r="B12" s="73" t="s">
        <v>10</v>
      </c>
      <c r="C12" s="113">
        <v>0</v>
      </c>
      <c r="D12" s="38">
        <v>0</v>
      </c>
      <c r="H12" s="19" t="s">
        <v>20</v>
      </c>
      <c r="I12" s="18" t="s">
        <v>305</v>
      </c>
    </row>
    <row r="13" spans="1:19" x14ac:dyDescent="0.25">
      <c r="B13" s="73" t="s">
        <v>5</v>
      </c>
      <c r="C13" s="113">
        <v>0</v>
      </c>
      <c r="D13" s="38">
        <v>0</v>
      </c>
      <c r="H13" s="19"/>
    </row>
    <row r="14" spans="1:19" x14ac:dyDescent="0.25">
      <c r="B14" s="73" t="s">
        <v>28</v>
      </c>
      <c r="C14" s="113">
        <v>8071</v>
      </c>
      <c r="D14" s="38">
        <v>0.67124085163007319</v>
      </c>
    </row>
    <row r="15" spans="1:19" x14ac:dyDescent="0.25">
      <c r="B15" s="73" t="s">
        <v>49</v>
      </c>
      <c r="C15" s="113">
        <v>0</v>
      </c>
      <c r="D15" s="38">
        <v>0</v>
      </c>
    </row>
    <row r="16" spans="1:19" x14ac:dyDescent="0.25">
      <c r="B16" s="73" t="s">
        <v>32</v>
      </c>
      <c r="C16" s="113">
        <v>0</v>
      </c>
      <c r="D16" s="38">
        <v>0</v>
      </c>
    </row>
    <row r="17" spans="2:27" x14ac:dyDescent="0.25">
      <c r="B17" s="73" t="s">
        <v>6</v>
      </c>
      <c r="C17" s="113">
        <v>0</v>
      </c>
      <c r="D17" s="38">
        <v>0</v>
      </c>
      <c r="V17" s="33" t="s">
        <v>319</v>
      </c>
      <c r="Y17" s="128" t="s">
        <v>320</v>
      </c>
    </row>
    <row r="18" spans="2:27" x14ac:dyDescent="0.25">
      <c r="B18" s="73" t="s">
        <v>142</v>
      </c>
      <c r="C18" s="113">
        <v>0</v>
      </c>
      <c r="D18" s="38">
        <v>0</v>
      </c>
      <c r="I18" s="91" t="s">
        <v>242</v>
      </c>
      <c r="J18" s="119"/>
      <c r="K18" s="119"/>
      <c r="L18" s="119"/>
      <c r="M18" s="120"/>
      <c r="W18" s="91" t="s">
        <v>242</v>
      </c>
      <c r="X18" s="119"/>
      <c r="Y18" s="119"/>
      <c r="Z18" s="119"/>
      <c r="AA18" s="120"/>
    </row>
    <row r="19" spans="2:27" x14ac:dyDescent="0.25">
      <c r="B19" s="73" t="s">
        <v>143</v>
      </c>
      <c r="C19" s="113">
        <v>0</v>
      </c>
      <c r="D19" s="38">
        <v>0</v>
      </c>
      <c r="I19" s="71">
        <v>1</v>
      </c>
      <c r="J19" s="71">
        <f>I19+1</f>
        <v>2</v>
      </c>
      <c r="K19" s="71">
        <f>J19+1</f>
        <v>3</v>
      </c>
      <c r="L19" s="71">
        <f>K19+1</f>
        <v>4</v>
      </c>
      <c r="M19" s="71">
        <f>L19+1</f>
        <v>5</v>
      </c>
      <c r="W19" s="125">
        <v>1</v>
      </c>
      <c r="X19" s="125">
        <v>2</v>
      </c>
      <c r="Y19" s="125">
        <v>3</v>
      </c>
      <c r="Z19" s="125">
        <v>4</v>
      </c>
      <c r="AA19" s="125">
        <v>5</v>
      </c>
    </row>
    <row r="20" spans="2:27" x14ac:dyDescent="0.25">
      <c r="B20" s="73" t="s">
        <v>11</v>
      </c>
      <c r="C20" s="104">
        <v>12024</v>
      </c>
      <c r="D20" s="77">
        <f>SUM(D8:D19)</f>
        <v>1</v>
      </c>
      <c r="H20" s="72" t="s">
        <v>146</v>
      </c>
      <c r="I20" s="72" t="s">
        <v>213</v>
      </c>
      <c r="J20" s="72" t="s">
        <v>223</v>
      </c>
      <c r="K20" s="72" t="s">
        <v>224</v>
      </c>
      <c r="L20" s="72" t="s">
        <v>198</v>
      </c>
      <c r="M20" s="72" t="s">
        <v>222</v>
      </c>
      <c r="U20" s="32" t="s">
        <v>322</v>
      </c>
      <c r="V20" s="72" t="s">
        <v>146</v>
      </c>
      <c r="W20" s="72" t="s">
        <v>213</v>
      </c>
      <c r="X20" s="72" t="s">
        <v>223</v>
      </c>
      <c r="Y20" s="72" t="s">
        <v>224</v>
      </c>
      <c r="Z20" s="72" t="s">
        <v>198</v>
      </c>
      <c r="AA20" s="72" t="s">
        <v>222</v>
      </c>
    </row>
    <row r="21" spans="2:27" x14ac:dyDescent="0.25">
      <c r="B21" s="73" t="s">
        <v>144</v>
      </c>
      <c r="C21" s="77">
        <f>1.34296071094481-1</f>
        <v>0.34296071094481007</v>
      </c>
      <c r="D21" s="109"/>
      <c r="H21" s="73" t="s">
        <v>27</v>
      </c>
      <c r="I21" s="105">
        <f>CurrentGrids!J6</f>
        <v>0</v>
      </c>
      <c r="J21" s="108">
        <f>D34</f>
        <v>0.16830000000000001</v>
      </c>
      <c r="K21" s="108">
        <f>D56</f>
        <v>0.12415691672401927</v>
      </c>
      <c r="L21" s="108">
        <f>D78</f>
        <v>0</v>
      </c>
      <c r="M21" s="108">
        <f>D78</f>
        <v>0</v>
      </c>
      <c r="U21" s="32" t="s">
        <v>27</v>
      </c>
      <c r="V21" s="73" t="s">
        <v>27</v>
      </c>
      <c r="W21" s="126">
        <v>0</v>
      </c>
      <c r="X21" s="126">
        <v>0.16830000000000001</v>
      </c>
      <c r="Y21" s="126">
        <v>0.12415691672401927</v>
      </c>
      <c r="Z21" s="126">
        <v>0</v>
      </c>
      <c r="AA21" s="126">
        <v>0</v>
      </c>
    </row>
    <row r="22" spans="2:27" x14ac:dyDescent="0.25">
      <c r="H22" s="73" t="s">
        <v>7</v>
      </c>
      <c r="I22" s="105">
        <f>CurrentGrids!J7</f>
        <v>0.25607955869784788</v>
      </c>
      <c r="J22" s="108">
        <f>D35</f>
        <v>0</v>
      </c>
      <c r="K22" s="108">
        <f>D57</f>
        <v>0</v>
      </c>
      <c r="L22" s="108">
        <f>D79</f>
        <v>0</v>
      </c>
      <c r="M22" s="108">
        <f>C100</f>
        <v>0</v>
      </c>
      <c r="U22" s="32" t="s">
        <v>7</v>
      </c>
      <c r="V22" s="73" t="s">
        <v>7</v>
      </c>
      <c r="W22" s="126">
        <v>0.25607955869784788</v>
      </c>
      <c r="X22" s="126">
        <v>0</v>
      </c>
      <c r="Y22" s="126">
        <v>0</v>
      </c>
      <c r="Z22" s="126">
        <v>0</v>
      </c>
      <c r="AA22" s="126">
        <v>0</v>
      </c>
    </row>
    <row r="23" spans="2:27" x14ac:dyDescent="0.25">
      <c r="B23" s="33" t="s">
        <v>155</v>
      </c>
      <c r="H23" s="73" t="s">
        <v>31</v>
      </c>
      <c r="I23" s="105">
        <f>CurrentGrids!J8</f>
        <v>0.1040323207210007</v>
      </c>
      <c r="J23" s="108">
        <f>D36</f>
        <v>0.33660000000000001</v>
      </c>
      <c r="K23" s="108">
        <f>D58</f>
        <v>0.24831383344803853</v>
      </c>
      <c r="L23" s="108">
        <f>D80</f>
        <v>0.44376470588235289</v>
      </c>
      <c r="M23" s="108">
        <f>C101*0.5</f>
        <v>0.12</v>
      </c>
      <c r="U23" s="32" t="s">
        <v>31</v>
      </c>
      <c r="V23" s="73" t="s">
        <v>31</v>
      </c>
      <c r="W23" s="126">
        <v>0.1040323207210007</v>
      </c>
      <c r="X23" s="126">
        <v>0.33660000000000001</v>
      </c>
      <c r="Y23" s="126">
        <v>0.24831383344803853</v>
      </c>
      <c r="Z23" s="126">
        <v>0.44376470588235289</v>
      </c>
      <c r="AA23" s="126">
        <v>0.12</v>
      </c>
    </row>
    <row r="24" spans="2:27" x14ac:dyDescent="0.25">
      <c r="B24" s="72" t="s">
        <v>93</v>
      </c>
      <c r="C24" s="72" t="s">
        <v>197</v>
      </c>
      <c r="D24" s="21"/>
      <c r="H24" s="73" t="s">
        <v>77</v>
      </c>
      <c r="I24" s="105">
        <v>0</v>
      </c>
      <c r="J24" s="105">
        <v>0</v>
      </c>
      <c r="K24" s="105">
        <v>0</v>
      </c>
      <c r="L24" s="105">
        <v>0</v>
      </c>
      <c r="M24" s="108">
        <f>C101*0.5</f>
        <v>0.12</v>
      </c>
      <c r="U24" s="32" t="s">
        <v>321</v>
      </c>
      <c r="V24" s="73" t="s">
        <v>77</v>
      </c>
      <c r="W24" s="126">
        <v>0</v>
      </c>
      <c r="X24" s="126">
        <v>0</v>
      </c>
      <c r="Y24" s="126">
        <v>0</v>
      </c>
      <c r="Z24" s="126">
        <v>0</v>
      </c>
      <c r="AA24" s="126">
        <v>0.12</v>
      </c>
    </row>
    <row r="25" spans="2:27" x14ac:dyDescent="0.25">
      <c r="B25" s="73" t="s">
        <v>28</v>
      </c>
      <c r="C25" s="32" t="s">
        <v>157</v>
      </c>
      <c r="D25" s="21"/>
      <c r="H25" s="73" t="s">
        <v>5</v>
      </c>
      <c r="I25" s="105">
        <f>CurrentGrids!J11</f>
        <v>0</v>
      </c>
      <c r="J25" s="108">
        <f>D39</f>
        <v>4.7298896051260267E-2</v>
      </c>
      <c r="K25" s="108">
        <f>D61</f>
        <v>2.7529249827942186E-2</v>
      </c>
      <c r="L25" s="108">
        <f>D83</f>
        <v>0.08</v>
      </c>
      <c r="M25" s="108">
        <f>C104</f>
        <v>0.15</v>
      </c>
      <c r="U25" s="32" t="s">
        <v>5</v>
      </c>
      <c r="V25" s="73" t="s">
        <v>5</v>
      </c>
      <c r="W25" s="126">
        <v>0</v>
      </c>
      <c r="X25" s="126">
        <v>4.7298896051260267E-2</v>
      </c>
      <c r="Y25" s="126">
        <v>2.7529249827942186E-2</v>
      </c>
      <c r="Z25" s="126">
        <v>0.08</v>
      </c>
      <c r="AA25" s="126">
        <v>0.15</v>
      </c>
    </row>
    <row r="26" spans="2:27" x14ac:dyDescent="0.25">
      <c r="B26" s="73" t="s">
        <v>156</v>
      </c>
      <c r="C26" s="32" t="s">
        <v>158</v>
      </c>
      <c r="D26" s="21"/>
      <c r="H26" s="73" t="s">
        <v>28</v>
      </c>
      <c r="I26" s="105">
        <f>CurrentGrids!J12</f>
        <v>0.63965503845855021</v>
      </c>
      <c r="J26" s="108">
        <f>D40</f>
        <v>0.39559076697417678</v>
      </c>
      <c r="K26" s="108">
        <f>D62</f>
        <v>0.49</v>
      </c>
      <c r="L26" s="108">
        <f>D84</f>
        <v>0.42211764705882349</v>
      </c>
      <c r="M26" s="108">
        <f>C105</f>
        <v>0.35</v>
      </c>
      <c r="U26" s="32" t="s">
        <v>28</v>
      </c>
      <c r="V26" s="73" t="s">
        <v>28</v>
      </c>
      <c r="W26" s="126">
        <v>0.63965503845855021</v>
      </c>
      <c r="X26" s="126">
        <v>0.39559076697417678</v>
      </c>
      <c r="Y26" s="126">
        <v>0.49</v>
      </c>
      <c r="Z26" s="126">
        <v>0.42211764705882349</v>
      </c>
      <c r="AA26" s="126">
        <v>0.35</v>
      </c>
    </row>
    <row r="27" spans="2:27" x14ac:dyDescent="0.25">
      <c r="B27" s="73" t="s">
        <v>5</v>
      </c>
      <c r="C27" s="118" t="str">
        <f>"3-8"</f>
        <v>3-8</v>
      </c>
      <c r="D27" s="21"/>
      <c r="H27" s="73" t="s">
        <v>36</v>
      </c>
      <c r="I27" s="105">
        <f>CurrentGrids!J14</f>
        <v>2.3308212260119649E-4</v>
      </c>
      <c r="J27" s="108">
        <f>D42</f>
        <v>5.1598795692283927E-2</v>
      </c>
      <c r="K27" s="108">
        <f>D64</f>
        <v>8.2500000000000004E-2</v>
      </c>
      <c r="L27" s="108">
        <f>D86</f>
        <v>2.7058823529411764E-2</v>
      </c>
      <c r="M27" s="108">
        <f>C107</f>
        <v>0.2</v>
      </c>
      <c r="U27" s="32" t="s">
        <v>32</v>
      </c>
      <c r="V27" s="73" t="s">
        <v>32</v>
      </c>
      <c r="W27" s="126">
        <v>2.3308212260119649E-4</v>
      </c>
      <c r="X27" s="126">
        <v>5.1598795692283927E-2</v>
      </c>
      <c r="Y27" s="126">
        <v>8.2500000000000004E-2</v>
      </c>
      <c r="Z27" s="126">
        <v>2.7058823529411764E-2</v>
      </c>
      <c r="AA27" s="126">
        <v>0.2</v>
      </c>
    </row>
    <row r="28" spans="2:27" x14ac:dyDescent="0.25">
      <c r="B28" s="73" t="s">
        <v>67</v>
      </c>
      <c r="C28" s="118" t="str">
        <f>"5-11"</f>
        <v>5-11</v>
      </c>
      <c r="D28" s="21"/>
      <c r="H28" s="73" t="s">
        <v>6</v>
      </c>
      <c r="I28" s="105">
        <f>CurrentGrids!J16</f>
        <v>0</v>
      </c>
      <c r="J28" s="108">
        <f>D43</f>
        <v>6.1154128227892068E-4</v>
      </c>
      <c r="K28" s="108">
        <f>D65</f>
        <v>2.75E-2</v>
      </c>
      <c r="L28" s="108">
        <f>D87</f>
        <v>2.7058823529411764E-2</v>
      </c>
      <c r="M28" s="108">
        <f>C108</f>
        <v>0.06</v>
      </c>
      <c r="U28" s="32" t="s">
        <v>6</v>
      </c>
      <c r="V28" s="73" t="s">
        <v>6</v>
      </c>
      <c r="W28" s="126">
        <v>0</v>
      </c>
      <c r="X28" s="126">
        <v>6.1154128227892068E-4</v>
      </c>
      <c r="Y28" s="126">
        <v>2.75E-2</v>
      </c>
      <c r="Z28" s="126">
        <v>2.7058823529411764E-2</v>
      </c>
      <c r="AA28" s="126">
        <v>0.06</v>
      </c>
    </row>
    <row r="29" spans="2:27" x14ac:dyDescent="0.25">
      <c r="B29" s="95" t="s">
        <v>302</v>
      </c>
      <c r="H29" s="73" t="s">
        <v>80</v>
      </c>
      <c r="I29" s="121">
        <f>SUM(I21:I28)</f>
        <v>1</v>
      </c>
      <c r="J29" s="121">
        <f>SUM(J21:J28)</f>
        <v>0.99999999999999978</v>
      </c>
      <c r="K29" s="121">
        <f>SUM(K21:K28)</f>
        <v>0.99999999999999989</v>
      </c>
      <c r="L29" s="121">
        <f>SUM(L21:L28)</f>
        <v>1</v>
      </c>
      <c r="M29" s="121">
        <f>SUM(M21:M28)</f>
        <v>1</v>
      </c>
      <c r="V29" s="73" t="s">
        <v>80</v>
      </c>
      <c r="W29" s="127">
        <v>1</v>
      </c>
      <c r="X29" s="127">
        <v>0.99999999999999978</v>
      </c>
      <c r="Y29" s="127">
        <v>0.99999999999999989</v>
      </c>
      <c r="Z29" s="127">
        <v>1</v>
      </c>
      <c r="AA29" s="127">
        <v>1</v>
      </c>
    </row>
    <row r="30" spans="2:27" x14ac:dyDescent="0.25">
      <c r="H30" s="73" t="s">
        <v>248</v>
      </c>
      <c r="I30" s="121">
        <f>CurrentGrids!$I$30</f>
        <v>0.26784596117720727</v>
      </c>
      <c r="J30" s="121">
        <f>CurrentGrids!$I$30</f>
        <v>0.26784596117720727</v>
      </c>
      <c r="K30" s="121">
        <f>CurrentGrids!$I$30</f>
        <v>0.26784596117720727</v>
      </c>
      <c r="L30" s="121">
        <f>CurrentGrids!$I$30</f>
        <v>0.26784596117720727</v>
      </c>
      <c r="M30" s="77">
        <f>0.75*CurrentGrids!I30</f>
        <v>0.20088447088290545</v>
      </c>
      <c r="U30" s="18" t="s">
        <v>208</v>
      </c>
      <c r="V30" s="73" t="s">
        <v>248</v>
      </c>
      <c r="W30" s="121">
        <v>0.26784596117720727</v>
      </c>
      <c r="X30" s="121">
        <v>0.26784596117720727</v>
      </c>
      <c r="Y30" s="121">
        <v>0.26784596117720727</v>
      </c>
      <c r="Z30" s="121">
        <v>0.26784596117720727</v>
      </c>
      <c r="AA30" s="77">
        <v>0.20088447088290545</v>
      </c>
    </row>
    <row r="31" spans="2:27" x14ac:dyDescent="0.25"/>
    <row r="32" spans="2:27" x14ac:dyDescent="0.25">
      <c r="B32" s="33" t="s">
        <v>296</v>
      </c>
      <c r="G32" s="21"/>
      <c r="V32" s="32" t="s">
        <v>226</v>
      </c>
      <c r="W32" s="32" t="s">
        <v>225</v>
      </c>
    </row>
    <row r="33" spans="1:25" x14ac:dyDescent="0.25">
      <c r="B33" s="72" t="s">
        <v>306</v>
      </c>
      <c r="C33" s="72" t="s">
        <v>40</v>
      </c>
      <c r="D33" s="72" t="s">
        <v>303</v>
      </c>
    </row>
    <row r="34" spans="1:25" x14ac:dyDescent="0.25">
      <c r="B34" s="73" t="s">
        <v>27</v>
      </c>
      <c r="C34" s="94">
        <f>0.33*0.51</f>
        <v>0.16830000000000001</v>
      </c>
      <c r="D34" s="94">
        <f>C34</f>
        <v>0.16830000000000001</v>
      </c>
      <c r="V34" s="32" t="str">
        <f>CONCATENATE($W$32,"_",U21)</f>
        <v>IEA_2013_Coal</v>
      </c>
      <c r="W34" s="32" t="str">
        <f>CONCATENATE("if(grid_select=", $AA$19,";",AA21,";0)")</f>
        <v>if(grid_select=5;0;0)</v>
      </c>
      <c r="X34" s="32">
        <v>0</v>
      </c>
      <c r="Y34" s="32" t="str">
        <f>CONCATENATE("Portion of ", $W$32, " grid mix generated using ", U21, " fuel.")</f>
        <v>Portion of IEA_2013 grid mix generated using Coal fuel.</v>
      </c>
    </row>
    <row r="35" spans="1:25" x14ac:dyDescent="0.25">
      <c r="B35" s="73" t="s">
        <v>7</v>
      </c>
      <c r="C35" s="94"/>
      <c r="D35" s="94">
        <f>C35+(C35*(1-$C$46)/$C$46)</f>
        <v>0</v>
      </c>
      <c r="V35" s="32" t="str">
        <f t="shared" ref="V35:V41" si="0">CONCATENATE($W$32,"_",U22)</f>
        <v>IEA_2013_Oil</v>
      </c>
      <c r="W35" s="32" t="str">
        <f t="shared" ref="W35:W41" si="1">CONCATENATE("if(grid_select=", $AA$19,";",AA22,";0)")</f>
        <v>if(grid_select=5;0;0)</v>
      </c>
      <c r="X35" s="32">
        <v>0</v>
      </c>
      <c r="Y35" s="32" t="str">
        <f t="shared" ref="Y35:Y41" si="2">CONCATENATE("Portion of ", $W$32, " grid mix generated using ", U22, " fuel.")</f>
        <v>Portion of IEA_2013 grid mix generated using Oil fuel.</v>
      </c>
    </row>
    <row r="36" spans="1:25" x14ac:dyDescent="0.25">
      <c r="B36" s="73" t="s">
        <v>31</v>
      </c>
      <c r="C36" s="94">
        <f>0.66*0.51</f>
        <v>0.33660000000000001</v>
      </c>
      <c r="D36" s="94">
        <f>C36</f>
        <v>0.33660000000000001</v>
      </c>
      <c r="V36" s="32" t="str">
        <f t="shared" si="0"/>
        <v>IEA_2013_Gas</v>
      </c>
      <c r="W36" s="32" t="str">
        <f t="shared" si="1"/>
        <v>if(grid_select=5;0.12;0)</v>
      </c>
      <c r="X36" s="32">
        <v>0</v>
      </c>
      <c r="Y36" s="32" t="str">
        <f t="shared" si="2"/>
        <v>Portion of IEA_2013 grid mix generated using Gas fuel.</v>
      </c>
    </row>
    <row r="37" spans="1:25" x14ac:dyDescent="0.25">
      <c r="B37" s="73" t="s">
        <v>140</v>
      </c>
      <c r="C37" s="94"/>
      <c r="D37" s="94">
        <f>C37+(C37*(1-$C$46)/$C$46)</f>
        <v>0</v>
      </c>
      <c r="V37" s="32" t="str">
        <f t="shared" si="0"/>
        <v>IEA_2013_Gas_efficient</v>
      </c>
      <c r="W37" s="32" t="str">
        <f t="shared" si="1"/>
        <v>if(grid_select=5;0.12;0)</v>
      </c>
      <c r="X37" s="32">
        <v>0</v>
      </c>
      <c r="Y37" s="32" t="str">
        <f t="shared" si="2"/>
        <v>Portion of IEA_2013 grid mix generated using Gas_efficient fuel.</v>
      </c>
    </row>
    <row r="38" spans="1:25" x14ac:dyDescent="0.25">
      <c r="B38" s="73" t="s">
        <v>10</v>
      </c>
      <c r="C38" s="94"/>
      <c r="D38" s="94">
        <f>C38+(C38*(1-$C$46)/$C$46)</f>
        <v>0</v>
      </c>
      <c r="V38" s="32" t="str">
        <f t="shared" si="0"/>
        <v>IEA_2013_Nuclear</v>
      </c>
      <c r="W38" s="32" t="str">
        <f t="shared" si="1"/>
        <v>if(grid_select=5;0.15;0)</v>
      </c>
      <c r="X38" s="32">
        <v>0</v>
      </c>
      <c r="Y38" s="32" t="str">
        <f t="shared" si="2"/>
        <v>Portion of IEA_2013 grid mix generated using Nuclear fuel.</v>
      </c>
    </row>
    <row r="39" spans="1:25" x14ac:dyDescent="0.25">
      <c r="B39" s="73" t="s">
        <v>5</v>
      </c>
      <c r="C39" s="94">
        <f>(0.03+0.08)/2</f>
        <v>5.5E-2</v>
      </c>
      <c r="D39" s="94">
        <f>C39+(C39*(1-$C$46)/SUM($C$40,$C$42,$C$43, $C$39))</f>
        <v>4.7298896051260267E-2</v>
      </c>
      <c r="V39" s="32" t="str">
        <f t="shared" si="0"/>
        <v>IEA_2013_Hydro</v>
      </c>
      <c r="W39" s="32" t="str">
        <f t="shared" si="1"/>
        <v>if(grid_select=5;0.35;0)</v>
      </c>
      <c r="X39" s="32">
        <v>0</v>
      </c>
      <c r="Y39" s="32" t="str">
        <f t="shared" si="2"/>
        <v>Portion of IEA_2013 grid mix generated using Hydro fuel.</v>
      </c>
    </row>
    <row r="40" spans="1:25" x14ac:dyDescent="0.25">
      <c r="B40" s="73" t="s">
        <v>28</v>
      </c>
      <c r="C40" s="94">
        <f>(0.41+0.51)/2</f>
        <v>0.45999999999999996</v>
      </c>
      <c r="D40" s="94">
        <f>C40+(C40*(1-$C$46)/SUM($C$40,$C$42,$C$43, $C$39))</f>
        <v>0.39559076697417678</v>
      </c>
      <c r="V40" s="32" t="str">
        <f t="shared" si="0"/>
        <v>IEA_2013_Solar</v>
      </c>
      <c r="W40" s="32" t="str">
        <f t="shared" si="1"/>
        <v>if(grid_select=5;0.2;0)</v>
      </c>
      <c r="X40" s="32">
        <v>0</v>
      </c>
      <c r="Y40" s="32" t="str">
        <f t="shared" si="2"/>
        <v>Portion of IEA_2013 grid mix generated using Solar fuel.</v>
      </c>
    </row>
    <row r="41" spans="1:25" x14ac:dyDescent="0.25">
      <c r="B41" s="73" t="s">
        <v>49</v>
      </c>
      <c r="C41" s="94"/>
      <c r="D41" s="94">
        <f>C41+(C41*(1-$C$46)/$C$46)</f>
        <v>0</v>
      </c>
      <c r="V41" s="32" t="str">
        <f t="shared" si="0"/>
        <v>IEA_2013_Wind</v>
      </c>
      <c r="W41" s="32" t="str">
        <f t="shared" si="1"/>
        <v>if(grid_select=5;0.06;0)</v>
      </c>
      <c r="X41" s="32">
        <v>0</v>
      </c>
      <c r="Y41" s="32" t="str">
        <f t="shared" si="2"/>
        <v>Portion of IEA_2013 grid mix generated using Wind fuel.</v>
      </c>
    </row>
    <row r="42" spans="1:25" x14ac:dyDescent="0.25">
      <c r="B42" s="73" t="s">
        <v>32</v>
      </c>
      <c r="C42" s="94">
        <f>(0.05+0.11)/2*0.75</f>
        <v>0.06</v>
      </c>
      <c r="D42" s="94">
        <f>C42+(C42*(1-$C$46)/SUM($C$40,$C$42,$C$43, $C$39))</f>
        <v>5.1598795692283927E-2</v>
      </c>
      <c r="V42" s="32" t="str">
        <f>CONCATENATE($W$32,"_",U30)</f>
        <v>IEA_2013_Losses</v>
      </c>
      <c r="W42" s="32" t="str">
        <f>CONCATENATE("if(grid_select=", $W$19,";",Z30,";0)")</f>
        <v>if(grid_select=1;0.267845961177207;0)</v>
      </c>
      <c r="X42" s="32">
        <v>0</v>
      </c>
      <c r="Y42" s="32" t="str">
        <f>CONCATENATE("Grid losses for the ", W32, " scenario")</f>
        <v>Grid losses for the IEA_2013 scenario</v>
      </c>
    </row>
    <row r="43" spans="1:25" x14ac:dyDescent="0.25">
      <c r="B43" s="73" t="s">
        <v>6</v>
      </c>
      <c r="C43" s="94">
        <f>(0.05+0.11)/225</f>
        <v>7.1111111111111115E-4</v>
      </c>
      <c r="D43" s="94">
        <f>C43+(C43*(1-$C$46)/SUM($C$40,$C$42,$C$43, $C$39))</f>
        <v>6.1154128227892068E-4</v>
      </c>
    </row>
    <row r="44" spans="1:25" x14ac:dyDescent="0.25">
      <c r="B44" s="73" t="s">
        <v>142</v>
      </c>
      <c r="C44" s="94"/>
      <c r="D44" s="94">
        <f>C44+(C44*(1-$C$46)/$C$46)</f>
        <v>0</v>
      </c>
    </row>
    <row r="45" spans="1:25" x14ac:dyDescent="0.25">
      <c r="B45" s="73" t="s">
        <v>143</v>
      </c>
      <c r="C45" s="94"/>
      <c r="D45" s="94">
        <f>C45+(C45*(1-$C$46)/$C$46)</f>
        <v>0</v>
      </c>
    </row>
    <row r="46" spans="1:25" x14ac:dyDescent="0.25">
      <c r="A46" s="21"/>
      <c r="B46" s="123" t="s">
        <v>80</v>
      </c>
      <c r="C46" s="226">
        <f>SUM(C34:C45)</f>
        <v>1.0806111111111112</v>
      </c>
      <c r="D46" s="226">
        <f>SUM(D34:D45)</f>
        <v>0.99999999999999978</v>
      </c>
    </row>
    <row r="47" spans="1:25" ht="15.75" customHeight="1" x14ac:dyDescent="0.25">
      <c r="A47" s="21"/>
      <c r="B47" s="262" t="s">
        <v>304</v>
      </c>
      <c r="C47" s="262"/>
      <c r="D47" s="262"/>
      <c r="E47" s="262"/>
      <c r="F47" s="262"/>
    </row>
    <row r="48" spans="1:25" x14ac:dyDescent="0.25">
      <c r="A48" s="21"/>
      <c r="B48" s="262"/>
      <c r="C48" s="262"/>
      <c r="D48" s="262"/>
      <c r="E48" s="262"/>
      <c r="F48" s="262"/>
    </row>
    <row r="49" spans="1:6" x14ac:dyDescent="0.25">
      <c r="A49" s="21"/>
      <c r="B49" s="262"/>
      <c r="C49" s="262"/>
      <c r="D49" s="262"/>
      <c r="E49" s="262"/>
      <c r="F49" s="262"/>
    </row>
    <row r="50" spans="1:6" x14ac:dyDescent="0.25">
      <c r="A50" s="21"/>
      <c r="B50" s="262"/>
      <c r="C50" s="262"/>
      <c r="D50" s="262"/>
      <c r="E50" s="262"/>
      <c r="F50" s="262"/>
    </row>
    <row r="51" spans="1:6" x14ac:dyDescent="0.25">
      <c r="A51" s="21"/>
      <c r="B51" s="262"/>
      <c r="C51" s="262"/>
      <c r="D51" s="262"/>
      <c r="E51" s="262"/>
      <c r="F51" s="262"/>
    </row>
    <row r="52" spans="1:6" x14ac:dyDescent="0.25"/>
    <row r="53" spans="1:6" x14ac:dyDescent="0.25"/>
    <row r="54" spans="1:6" x14ac:dyDescent="0.25">
      <c r="B54" s="33" t="s">
        <v>297</v>
      </c>
    </row>
    <row r="55" spans="1:6" x14ac:dyDescent="0.25">
      <c r="B55" s="72" t="s">
        <v>306</v>
      </c>
      <c r="C55" s="72" t="s">
        <v>40</v>
      </c>
      <c r="D55" s="72" t="s">
        <v>303</v>
      </c>
    </row>
    <row r="56" spans="1:6" x14ac:dyDescent="0.25">
      <c r="B56" s="73" t="s">
        <v>27</v>
      </c>
      <c r="C56" s="94">
        <f>0.33*0.41</f>
        <v>0.1353</v>
      </c>
      <c r="D56" s="94">
        <f t="shared" ref="D56:D61" si="3">C56+(C56*(1-$C$68)/SUM($C$56,$C$58,$C$61))</f>
        <v>0.12415691672401927</v>
      </c>
    </row>
    <row r="57" spans="1:6" x14ac:dyDescent="0.25">
      <c r="B57" s="73" t="s">
        <v>7</v>
      </c>
      <c r="C57" s="94"/>
      <c r="D57" s="94">
        <f t="shared" si="3"/>
        <v>0</v>
      </c>
    </row>
    <row r="58" spans="1:6" x14ac:dyDescent="0.25">
      <c r="B58" s="73" t="s">
        <v>31</v>
      </c>
      <c r="C58" s="94">
        <f>0.66*0.41</f>
        <v>0.27060000000000001</v>
      </c>
      <c r="D58" s="94">
        <f t="shared" si="3"/>
        <v>0.24831383344803853</v>
      </c>
    </row>
    <row r="59" spans="1:6" x14ac:dyDescent="0.25">
      <c r="B59" s="73" t="s">
        <v>140</v>
      </c>
      <c r="C59" s="94"/>
      <c r="D59" s="94">
        <f t="shared" si="3"/>
        <v>0</v>
      </c>
    </row>
    <row r="60" spans="1:6" x14ac:dyDescent="0.25">
      <c r="B60" s="73" t="s">
        <v>10</v>
      </c>
      <c r="C60" s="94"/>
      <c r="D60" s="94">
        <f t="shared" si="3"/>
        <v>0</v>
      </c>
    </row>
    <row r="61" spans="1:6" x14ac:dyDescent="0.25">
      <c r="B61" s="73" t="s">
        <v>5</v>
      </c>
      <c r="C61" s="94">
        <f>0.03</f>
        <v>0.03</v>
      </c>
      <c r="D61" s="94">
        <f t="shared" si="3"/>
        <v>2.7529249827942186E-2</v>
      </c>
    </row>
    <row r="62" spans="1:6" x14ac:dyDescent="0.25">
      <c r="B62" s="73" t="s">
        <v>28</v>
      </c>
      <c r="C62" s="94">
        <f>0.49</f>
        <v>0.49</v>
      </c>
      <c r="D62" s="94">
        <f t="shared" ref="D62:D67" si="4">C62</f>
        <v>0.49</v>
      </c>
    </row>
    <row r="63" spans="1:6" x14ac:dyDescent="0.25">
      <c r="B63" s="73" t="s">
        <v>49</v>
      </c>
      <c r="C63" s="94"/>
      <c r="D63" s="94">
        <f t="shared" si="4"/>
        <v>0</v>
      </c>
    </row>
    <row r="64" spans="1:6" x14ac:dyDescent="0.25">
      <c r="B64" s="73" t="s">
        <v>32</v>
      </c>
      <c r="C64" s="94">
        <f>0.11*0.75</f>
        <v>8.2500000000000004E-2</v>
      </c>
      <c r="D64" s="94">
        <f t="shared" si="4"/>
        <v>8.2500000000000004E-2</v>
      </c>
    </row>
    <row r="65" spans="1:8" x14ac:dyDescent="0.25">
      <c r="B65" s="73" t="s">
        <v>6</v>
      </c>
      <c r="C65" s="94">
        <f>0.25*0.11</f>
        <v>2.75E-2</v>
      </c>
      <c r="D65" s="94">
        <f t="shared" si="4"/>
        <v>2.75E-2</v>
      </c>
    </row>
    <row r="66" spans="1:8" x14ac:dyDescent="0.25">
      <c r="B66" s="73" t="s">
        <v>142</v>
      </c>
      <c r="C66" s="94"/>
      <c r="D66" s="94">
        <f t="shared" si="4"/>
        <v>0</v>
      </c>
    </row>
    <row r="67" spans="1:8" x14ac:dyDescent="0.25">
      <c r="B67" s="73" t="s">
        <v>143</v>
      </c>
      <c r="C67" s="94"/>
      <c r="D67" s="94">
        <f t="shared" si="4"/>
        <v>0</v>
      </c>
      <c r="H67" s="19"/>
    </row>
    <row r="68" spans="1:8" x14ac:dyDescent="0.25">
      <c r="B68" s="73" t="s">
        <v>80</v>
      </c>
      <c r="C68" s="105">
        <f>SUM(C56:C67)</f>
        <v>1.0359</v>
      </c>
      <c r="D68" s="105">
        <f>SUM(D56:D67)</f>
        <v>0.99999999999999989</v>
      </c>
    </row>
    <row r="69" spans="1:8" ht="15.75" customHeight="1" x14ac:dyDescent="0.25">
      <c r="A69" s="21"/>
      <c r="B69" s="262" t="s">
        <v>308</v>
      </c>
      <c r="C69" s="262"/>
      <c r="D69" s="262"/>
      <c r="E69" s="262"/>
      <c r="F69" s="262"/>
    </row>
    <row r="70" spans="1:8" x14ac:dyDescent="0.25">
      <c r="A70" s="21"/>
      <c r="B70" s="262"/>
      <c r="C70" s="262"/>
      <c r="D70" s="262"/>
      <c r="E70" s="262"/>
      <c r="F70" s="262"/>
    </row>
    <row r="71" spans="1:8" x14ac:dyDescent="0.25">
      <c r="A71" s="21"/>
      <c r="B71" s="262"/>
      <c r="C71" s="262"/>
      <c r="D71" s="262"/>
      <c r="E71" s="262"/>
      <c r="F71" s="262"/>
    </row>
    <row r="72" spans="1:8" x14ac:dyDescent="0.25">
      <c r="A72" s="21"/>
      <c r="B72" s="262"/>
      <c r="C72" s="262"/>
      <c r="D72" s="262"/>
      <c r="E72" s="262"/>
      <c r="F72" s="262"/>
    </row>
    <row r="73" spans="1:8" x14ac:dyDescent="0.25">
      <c r="A73" s="21"/>
      <c r="B73" s="262"/>
      <c r="C73" s="262"/>
      <c r="D73" s="262"/>
      <c r="E73" s="262"/>
      <c r="F73" s="262"/>
    </row>
    <row r="74" spans="1:8" x14ac:dyDescent="0.25"/>
    <row r="75" spans="1:8" x14ac:dyDescent="0.25"/>
    <row r="76" spans="1:8" x14ac:dyDescent="0.25">
      <c r="B76" s="33" t="s">
        <v>309</v>
      </c>
    </row>
    <row r="77" spans="1:8" x14ac:dyDescent="0.25">
      <c r="B77" s="72" t="s">
        <v>306</v>
      </c>
      <c r="C77" s="72" t="s">
        <v>40</v>
      </c>
      <c r="D77" s="72" t="s">
        <v>303</v>
      </c>
    </row>
    <row r="78" spans="1:8" x14ac:dyDescent="0.25">
      <c r="B78" s="73" t="s">
        <v>27</v>
      </c>
      <c r="C78" s="94"/>
      <c r="D78" s="94">
        <f>C78+(C78*((1-$C$90))/(($C$90)-$C$83))</f>
        <v>0</v>
      </c>
    </row>
    <row r="79" spans="1:8" x14ac:dyDescent="0.25">
      <c r="B79" s="73" t="s">
        <v>7</v>
      </c>
      <c r="C79" s="94"/>
      <c r="D79" s="94">
        <f>C79+(C79*((1-$C$90))/(($C$90)-$C$83))</f>
        <v>0</v>
      </c>
    </row>
    <row r="80" spans="1:8" x14ac:dyDescent="0.25">
      <c r="B80" s="73" t="s">
        <v>31</v>
      </c>
      <c r="C80" s="94">
        <f>0.41</f>
        <v>0.41</v>
      </c>
      <c r="D80" s="94">
        <f>C80+(C80*((1-$C$90))/(($C$90)-$C$83))</f>
        <v>0.44376470588235289</v>
      </c>
    </row>
    <row r="81" spans="1:6" x14ac:dyDescent="0.25">
      <c r="B81" s="73" t="s">
        <v>140</v>
      </c>
      <c r="C81" s="94"/>
      <c r="D81" s="94">
        <f>C81+(C81*((1-$C$90))/(($C$90)-$C$83))</f>
        <v>0</v>
      </c>
    </row>
    <row r="82" spans="1:6" x14ac:dyDescent="0.25">
      <c r="B82" s="73" t="s">
        <v>10</v>
      </c>
      <c r="C82" s="94"/>
      <c r="D82" s="94">
        <f>C82+(C82*((1-$C$90))/(($C$90)-$C$83))</f>
        <v>0</v>
      </c>
    </row>
    <row r="83" spans="1:6" x14ac:dyDescent="0.25">
      <c r="B83" s="73" t="s">
        <v>5</v>
      </c>
      <c r="C83" s="94">
        <v>0.08</v>
      </c>
      <c r="D83" s="94">
        <v>0.08</v>
      </c>
    </row>
    <row r="84" spans="1:6" x14ac:dyDescent="0.25">
      <c r="B84" s="73" t="s">
        <v>28</v>
      </c>
      <c r="C84" s="94">
        <v>0.39</v>
      </c>
      <c r="D84" s="94">
        <f t="shared" ref="D84:D89" si="5">C84+(C84*((1-$C$90))/(($C$90)-$C$83))</f>
        <v>0.42211764705882349</v>
      </c>
    </row>
    <row r="85" spans="1:6" x14ac:dyDescent="0.25">
      <c r="B85" s="73" t="s">
        <v>49</v>
      </c>
      <c r="C85" s="94"/>
      <c r="D85" s="94">
        <f t="shared" si="5"/>
        <v>0</v>
      </c>
    </row>
    <row r="86" spans="1:6" x14ac:dyDescent="0.25">
      <c r="B86" s="73" t="s">
        <v>32</v>
      </c>
      <c r="C86" s="94">
        <f>0.05*0.5</f>
        <v>2.5000000000000001E-2</v>
      </c>
      <c r="D86" s="94">
        <f t="shared" si="5"/>
        <v>2.7058823529411764E-2</v>
      </c>
    </row>
    <row r="87" spans="1:6" x14ac:dyDescent="0.25">
      <c r="B87" s="73" t="s">
        <v>6</v>
      </c>
      <c r="C87" s="94">
        <f>0.05*0.5</f>
        <v>2.5000000000000001E-2</v>
      </c>
      <c r="D87" s="94">
        <f t="shared" si="5"/>
        <v>2.7058823529411764E-2</v>
      </c>
    </row>
    <row r="88" spans="1:6" x14ac:dyDescent="0.25">
      <c r="B88" s="73" t="s">
        <v>142</v>
      </c>
      <c r="C88" s="94"/>
      <c r="D88" s="94">
        <f t="shared" si="5"/>
        <v>0</v>
      </c>
    </row>
    <row r="89" spans="1:6" x14ac:dyDescent="0.25">
      <c r="B89" s="73" t="s">
        <v>143</v>
      </c>
      <c r="C89" s="94"/>
      <c r="D89" s="94">
        <f t="shared" si="5"/>
        <v>0</v>
      </c>
    </row>
    <row r="90" spans="1:6" x14ac:dyDescent="0.25">
      <c r="B90" s="73" t="s">
        <v>80</v>
      </c>
      <c r="C90" s="122">
        <f>SUM(C78:C89)</f>
        <v>0.93</v>
      </c>
      <c r="D90" s="122">
        <f>SUM(D78:D89)</f>
        <v>1</v>
      </c>
    </row>
    <row r="91" spans="1:6" ht="15.75" customHeight="1" x14ac:dyDescent="0.25">
      <c r="A91" s="21"/>
      <c r="B91" s="262" t="s">
        <v>310</v>
      </c>
      <c r="C91" s="262"/>
      <c r="D91" s="262"/>
      <c r="E91" s="262"/>
      <c r="F91" s="262"/>
    </row>
    <row r="92" spans="1:6" x14ac:dyDescent="0.25">
      <c r="A92" s="21"/>
      <c r="B92" s="262"/>
      <c r="C92" s="262"/>
      <c r="D92" s="262"/>
      <c r="E92" s="262"/>
      <c r="F92" s="262"/>
    </row>
    <row r="93" spans="1:6" x14ac:dyDescent="0.25">
      <c r="A93" s="21"/>
      <c r="B93" s="262"/>
      <c r="C93" s="262"/>
      <c r="D93" s="262"/>
      <c r="E93" s="262"/>
      <c r="F93" s="262"/>
    </row>
    <row r="94" spans="1:6" x14ac:dyDescent="0.25">
      <c r="A94" s="21"/>
      <c r="B94" s="262"/>
      <c r="C94" s="262"/>
      <c r="D94" s="262"/>
      <c r="E94" s="262"/>
      <c r="F94" s="262"/>
    </row>
    <row r="95" spans="1:6" x14ac:dyDescent="0.25">
      <c r="A95" s="21"/>
      <c r="B95" s="262"/>
      <c r="C95" s="262"/>
      <c r="D95" s="262"/>
      <c r="E95" s="262"/>
      <c r="F95" s="262"/>
    </row>
    <row r="96" spans="1:6" x14ac:dyDescent="0.25"/>
    <row r="97" spans="2:8" x14ac:dyDescent="0.25">
      <c r="B97" s="33" t="s">
        <v>298</v>
      </c>
    </row>
    <row r="98" spans="2:8" x14ac:dyDescent="0.25">
      <c r="B98" s="72" t="s">
        <v>146</v>
      </c>
      <c r="C98" s="72" t="s">
        <v>40</v>
      </c>
      <c r="D98" s="117"/>
    </row>
    <row r="99" spans="2:8" x14ac:dyDescent="0.25">
      <c r="B99" s="73" t="s">
        <v>27</v>
      </c>
      <c r="C99" s="94">
        <v>0</v>
      </c>
      <c r="D99" s="116"/>
    </row>
    <row r="100" spans="2:8" x14ac:dyDescent="0.25">
      <c r="B100" s="73" t="s">
        <v>7</v>
      </c>
      <c r="C100" s="94">
        <v>0</v>
      </c>
      <c r="D100" s="116"/>
      <c r="E100" s="36" t="s">
        <v>311</v>
      </c>
    </row>
    <row r="101" spans="2:8" x14ac:dyDescent="0.25">
      <c r="B101" s="73" t="s">
        <v>31</v>
      </c>
      <c r="C101" s="94">
        <f>1-SUM(C99:C100,C102:C110)</f>
        <v>0.24</v>
      </c>
      <c r="D101" s="116"/>
      <c r="E101" s="72" t="s">
        <v>136</v>
      </c>
      <c r="F101" s="72" t="s">
        <v>193</v>
      </c>
      <c r="G101" s="72" t="s">
        <v>135</v>
      </c>
      <c r="H101" s="72" t="s">
        <v>314</v>
      </c>
    </row>
    <row r="102" spans="2:8" x14ac:dyDescent="0.25">
      <c r="B102" s="73" t="s">
        <v>140</v>
      </c>
      <c r="C102" s="94">
        <v>0</v>
      </c>
      <c r="D102" s="116"/>
      <c r="E102" s="73" t="s">
        <v>192</v>
      </c>
      <c r="F102" s="113">
        <f>1148+544+405+537+910</f>
        <v>3544</v>
      </c>
      <c r="G102" s="32" t="s">
        <v>145</v>
      </c>
      <c r="H102" s="32"/>
    </row>
    <row r="103" spans="2:8" x14ac:dyDescent="0.25">
      <c r="B103" s="73" t="s">
        <v>10</v>
      </c>
      <c r="C103" s="94">
        <v>0</v>
      </c>
      <c r="D103" s="116"/>
      <c r="E103" s="73" t="s">
        <v>6</v>
      </c>
      <c r="F103" s="113">
        <v>5640</v>
      </c>
      <c r="G103" s="32" t="s">
        <v>194</v>
      </c>
      <c r="H103" s="111" t="s">
        <v>312</v>
      </c>
    </row>
    <row r="104" spans="2:8" x14ac:dyDescent="0.25">
      <c r="B104" s="73" t="s">
        <v>5</v>
      </c>
      <c r="C104" s="94">
        <v>0.15</v>
      </c>
      <c r="D104" s="116"/>
      <c r="E104" s="73" t="s">
        <v>195</v>
      </c>
      <c r="F104" s="113">
        <v>59750</v>
      </c>
      <c r="G104" s="32" t="s">
        <v>196</v>
      </c>
      <c r="H104" s="111" t="s">
        <v>313</v>
      </c>
    </row>
    <row r="105" spans="2:8" x14ac:dyDescent="0.25">
      <c r="B105" s="73" t="s">
        <v>28</v>
      </c>
      <c r="C105" s="94">
        <v>0.35</v>
      </c>
      <c r="D105" s="116"/>
      <c r="E105" s="17" t="s">
        <v>315</v>
      </c>
    </row>
    <row r="106" spans="2:8" x14ac:dyDescent="0.25">
      <c r="B106" s="73" t="s">
        <v>49</v>
      </c>
      <c r="C106" s="94">
        <v>0</v>
      </c>
      <c r="D106" s="116"/>
    </row>
    <row r="107" spans="2:8" x14ac:dyDescent="0.25">
      <c r="B107" s="73" t="s">
        <v>32</v>
      </c>
      <c r="C107" s="94">
        <v>0.2</v>
      </c>
      <c r="D107" s="116"/>
    </row>
    <row r="108" spans="2:8" x14ac:dyDescent="0.25">
      <c r="B108" s="73" t="s">
        <v>6</v>
      </c>
      <c r="C108" s="94">
        <v>0.06</v>
      </c>
      <c r="D108" s="116"/>
    </row>
    <row r="109" spans="2:8" x14ac:dyDescent="0.25">
      <c r="B109" s="73" t="s">
        <v>142</v>
      </c>
      <c r="C109" s="94">
        <v>0</v>
      </c>
      <c r="D109" s="116"/>
    </row>
    <row r="110" spans="2:8" x14ac:dyDescent="0.25">
      <c r="B110" s="73" t="s">
        <v>143</v>
      </c>
      <c r="C110" s="94">
        <v>0</v>
      </c>
      <c r="D110" s="116"/>
    </row>
    <row r="111" spans="2:8" x14ac:dyDescent="0.25">
      <c r="B111" s="73" t="s">
        <v>80</v>
      </c>
      <c r="C111" s="122">
        <f>SUM(C99:C110)</f>
        <v>1</v>
      </c>
      <c r="D111" s="115"/>
    </row>
    <row r="112" spans="2:8" x14ac:dyDescent="0.25">
      <c r="B112" s="124" t="s">
        <v>307</v>
      </c>
    </row>
    <row r="113" spans="2:6" ht="15.75" customHeight="1" x14ac:dyDescent="0.25">
      <c r="B113" s="263" t="s">
        <v>318</v>
      </c>
      <c r="C113" s="264"/>
      <c r="D113" s="264"/>
      <c r="E113" s="264"/>
      <c r="F113" s="265"/>
    </row>
    <row r="114" spans="2:6" x14ac:dyDescent="0.25">
      <c r="B114" s="266"/>
      <c r="C114" s="267"/>
      <c r="D114" s="267"/>
      <c r="E114" s="267"/>
      <c r="F114" s="268"/>
    </row>
    <row r="115" spans="2:6" x14ac:dyDescent="0.25"/>
    <row r="116" spans="2:6" x14ac:dyDescent="0.25"/>
    <row r="117" spans="2:6" x14ac:dyDescent="0.25"/>
    <row r="118" spans="2:6" x14ac:dyDescent="0.25"/>
    <row r="119" spans="2:6" x14ac:dyDescent="0.25"/>
    <row r="120" spans="2:6" x14ac:dyDescent="0.25"/>
    <row r="121" spans="2:6" x14ac:dyDescent="0.25"/>
    <row r="122" spans="2:6" x14ac:dyDescent="0.25"/>
    <row r="123" spans="2:6" x14ac:dyDescent="0.25"/>
    <row r="124" spans="2:6" x14ac:dyDescent="0.25"/>
    <row r="125" spans="2:6" x14ac:dyDescent="0.25"/>
    <row r="126" spans="2:6" x14ac:dyDescent="0.25"/>
    <row r="127" spans="2:6" x14ac:dyDescent="0.25"/>
    <row r="128" spans="2:6" x14ac:dyDescent="0.25"/>
    <row r="129" x14ac:dyDescent="0.25"/>
    <row r="130" x14ac:dyDescent="0.25"/>
    <row r="131" x14ac:dyDescent="0.25"/>
    <row r="132" x14ac:dyDescent="0.25"/>
    <row r="133" x14ac:dyDescent="0.25"/>
  </sheetData>
  <mergeCells count="4">
    <mergeCell ref="B47:F51"/>
    <mergeCell ref="B69:F73"/>
    <mergeCell ref="B91:F95"/>
    <mergeCell ref="B113:F11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40"/>
  <sheetViews>
    <sheetView workbookViewId="0"/>
  </sheetViews>
  <sheetFormatPr defaultRowHeight="15" x14ac:dyDescent="0.25"/>
  <cols>
    <col min="1" max="3" width="9.140625" style="1"/>
    <col min="4" max="4" width="12" style="1" bestFit="1" customWidth="1"/>
    <col min="5" max="7" width="9.140625" style="1"/>
  </cols>
  <sheetData>
    <row r="1" spans="1:7" x14ac:dyDescent="0.25">
      <c r="A1" s="4" t="s">
        <v>240</v>
      </c>
      <c r="B1"/>
      <c r="C1"/>
      <c r="D1"/>
      <c r="E1"/>
      <c r="F1"/>
      <c r="G1"/>
    </row>
    <row r="2" spans="1:7" x14ac:dyDescent="0.25">
      <c r="A2" s="7" t="s">
        <v>229</v>
      </c>
      <c r="B2" s="7" t="s">
        <v>227</v>
      </c>
      <c r="C2" s="7" t="s">
        <v>78</v>
      </c>
      <c r="D2" s="7" t="s">
        <v>138</v>
      </c>
      <c r="E2" s="7" t="s">
        <v>226</v>
      </c>
      <c r="F2" s="7" t="s">
        <v>228</v>
      </c>
      <c r="G2" s="8" t="s">
        <v>146</v>
      </c>
    </row>
    <row r="3" spans="1:7" x14ac:dyDescent="0.25">
      <c r="A3" s="1">
        <v>1</v>
      </c>
      <c r="B3" s="1" t="s">
        <v>225</v>
      </c>
      <c r="C3" s="1" t="s">
        <v>27</v>
      </c>
      <c r="D3" s="5">
        <v>0</v>
      </c>
      <c r="E3" s="1" t="str">
        <f t="shared" ref="E3:E47" si="0">CONCATENATE(B3,"_",C3)</f>
        <v>IEA_2013_Coal</v>
      </c>
      <c r="F3" s="1" t="str">
        <f t="shared" ref="F3:F47" si="1">CONCATENATE("if(grid_select=",A3,";",D3,";0)")</f>
        <v>if(grid_select=1;0;0)</v>
      </c>
      <c r="G3" s="1" t="str">
        <f t="shared" ref="G3:G47" si="2">CONCATENATE("Portion of ", B3," grid mix generated using ",C3, " fuel")</f>
        <v>Portion of IEA_2013 grid mix generated using Coal fuel</v>
      </c>
    </row>
    <row r="4" spans="1:7" x14ac:dyDescent="0.25">
      <c r="A4" s="1">
        <v>1</v>
      </c>
      <c r="B4" s="1" t="s">
        <v>225</v>
      </c>
      <c r="C4" s="1" t="s">
        <v>7</v>
      </c>
      <c r="D4" s="1">
        <v>0.25607955869784788</v>
      </c>
      <c r="E4" s="1" t="str">
        <f t="shared" si="0"/>
        <v>IEA_2013_Oil</v>
      </c>
      <c r="F4" s="1" t="str">
        <f t="shared" si="1"/>
        <v>if(grid_select=1;0.256079558697848;0)</v>
      </c>
      <c r="G4" s="1" t="str">
        <f t="shared" si="2"/>
        <v>Portion of IEA_2013 grid mix generated using Oil fuel</v>
      </c>
    </row>
    <row r="5" spans="1:7" x14ac:dyDescent="0.25">
      <c r="A5" s="1">
        <v>1</v>
      </c>
      <c r="B5" s="1" t="s">
        <v>225</v>
      </c>
      <c r="C5" s="1" t="s">
        <v>31</v>
      </c>
      <c r="D5" s="1">
        <v>0.1040323207210007</v>
      </c>
      <c r="E5" s="1" t="str">
        <f t="shared" si="0"/>
        <v>IEA_2013_Gas</v>
      </c>
      <c r="F5" s="1" t="str">
        <f t="shared" si="1"/>
        <v>if(grid_select=1;0.104032320721001;0)</v>
      </c>
      <c r="G5" s="1" t="str">
        <f t="shared" si="2"/>
        <v>Portion of IEA_2013 grid mix generated using Gas fuel</v>
      </c>
    </row>
    <row r="6" spans="1:7" x14ac:dyDescent="0.25">
      <c r="A6" s="1">
        <v>1</v>
      </c>
      <c r="B6" s="1" t="s">
        <v>225</v>
      </c>
      <c r="C6" s="1" t="s">
        <v>77</v>
      </c>
      <c r="D6" s="1">
        <v>0</v>
      </c>
      <c r="E6" s="1" t="str">
        <f t="shared" si="0"/>
        <v>IEA_2013_Gas, efficient</v>
      </c>
      <c r="F6" s="1" t="str">
        <f t="shared" si="1"/>
        <v>if(grid_select=1;0;0)</v>
      </c>
      <c r="G6" s="1" t="str">
        <f t="shared" si="2"/>
        <v>Portion of IEA_2013 grid mix generated using Gas, efficient fuel</v>
      </c>
    </row>
    <row r="7" spans="1:7" x14ac:dyDescent="0.25">
      <c r="A7" s="1">
        <v>1</v>
      </c>
      <c r="B7" s="1" t="s">
        <v>225</v>
      </c>
      <c r="C7" s="1" t="s">
        <v>5</v>
      </c>
      <c r="D7" s="1">
        <v>0</v>
      </c>
      <c r="E7" s="1" t="str">
        <f t="shared" si="0"/>
        <v>IEA_2013_Nuclear</v>
      </c>
      <c r="F7" s="1" t="str">
        <f t="shared" si="1"/>
        <v>if(grid_select=1;0;0)</v>
      </c>
      <c r="G7" s="1" t="str">
        <f t="shared" si="2"/>
        <v>Portion of IEA_2013 grid mix generated using Nuclear fuel</v>
      </c>
    </row>
    <row r="8" spans="1:7" x14ac:dyDescent="0.25">
      <c r="A8" s="1">
        <v>1</v>
      </c>
      <c r="B8" s="1" t="s">
        <v>225</v>
      </c>
      <c r="C8" s="1" t="s">
        <v>28</v>
      </c>
      <c r="D8" s="1">
        <v>0.63965503845855021</v>
      </c>
      <c r="E8" s="1" t="str">
        <f t="shared" si="0"/>
        <v>IEA_2013_Hydro</v>
      </c>
      <c r="F8" s="1" t="str">
        <f t="shared" si="1"/>
        <v>if(grid_select=1;0.63965503845855;0)</v>
      </c>
      <c r="G8" s="1" t="str">
        <f t="shared" si="2"/>
        <v>Portion of IEA_2013 grid mix generated using Hydro fuel</v>
      </c>
    </row>
    <row r="9" spans="1:7" x14ac:dyDescent="0.25">
      <c r="A9" s="1">
        <v>1</v>
      </c>
      <c r="B9" s="1" t="s">
        <v>225</v>
      </c>
      <c r="C9" s="1" t="s">
        <v>36</v>
      </c>
      <c r="D9" s="1">
        <v>2.3308212260119649E-4</v>
      </c>
      <c r="E9" s="1" t="str">
        <f t="shared" si="0"/>
        <v>IEA_2013_Solar PV</v>
      </c>
      <c r="F9" s="1" t="str">
        <f t="shared" si="1"/>
        <v>if(grid_select=1;0.000233082122601196;0)</v>
      </c>
      <c r="G9" s="1" t="str">
        <f t="shared" si="2"/>
        <v>Portion of IEA_2013 grid mix generated using Solar PV fuel</v>
      </c>
    </row>
    <row r="10" spans="1:7" x14ac:dyDescent="0.25">
      <c r="A10" s="1">
        <v>1</v>
      </c>
      <c r="B10" s="1" t="s">
        <v>225</v>
      </c>
      <c r="C10" s="1" t="s">
        <v>141</v>
      </c>
      <c r="D10" s="1">
        <v>0</v>
      </c>
      <c r="E10" s="1" t="str">
        <f t="shared" si="0"/>
        <v>IEA_2013_Solar Thermal</v>
      </c>
      <c r="F10" s="1" t="str">
        <f t="shared" si="1"/>
        <v>if(grid_select=1;0;0)</v>
      </c>
      <c r="G10" s="1" t="str">
        <f t="shared" si="2"/>
        <v>Portion of IEA_2013 grid mix generated using Solar Thermal fuel</v>
      </c>
    </row>
    <row r="11" spans="1:7" x14ac:dyDescent="0.25">
      <c r="A11" s="1">
        <v>1</v>
      </c>
      <c r="B11" s="1" t="s">
        <v>225</v>
      </c>
      <c r="C11" s="1" t="s">
        <v>6</v>
      </c>
      <c r="D11" s="1">
        <v>0</v>
      </c>
      <c r="E11" s="1" t="str">
        <f t="shared" si="0"/>
        <v>IEA_2013_Wind</v>
      </c>
      <c r="F11" s="1" t="str">
        <f t="shared" si="1"/>
        <v>if(grid_select=1;0;0)</v>
      </c>
      <c r="G11" s="1" t="str">
        <f t="shared" si="2"/>
        <v>Portion of IEA_2013 grid mix generated using Wind fuel</v>
      </c>
    </row>
    <row r="12" spans="1:7" x14ac:dyDescent="0.25">
      <c r="A12" s="3">
        <v>2</v>
      </c>
      <c r="B12" s="3" t="s">
        <v>236</v>
      </c>
      <c r="C12" s="1" t="s">
        <v>27</v>
      </c>
      <c r="D12" s="1">
        <v>0.1674793511792218</v>
      </c>
      <c r="E12" s="1" t="str">
        <f t="shared" si="0"/>
        <v>Thermal_Heavy_Coal</v>
      </c>
      <c r="F12" s="1" t="str">
        <f t="shared" si="1"/>
        <v>if(grid_select=2;0.167479351179222;0)</v>
      </c>
      <c r="G12" s="1" t="str">
        <f t="shared" si="2"/>
        <v>Portion of Thermal_Heavy grid mix generated using Coal fuel</v>
      </c>
    </row>
    <row r="13" spans="1:7" x14ac:dyDescent="0.25">
      <c r="A13" s="3">
        <v>2</v>
      </c>
      <c r="B13" s="3" t="s">
        <v>236</v>
      </c>
      <c r="C13" s="1" t="s">
        <v>7</v>
      </c>
      <c r="D13" s="1">
        <v>0</v>
      </c>
      <c r="E13" s="1" t="str">
        <f t="shared" si="0"/>
        <v>Thermal_Heavy_Oil</v>
      </c>
      <c r="F13" s="1" t="str">
        <f t="shared" si="1"/>
        <v>if(grid_select=2;0;0)</v>
      </c>
      <c r="G13" s="1" t="str">
        <f t="shared" si="2"/>
        <v>Portion of Thermal_Heavy grid mix generated using Oil fuel</v>
      </c>
    </row>
    <row r="14" spans="1:7" x14ac:dyDescent="0.25">
      <c r="A14" s="3">
        <v>2</v>
      </c>
      <c r="B14" s="3" t="s">
        <v>236</v>
      </c>
      <c r="C14" s="1" t="s">
        <v>31</v>
      </c>
      <c r="D14" s="1">
        <v>0.33495870235844361</v>
      </c>
      <c r="E14" s="1" t="str">
        <f t="shared" si="0"/>
        <v>Thermal_Heavy_Gas</v>
      </c>
      <c r="F14" s="1" t="str">
        <f t="shared" si="1"/>
        <v>if(grid_select=2;0.334958702358444;0)</v>
      </c>
      <c r="G14" s="1" t="str">
        <f t="shared" si="2"/>
        <v>Portion of Thermal_Heavy grid mix generated using Gas fuel</v>
      </c>
    </row>
    <row r="15" spans="1:7" x14ac:dyDescent="0.25">
      <c r="A15" s="3">
        <v>2</v>
      </c>
      <c r="B15" s="3" t="s">
        <v>236</v>
      </c>
      <c r="C15" s="1" t="s">
        <v>77</v>
      </c>
      <c r="D15" s="1">
        <v>0</v>
      </c>
      <c r="E15" s="1" t="str">
        <f t="shared" si="0"/>
        <v>Thermal_Heavy_Gas, efficient</v>
      </c>
      <c r="F15" s="1" t="str">
        <f t="shared" si="1"/>
        <v>if(grid_select=2;0;0)</v>
      </c>
      <c r="G15" s="1" t="str">
        <f t="shared" si="2"/>
        <v>Portion of Thermal_Heavy grid mix generated using Gas, efficient fuel</v>
      </c>
    </row>
    <row r="16" spans="1:7" x14ac:dyDescent="0.25">
      <c r="A16" s="3">
        <v>2</v>
      </c>
      <c r="B16" s="3" t="s">
        <v>236</v>
      </c>
      <c r="C16" s="1" t="s">
        <v>5</v>
      </c>
      <c r="D16" s="1">
        <v>0</v>
      </c>
      <c r="E16" s="1" t="str">
        <f t="shared" si="0"/>
        <v>Thermal_Heavy_Nuclear</v>
      </c>
      <c r="F16" s="1" t="str">
        <f t="shared" si="1"/>
        <v>if(grid_select=2;0;0)</v>
      </c>
      <c r="G16" s="1" t="str">
        <f t="shared" si="2"/>
        <v>Portion of Thermal_Heavy grid mix generated using Nuclear fuel</v>
      </c>
    </row>
    <row r="17" spans="1:7" x14ac:dyDescent="0.25">
      <c r="A17" s="3">
        <v>2</v>
      </c>
      <c r="B17" s="3" t="s">
        <v>236</v>
      </c>
      <c r="C17" s="1" t="s">
        <v>28</v>
      </c>
      <c r="D17" s="1">
        <v>0.42790327395760769</v>
      </c>
      <c r="E17" s="1" t="str">
        <f t="shared" si="0"/>
        <v>Thermal_Heavy_Hydro</v>
      </c>
      <c r="F17" s="1" t="str">
        <f t="shared" si="1"/>
        <v>if(grid_select=2;0.427903273957608;0)</v>
      </c>
      <c r="G17" s="1" t="str">
        <f t="shared" si="2"/>
        <v>Portion of Thermal_Heavy grid mix generated using Hydro fuel</v>
      </c>
    </row>
    <row r="18" spans="1:7" x14ac:dyDescent="0.25">
      <c r="A18" s="3">
        <v>2</v>
      </c>
      <c r="B18" s="3" t="s">
        <v>236</v>
      </c>
      <c r="C18" s="1" t="s">
        <v>36</v>
      </c>
      <c r="D18" s="1">
        <v>5.2244004378545129E-2</v>
      </c>
      <c r="E18" s="1" t="str">
        <f t="shared" si="0"/>
        <v>Thermal_Heavy_Solar PV</v>
      </c>
      <c r="F18" s="1" t="str">
        <f t="shared" si="1"/>
        <v>if(grid_select=2;0.0522440043785451;0)</v>
      </c>
      <c r="G18" s="1" t="str">
        <f t="shared" si="2"/>
        <v>Portion of Thermal_Heavy grid mix generated using Solar PV fuel</v>
      </c>
    </row>
    <row r="19" spans="1:7" x14ac:dyDescent="0.25">
      <c r="A19" s="3">
        <v>2</v>
      </c>
      <c r="B19" s="3" t="s">
        <v>236</v>
      </c>
      <c r="C19" s="1" t="s">
        <v>141</v>
      </c>
      <c r="D19" s="1">
        <v>0</v>
      </c>
      <c r="E19" s="1" t="str">
        <f t="shared" si="0"/>
        <v>Thermal_Heavy_Solar Thermal</v>
      </c>
      <c r="F19" s="1" t="str">
        <f t="shared" si="1"/>
        <v>if(grid_select=2;0;0)</v>
      </c>
      <c r="G19" s="1" t="str">
        <f t="shared" si="2"/>
        <v>Portion of Thermal_Heavy grid mix generated using Solar Thermal fuel</v>
      </c>
    </row>
    <row r="20" spans="1:7" x14ac:dyDescent="0.25">
      <c r="A20" s="3">
        <v>2</v>
      </c>
      <c r="B20" s="3" t="s">
        <v>236</v>
      </c>
      <c r="C20" s="1" t="s">
        <v>6</v>
      </c>
      <c r="D20" s="1">
        <v>1.7414668126181709E-2</v>
      </c>
      <c r="E20" s="1" t="str">
        <f t="shared" si="0"/>
        <v>Thermal_Heavy_Wind</v>
      </c>
      <c r="F20" s="1" t="str">
        <f t="shared" si="1"/>
        <v>if(grid_select=2;0.0174146681261817;0)</v>
      </c>
      <c r="G20" s="1" t="str">
        <f t="shared" si="2"/>
        <v>Portion of Thermal_Heavy grid mix generated using Wind fuel</v>
      </c>
    </row>
    <row r="21" spans="1:7" x14ac:dyDescent="0.25">
      <c r="A21" s="3">
        <v>3</v>
      </c>
      <c r="B21" s="3" t="s">
        <v>238</v>
      </c>
      <c r="C21" s="1" t="s">
        <v>27</v>
      </c>
      <c r="D21" s="1">
        <v>0.13450641216820758</v>
      </c>
      <c r="E21" s="1" t="str">
        <f t="shared" si="0"/>
        <v>Renewable_Heavy_Coal</v>
      </c>
      <c r="F21" s="1" t="str">
        <f t="shared" si="1"/>
        <v>if(grid_select=3;0.134506412168208;0)</v>
      </c>
      <c r="G21" s="1" t="str">
        <f t="shared" si="2"/>
        <v>Portion of Renewable_Heavy grid mix generated using Coal fuel</v>
      </c>
    </row>
    <row r="22" spans="1:7" x14ac:dyDescent="0.25">
      <c r="A22" s="3">
        <v>3</v>
      </c>
      <c r="B22" s="3" t="s">
        <v>238</v>
      </c>
      <c r="C22" s="1" t="s">
        <v>7</v>
      </c>
      <c r="D22" s="1">
        <v>0</v>
      </c>
      <c r="E22" s="1" t="str">
        <f t="shared" si="0"/>
        <v>Renewable_Heavy_Oil</v>
      </c>
      <c r="F22" s="1" t="str">
        <f t="shared" si="1"/>
        <v>if(grid_select=3;0;0)</v>
      </c>
      <c r="G22" s="1" t="str">
        <f t="shared" si="2"/>
        <v>Portion of Renewable_Heavy grid mix generated using Oil fuel</v>
      </c>
    </row>
    <row r="23" spans="1:7" x14ac:dyDescent="0.25">
      <c r="A23" s="3">
        <v>3</v>
      </c>
      <c r="B23" s="3" t="s">
        <v>238</v>
      </c>
      <c r="C23" s="1" t="s">
        <v>31</v>
      </c>
      <c r="D23" s="1">
        <v>0.26901282433641516</v>
      </c>
      <c r="E23" s="1" t="str">
        <f t="shared" si="0"/>
        <v>Renewable_Heavy_Gas</v>
      </c>
      <c r="F23" s="1" t="str">
        <f t="shared" si="1"/>
        <v>if(grid_select=3;0.269012824336415;0)</v>
      </c>
      <c r="G23" s="1" t="str">
        <f t="shared" si="2"/>
        <v>Portion of Renewable_Heavy grid mix generated using Gas fuel</v>
      </c>
    </row>
    <row r="24" spans="1:7" x14ac:dyDescent="0.25">
      <c r="A24" s="3">
        <v>3</v>
      </c>
      <c r="B24" s="3" t="s">
        <v>238</v>
      </c>
      <c r="C24" s="1" t="s">
        <v>77</v>
      </c>
      <c r="D24" s="1">
        <v>0</v>
      </c>
      <c r="E24" s="1" t="str">
        <f t="shared" si="0"/>
        <v>Renewable_Heavy_Gas, efficient</v>
      </c>
      <c r="F24" s="1" t="str">
        <f t="shared" si="1"/>
        <v>if(grid_select=3;0;0)</v>
      </c>
      <c r="G24" s="1" t="str">
        <f t="shared" si="2"/>
        <v>Portion of Renewable_Heavy grid mix generated using Gas, efficient fuel</v>
      </c>
    </row>
    <row r="25" spans="1:7" x14ac:dyDescent="0.25">
      <c r="A25" s="3">
        <v>3</v>
      </c>
      <c r="B25" s="3" t="s">
        <v>238</v>
      </c>
      <c r="C25" s="1" t="s">
        <v>5</v>
      </c>
      <c r="D25" s="1">
        <v>0</v>
      </c>
      <c r="E25" s="1" t="str">
        <f t="shared" si="0"/>
        <v>Renewable_Heavy_Nuclear</v>
      </c>
      <c r="F25" s="1" t="str">
        <f t="shared" si="1"/>
        <v>if(grid_select=3;0;0)</v>
      </c>
      <c r="G25" s="1" t="str">
        <f t="shared" si="2"/>
        <v>Portion of Renewable_Heavy grid mix generated using Nuclear fuel</v>
      </c>
    </row>
    <row r="26" spans="1:7" x14ac:dyDescent="0.25">
      <c r="A26" s="3">
        <v>3</v>
      </c>
      <c r="B26" s="3" t="s">
        <v>238</v>
      </c>
      <c r="C26" s="1" t="s">
        <v>28</v>
      </c>
      <c r="D26" s="1">
        <v>0.48712595685455812</v>
      </c>
      <c r="E26" s="1" t="str">
        <f t="shared" si="0"/>
        <v>Renewable_Heavy_Hydro</v>
      </c>
      <c r="F26" s="1" t="str">
        <f t="shared" si="1"/>
        <v>if(grid_select=3;0.487125956854558;0)</v>
      </c>
      <c r="G26" s="1" t="str">
        <f t="shared" si="2"/>
        <v>Portion of Renewable_Heavy grid mix generated using Hydro fuel</v>
      </c>
    </row>
    <row r="27" spans="1:7" x14ac:dyDescent="0.25">
      <c r="A27" s="3">
        <v>3</v>
      </c>
      <c r="B27" s="3" t="s">
        <v>238</v>
      </c>
      <c r="C27" s="1" t="s">
        <v>36</v>
      </c>
      <c r="D27" s="1">
        <v>0</v>
      </c>
      <c r="E27" s="1" t="str">
        <f t="shared" si="0"/>
        <v>Renewable_Heavy_Solar PV</v>
      </c>
      <c r="F27" s="1" t="str">
        <f t="shared" si="1"/>
        <v>if(grid_select=3;0;0)</v>
      </c>
      <c r="G27" s="1" t="str">
        <f t="shared" si="2"/>
        <v>Portion of Renewable_Heavy grid mix generated using Solar PV fuel</v>
      </c>
    </row>
    <row r="28" spans="1:7" x14ac:dyDescent="0.25">
      <c r="A28" s="3">
        <v>3</v>
      </c>
      <c r="B28" s="3" t="s">
        <v>238</v>
      </c>
      <c r="C28" s="1" t="s">
        <v>141</v>
      </c>
      <c r="D28" s="1">
        <v>8.2016104980614374E-2</v>
      </c>
      <c r="E28" s="1" t="str">
        <f t="shared" si="0"/>
        <v>Renewable_Heavy_Solar Thermal</v>
      </c>
      <c r="F28" s="1" t="str">
        <f t="shared" si="1"/>
        <v>if(grid_select=3;0.0820161049806144;0)</v>
      </c>
      <c r="G28" s="1" t="str">
        <f t="shared" si="2"/>
        <v>Portion of Renewable_Heavy grid mix generated using Solar Thermal fuel</v>
      </c>
    </row>
    <row r="29" spans="1:7" x14ac:dyDescent="0.25">
      <c r="A29" s="3">
        <v>3</v>
      </c>
      <c r="B29" s="3" t="s">
        <v>238</v>
      </c>
      <c r="C29" s="1" t="s">
        <v>6</v>
      </c>
      <c r="D29" s="1">
        <v>2.733870166020479E-2</v>
      </c>
      <c r="E29" s="1" t="str">
        <f t="shared" si="0"/>
        <v>Renewable_Heavy_Wind</v>
      </c>
      <c r="F29" s="1" t="str">
        <f t="shared" si="1"/>
        <v>if(grid_select=3;0.0273387016602048;0)</v>
      </c>
      <c r="G29" s="1" t="str">
        <f t="shared" si="2"/>
        <v>Portion of Renewable_Heavy grid mix generated using Wind fuel</v>
      </c>
    </row>
    <row r="30" spans="1:7" x14ac:dyDescent="0.25">
      <c r="A30" s="3">
        <v>4</v>
      </c>
      <c r="B30" s="3" t="s">
        <v>237</v>
      </c>
      <c r="C30" s="1" t="s">
        <v>27</v>
      </c>
      <c r="D30" s="1">
        <v>0</v>
      </c>
      <c r="E30" s="1" t="str">
        <f t="shared" si="0"/>
        <v>Nuclear_Heavy_Coal</v>
      </c>
      <c r="F30" s="1" t="str">
        <f t="shared" si="1"/>
        <v>if(grid_select=4;0;0)</v>
      </c>
      <c r="G30" s="1" t="str">
        <f t="shared" si="2"/>
        <v>Portion of Nuclear_Heavy grid mix generated using Coal fuel</v>
      </c>
    </row>
    <row r="31" spans="1:7" x14ac:dyDescent="0.25">
      <c r="A31" s="3">
        <v>4</v>
      </c>
      <c r="B31" s="3" t="s">
        <v>237</v>
      </c>
      <c r="C31" s="1" t="s">
        <v>7</v>
      </c>
      <c r="D31" s="1">
        <v>0</v>
      </c>
      <c r="E31" s="1" t="str">
        <f t="shared" si="0"/>
        <v>Nuclear_Heavy_Oil</v>
      </c>
      <c r="F31" s="1" t="str">
        <f t="shared" si="1"/>
        <v>if(grid_select=4;0;0)</v>
      </c>
      <c r="G31" s="1" t="str">
        <f t="shared" si="2"/>
        <v>Portion of Nuclear_Heavy grid mix generated using Oil fuel</v>
      </c>
    </row>
    <row r="32" spans="1:7" x14ac:dyDescent="0.25">
      <c r="A32" s="3">
        <v>4</v>
      </c>
      <c r="B32" s="3" t="s">
        <v>237</v>
      </c>
      <c r="C32" s="1" t="s">
        <v>31</v>
      </c>
      <c r="D32" s="1">
        <v>0.44376470588235289</v>
      </c>
      <c r="E32" s="1" t="str">
        <f t="shared" si="0"/>
        <v>Nuclear_Heavy_Gas</v>
      </c>
      <c r="F32" s="1" t="str">
        <f t="shared" si="1"/>
        <v>if(grid_select=4;0.443764705882353;0)</v>
      </c>
      <c r="G32" s="1" t="str">
        <f t="shared" si="2"/>
        <v>Portion of Nuclear_Heavy grid mix generated using Gas fuel</v>
      </c>
    </row>
    <row r="33" spans="1:7" x14ac:dyDescent="0.25">
      <c r="A33" s="3">
        <v>4</v>
      </c>
      <c r="B33" s="3" t="s">
        <v>237</v>
      </c>
      <c r="C33" s="1" t="s">
        <v>77</v>
      </c>
      <c r="D33" s="1">
        <v>0</v>
      </c>
      <c r="E33" s="1" t="str">
        <f t="shared" si="0"/>
        <v>Nuclear_Heavy_Gas, efficient</v>
      </c>
      <c r="F33" s="1" t="str">
        <f t="shared" si="1"/>
        <v>if(grid_select=4;0;0)</v>
      </c>
      <c r="G33" s="1" t="str">
        <f t="shared" si="2"/>
        <v>Portion of Nuclear_Heavy grid mix generated using Gas, efficient fuel</v>
      </c>
    </row>
    <row r="34" spans="1:7" x14ac:dyDescent="0.25">
      <c r="A34" s="3">
        <v>4</v>
      </c>
      <c r="B34" s="3" t="s">
        <v>237</v>
      </c>
      <c r="C34" s="1" t="s">
        <v>5</v>
      </c>
      <c r="D34" s="1">
        <v>0.08</v>
      </c>
      <c r="E34" s="1" t="str">
        <f t="shared" si="0"/>
        <v>Nuclear_Heavy_Nuclear</v>
      </c>
      <c r="F34" s="1" t="str">
        <f t="shared" si="1"/>
        <v>if(grid_select=4;0.08;0)</v>
      </c>
      <c r="G34" s="1" t="str">
        <f t="shared" si="2"/>
        <v>Portion of Nuclear_Heavy grid mix generated using Nuclear fuel</v>
      </c>
    </row>
    <row r="35" spans="1:7" x14ac:dyDescent="0.25">
      <c r="A35" s="3">
        <v>4</v>
      </c>
      <c r="B35" s="3" t="s">
        <v>237</v>
      </c>
      <c r="C35" s="1" t="s">
        <v>28</v>
      </c>
      <c r="D35" s="1">
        <v>0.42211764705882349</v>
      </c>
      <c r="E35" s="1" t="str">
        <f t="shared" si="0"/>
        <v>Nuclear_Heavy_Hydro</v>
      </c>
      <c r="F35" s="1" t="str">
        <f t="shared" si="1"/>
        <v>if(grid_select=4;0.422117647058823;0)</v>
      </c>
      <c r="G35" s="1" t="str">
        <f t="shared" si="2"/>
        <v>Portion of Nuclear_Heavy grid mix generated using Hydro fuel</v>
      </c>
    </row>
    <row r="36" spans="1:7" x14ac:dyDescent="0.25">
      <c r="A36" s="3">
        <v>4</v>
      </c>
      <c r="B36" s="3" t="s">
        <v>237</v>
      </c>
      <c r="C36" s="1" t="s">
        <v>36</v>
      </c>
      <c r="D36" s="1">
        <v>0</v>
      </c>
      <c r="E36" s="1" t="str">
        <f t="shared" si="0"/>
        <v>Nuclear_Heavy_Solar PV</v>
      </c>
      <c r="F36" s="1" t="str">
        <f t="shared" si="1"/>
        <v>if(grid_select=4;0;0)</v>
      </c>
      <c r="G36" s="1" t="str">
        <f t="shared" si="2"/>
        <v>Portion of Nuclear_Heavy grid mix generated using Solar PV fuel</v>
      </c>
    </row>
    <row r="37" spans="1:7" x14ac:dyDescent="0.25">
      <c r="A37" s="3">
        <v>4</v>
      </c>
      <c r="B37" s="3" t="s">
        <v>237</v>
      </c>
      <c r="C37" s="1" t="s">
        <v>141</v>
      </c>
      <c r="D37" s="1">
        <v>3.2470588235294112E-2</v>
      </c>
      <c r="E37" s="1" t="str">
        <f t="shared" si="0"/>
        <v>Nuclear_Heavy_Solar Thermal</v>
      </c>
      <c r="F37" s="1" t="str">
        <f t="shared" si="1"/>
        <v>if(grid_select=4;0.0324705882352941;0)</v>
      </c>
      <c r="G37" s="1" t="str">
        <f t="shared" si="2"/>
        <v>Portion of Nuclear_Heavy grid mix generated using Solar Thermal fuel</v>
      </c>
    </row>
    <row r="38" spans="1:7" x14ac:dyDescent="0.25">
      <c r="A38" s="3">
        <v>4</v>
      </c>
      <c r="B38" s="3" t="s">
        <v>237</v>
      </c>
      <c r="C38" s="1" t="s">
        <v>6</v>
      </c>
      <c r="D38" s="1">
        <v>2.1647058823529412E-2</v>
      </c>
      <c r="E38" s="1" t="str">
        <f t="shared" si="0"/>
        <v>Nuclear_Heavy_Wind</v>
      </c>
      <c r="F38" s="1" t="str">
        <f t="shared" si="1"/>
        <v>if(grid_select=4;0.0216470588235294;0)</v>
      </c>
      <c r="G38" s="1" t="str">
        <f t="shared" si="2"/>
        <v>Portion of Nuclear_Heavy grid mix generated using Wind fuel</v>
      </c>
    </row>
    <row r="39" spans="1:7" x14ac:dyDescent="0.25">
      <c r="A39" s="3">
        <v>5</v>
      </c>
      <c r="B39" s="3" t="s">
        <v>239</v>
      </c>
      <c r="C39" s="1" t="s">
        <v>27</v>
      </c>
      <c r="D39" s="1">
        <v>0</v>
      </c>
      <c r="E39" s="1" t="str">
        <f t="shared" si="0"/>
        <v>LowCarbon_2030_Coal</v>
      </c>
      <c r="F39" s="1" t="str">
        <f t="shared" si="1"/>
        <v>if(grid_select=5;0;0)</v>
      </c>
      <c r="G39" s="1" t="str">
        <f t="shared" si="2"/>
        <v>Portion of LowCarbon_2030 grid mix generated using Coal fuel</v>
      </c>
    </row>
    <row r="40" spans="1:7" x14ac:dyDescent="0.25">
      <c r="A40" s="3">
        <v>5</v>
      </c>
      <c r="B40" s="3" t="s">
        <v>239</v>
      </c>
      <c r="C40" s="1" t="s">
        <v>7</v>
      </c>
      <c r="D40" s="1">
        <v>0</v>
      </c>
      <c r="E40" s="1" t="str">
        <f t="shared" si="0"/>
        <v>LowCarbon_2030_Oil</v>
      </c>
      <c r="F40" s="1" t="str">
        <f t="shared" si="1"/>
        <v>if(grid_select=5;0;0)</v>
      </c>
      <c r="G40" s="1" t="str">
        <f t="shared" si="2"/>
        <v>Portion of LowCarbon_2030 grid mix generated using Oil fuel</v>
      </c>
    </row>
    <row r="41" spans="1:7" x14ac:dyDescent="0.25">
      <c r="A41" s="3">
        <v>5</v>
      </c>
      <c r="B41" s="3" t="s">
        <v>239</v>
      </c>
      <c r="C41" s="1" t="s">
        <v>31</v>
      </c>
      <c r="D41" s="1">
        <v>0.12</v>
      </c>
      <c r="E41" s="1" t="str">
        <f t="shared" si="0"/>
        <v>LowCarbon_2030_Gas</v>
      </c>
      <c r="F41" s="1" t="str">
        <f t="shared" si="1"/>
        <v>if(grid_select=5;0.12;0)</v>
      </c>
      <c r="G41" s="1" t="str">
        <f t="shared" si="2"/>
        <v>Portion of LowCarbon_2030 grid mix generated using Gas fuel</v>
      </c>
    </row>
    <row r="42" spans="1:7" x14ac:dyDescent="0.25">
      <c r="A42" s="3">
        <v>5</v>
      </c>
      <c r="B42" s="3" t="s">
        <v>239</v>
      </c>
      <c r="C42" s="1" t="s">
        <v>77</v>
      </c>
      <c r="D42" s="1">
        <v>0.12</v>
      </c>
      <c r="E42" s="1" t="str">
        <f t="shared" si="0"/>
        <v>LowCarbon_2030_Gas, efficient</v>
      </c>
      <c r="F42" s="1" t="str">
        <f t="shared" si="1"/>
        <v>if(grid_select=5;0.12;0)</v>
      </c>
      <c r="G42" s="1" t="str">
        <f t="shared" si="2"/>
        <v>Portion of LowCarbon_2030 grid mix generated using Gas, efficient fuel</v>
      </c>
    </row>
    <row r="43" spans="1:7" x14ac:dyDescent="0.25">
      <c r="A43" s="3">
        <v>5</v>
      </c>
      <c r="B43" s="3" t="s">
        <v>239</v>
      </c>
      <c r="C43" s="1" t="s">
        <v>5</v>
      </c>
      <c r="D43" s="1">
        <v>0.15</v>
      </c>
      <c r="E43" s="1" t="str">
        <f t="shared" si="0"/>
        <v>LowCarbon_2030_Nuclear</v>
      </c>
      <c r="F43" s="1" t="str">
        <f t="shared" si="1"/>
        <v>if(grid_select=5;0.15;0)</v>
      </c>
      <c r="G43" s="1" t="str">
        <f t="shared" si="2"/>
        <v>Portion of LowCarbon_2030 grid mix generated using Nuclear fuel</v>
      </c>
    </row>
    <row r="44" spans="1:7" x14ac:dyDescent="0.25">
      <c r="A44" s="3">
        <v>5</v>
      </c>
      <c r="B44" s="3" t="s">
        <v>239</v>
      </c>
      <c r="C44" s="1" t="s">
        <v>28</v>
      </c>
      <c r="D44" s="1">
        <v>0.35</v>
      </c>
      <c r="E44" s="1" t="str">
        <f t="shared" si="0"/>
        <v>LowCarbon_2030_Hydro</v>
      </c>
      <c r="F44" s="1" t="str">
        <f t="shared" si="1"/>
        <v>if(grid_select=5;0.35;0)</v>
      </c>
      <c r="G44" s="1" t="str">
        <f t="shared" si="2"/>
        <v>Portion of LowCarbon_2030 grid mix generated using Hydro fuel</v>
      </c>
    </row>
    <row r="45" spans="1:7" x14ac:dyDescent="0.25">
      <c r="A45" s="3">
        <v>5</v>
      </c>
      <c r="B45" s="3" t="s">
        <v>239</v>
      </c>
      <c r="C45" s="1" t="s">
        <v>36</v>
      </c>
      <c r="D45" s="1">
        <v>0.1</v>
      </c>
      <c r="E45" s="1" t="str">
        <f t="shared" si="0"/>
        <v>LowCarbon_2030_Solar PV</v>
      </c>
      <c r="F45" s="1" t="str">
        <f t="shared" si="1"/>
        <v>if(grid_select=5;0.1;0)</v>
      </c>
      <c r="G45" s="1" t="str">
        <f t="shared" si="2"/>
        <v>Portion of LowCarbon_2030 grid mix generated using Solar PV fuel</v>
      </c>
    </row>
    <row r="46" spans="1:7" x14ac:dyDescent="0.25">
      <c r="A46" s="3">
        <v>5</v>
      </c>
      <c r="B46" s="3" t="s">
        <v>239</v>
      </c>
      <c r="C46" s="1" t="s">
        <v>141</v>
      </c>
      <c r="D46" s="1">
        <v>0.1</v>
      </c>
      <c r="E46" s="1" t="str">
        <f t="shared" si="0"/>
        <v>LowCarbon_2030_Solar Thermal</v>
      </c>
      <c r="F46" s="1" t="str">
        <f t="shared" si="1"/>
        <v>if(grid_select=5;0.1;0)</v>
      </c>
      <c r="G46" s="1" t="str">
        <f t="shared" si="2"/>
        <v>Portion of LowCarbon_2030 grid mix generated using Solar Thermal fuel</v>
      </c>
    </row>
    <row r="47" spans="1:7" x14ac:dyDescent="0.25">
      <c r="A47" s="3">
        <v>5</v>
      </c>
      <c r="B47" s="3" t="s">
        <v>239</v>
      </c>
      <c r="C47" s="1" t="s">
        <v>6</v>
      </c>
      <c r="D47" s="1">
        <v>0.06</v>
      </c>
      <c r="E47" s="1" t="str">
        <f t="shared" si="0"/>
        <v>LowCarbon_2030_Wind</v>
      </c>
      <c r="F47" s="1" t="str">
        <f t="shared" si="1"/>
        <v>if(grid_select=5;0.06;0)</v>
      </c>
      <c r="G47" s="1" t="str">
        <f t="shared" si="2"/>
        <v>Portion of LowCarbon_2030 grid mix generated using Wind fuel</v>
      </c>
    </row>
    <row r="48" spans="1:7" x14ac:dyDescent="0.25">
      <c r="C48" s="1" t="s">
        <v>27</v>
      </c>
      <c r="E48" s="1" t="s">
        <v>27</v>
      </c>
      <c r="F48" s="6" t="str">
        <f t="shared" ref="F48:F56" si="3">CONCATENATE(E3,"+",E12,"+",E21,"+",E30,"+",E39)</f>
        <v>IEA_2013_Coal+Thermal_Heavy_Coal+Renewable_Heavy_Coal+Nuclear_Heavy_Coal+LowCarbon_2030_Coal</v>
      </c>
      <c r="G48" s="1" t="str">
        <f t="shared" ref="G48:G56" si="4">CONCATENATE("Portion of selected grid mix generated using ",C48)</f>
        <v>Portion of selected grid mix generated using Coal</v>
      </c>
    </row>
    <row r="49" spans="3:7" x14ac:dyDescent="0.25">
      <c r="C49" s="1" t="s">
        <v>7</v>
      </c>
      <c r="E49" s="1" t="s">
        <v>7</v>
      </c>
      <c r="F49" s="6" t="str">
        <f t="shared" si="3"/>
        <v>IEA_2013_Oil+Thermal_Heavy_Oil+Renewable_Heavy_Oil+Nuclear_Heavy_Oil+LowCarbon_2030_Oil</v>
      </c>
      <c r="G49" s="1" t="str">
        <f t="shared" si="4"/>
        <v>Portion of selected grid mix generated using Oil</v>
      </c>
    </row>
    <row r="50" spans="3:7" x14ac:dyDescent="0.25">
      <c r="C50" s="1" t="s">
        <v>31</v>
      </c>
      <c r="E50" s="1" t="s">
        <v>31</v>
      </c>
      <c r="F50" s="6" t="str">
        <f t="shared" si="3"/>
        <v>IEA_2013_Gas+Thermal_Heavy_Gas+Renewable_Heavy_Gas+Nuclear_Heavy_Gas+LowCarbon_2030_Gas</v>
      </c>
      <c r="G50" s="1" t="str">
        <f t="shared" si="4"/>
        <v>Portion of selected grid mix generated using Gas</v>
      </c>
    </row>
    <row r="51" spans="3:7" x14ac:dyDescent="0.25">
      <c r="C51" s="1" t="s">
        <v>77</v>
      </c>
      <c r="E51" s="1" t="s">
        <v>77</v>
      </c>
      <c r="F51" s="6" t="str">
        <f t="shared" si="3"/>
        <v>IEA_2013_Gas, efficient+Thermal_Heavy_Gas, efficient+Renewable_Heavy_Gas, efficient+Nuclear_Heavy_Gas, efficient+LowCarbon_2030_Gas, efficient</v>
      </c>
      <c r="G51" s="1" t="str">
        <f t="shared" si="4"/>
        <v>Portion of selected grid mix generated using Gas, efficient</v>
      </c>
    </row>
    <row r="52" spans="3:7" x14ac:dyDescent="0.25">
      <c r="C52" s="1" t="s">
        <v>5</v>
      </c>
      <c r="E52" s="1" t="s">
        <v>5</v>
      </c>
      <c r="F52" s="6" t="str">
        <f t="shared" si="3"/>
        <v>IEA_2013_Nuclear+Thermal_Heavy_Nuclear+Renewable_Heavy_Nuclear+Nuclear_Heavy_Nuclear+LowCarbon_2030_Nuclear</v>
      </c>
      <c r="G52" s="1" t="str">
        <f t="shared" si="4"/>
        <v>Portion of selected grid mix generated using Nuclear</v>
      </c>
    </row>
    <row r="53" spans="3:7" x14ac:dyDescent="0.25">
      <c r="C53" s="1" t="s">
        <v>28</v>
      </c>
      <c r="E53" s="1" t="s">
        <v>28</v>
      </c>
      <c r="F53" s="6" t="str">
        <f t="shared" si="3"/>
        <v>IEA_2013_Hydro+Thermal_Heavy_Hydro+Renewable_Heavy_Hydro+Nuclear_Heavy_Hydro+LowCarbon_2030_Hydro</v>
      </c>
      <c r="G53" s="1" t="str">
        <f t="shared" si="4"/>
        <v>Portion of selected grid mix generated using Hydro</v>
      </c>
    </row>
    <row r="54" spans="3:7" x14ac:dyDescent="0.25">
      <c r="C54" s="1" t="s">
        <v>36</v>
      </c>
      <c r="E54" s="1" t="s">
        <v>36</v>
      </c>
      <c r="F54" s="6" t="str">
        <f t="shared" si="3"/>
        <v>IEA_2013_Solar PV+Thermal_Heavy_Solar PV+Renewable_Heavy_Solar PV+Nuclear_Heavy_Solar PV+LowCarbon_2030_Solar PV</v>
      </c>
      <c r="G54" s="1" t="str">
        <f t="shared" si="4"/>
        <v>Portion of selected grid mix generated using Solar PV</v>
      </c>
    </row>
    <row r="55" spans="3:7" x14ac:dyDescent="0.25">
      <c r="C55" s="1" t="s">
        <v>141</v>
      </c>
      <c r="E55" s="1" t="s">
        <v>141</v>
      </c>
      <c r="F55" s="6" t="str">
        <f t="shared" si="3"/>
        <v>IEA_2013_Solar Thermal+Thermal_Heavy_Solar Thermal+Renewable_Heavy_Solar Thermal+Nuclear_Heavy_Solar Thermal+LowCarbon_2030_Solar Thermal</v>
      </c>
      <c r="G55" s="1" t="str">
        <f t="shared" si="4"/>
        <v>Portion of selected grid mix generated using Solar Thermal</v>
      </c>
    </row>
    <row r="56" spans="3:7" x14ac:dyDescent="0.25">
      <c r="C56" s="1" t="s">
        <v>6</v>
      </c>
      <c r="E56" s="1" t="s">
        <v>6</v>
      </c>
      <c r="F56" s="6" t="str">
        <f t="shared" si="3"/>
        <v>IEA_2013_Wind+Thermal_Heavy_Wind+Renewable_Heavy_Wind+Nuclear_Heavy_Wind+LowCarbon_2030_Wind</v>
      </c>
      <c r="G56" s="1" t="str">
        <f t="shared" si="4"/>
        <v>Portion of selected grid mix generated using Wind</v>
      </c>
    </row>
    <row r="57" spans="3:7" x14ac:dyDescent="0.25">
      <c r="C57" s="1" t="s">
        <v>27</v>
      </c>
      <c r="E57" s="1" t="str">
        <f t="shared" ref="E57:E65" si="5">C57&amp;"_kWh"</f>
        <v>Coal_kWh</v>
      </c>
      <c r="F57" s="3" t="str">
        <f t="shared" ref="F57:F65" si="6">CONCATENATE(C57,"+",C57,"*Total_Losses")</f>
        <v>Coal+Coal*Total_Losses</v>
      </c>
      <c r="G57" s="1" t="s">
        <v>235</v>
      </c>
    </row>
    <row r="58" spans="3:7" x14ac:dyDescent="0.25">
      <c r="C58" s="1" t="s">
        <v>7</v>
      </c>
      <c r="E58" s="1" t="str">
        <f t="shared" si="5"/>
        <v>Oil_kWh</v>
      </c>
      <c r="F58" s="3" t="str">
        <f t="shared" si="6"/>
        <v>Oil+Oil*Total_Losses</v>
      </c>
      <c r="G58" s="1" t="s">
        <v>235</v>
      </c>
    </row>
    <row r="59" spans="3:7" x14ac:dyDescent="0.25">
      <c r="C59" s="1" t="s">
        <v>31</v>
      </c>
      <c r="E59" s="1" t="str">
        <f t="shared" si="5"/>
        <v>Gas_kWh</v>
      </c>
      <c r="F59" s="3" t="str">
        <f t="shared" si="6"/>
        <v>Gas+Gas*Total_Losses</v>
      </c>
      <c r="G59" s="1" t="s">
        <v>235</v>
      </c>
    </row>
    <row r="60" spans="3:7" x14ac:dyDescent="0.25">
      <c r="C60" s="1" t="s">
        <v>77</v>
      </c>
      <c r="E60" s="1" t="str">
        <f t="shared" si="5"/>
        <v>Gas, efficient_kWh</v>
      </c>
      <c r="F60" s="3" t="str">
        <f t="shared" si="6"/>
        <v>Gas, efficient+Gas, efficient*Total_Losses</v>
      </c>
      <c r="G60" s="1" t="s">
        <v>235</v>
      </c>
    </row>
    <row r="61" spans="3:7" x14ac:dyDescent="0.25">
      <c r="C61" s="1" t="s">
        <v>5</v>
      </c>
      <c r="E61" s="1" t="str">
        <f t="shared" si="5"/>
        <v>Nuclear_kWh</v>
      </c>
      <c r="F61" s="3" t="str">
        <f t="shared" si="6"/>
        <v>Nuclear+Nuclear*Total_Losses</v>
      </c>
      <c r="G61" s="1" t="s">
        <v>235</v>
      </c>
    </row>
    <row r="62" spans="3:7" x14ac:dyDescent="0.25">
      <c r="C62" s="1" t="s">
        <v>28</v>
      </c>
      <c r="E62" s="1" t="str">
        <f t="shared" si="5"/>
        <v>Hydro_kWh</v>
      </c>
      <c r="F62" s="3" t="str">
        <f t="shared" si="6"/>
        <v>Hydro+Hydro*Total_Losses</v>
      </c>
      <c r="G62" s="1" t="s">
        <v>235</v>
      </c>
    </row>
    <row r="63" spans="3:7" x14ac:dyDescent="0.25">
      <c r="C63" s="1" t="s">
        <v>36</v>
      </c>
      <c r="E63" s="1" t="str">
        <f t="shared" si="5"/>
        <v>Solar PV_kWh</v>
      </c>
      <c r="F63" s="3" t="str">
        <f t="shared" si="6"/>
        <v>Solar PV+Solar PV*Total_Losses</v>
      </c>
      <c r="G63" s="1" t="s">
        <v>235</v>
      </c>
    </row>
    <row r="64" spans="3:7" x14ac:dyDescent="0.25">
      <c r="C64" s="1" t="s">
        <v>141</v>
      </c>
      <c r="E64" s="1" t="str">
        <f t="shared" si="5"/>
        <v>Solar Thermal_kWh</v>
      </c>
      <c r="F64" s="3" t="str">
        <f t="shared" si="6"/>
        <v>Solar Thermal+Solar Thermal*Total_Losses</v>
      </c>
      <c r="G64" s="1" t="s">
        <v>235</v>
      </c>
    </row>
    <row r="65" spans="1:7" x14ac:dyDescent="0.25">
      <c r="C65" s="1" t="s">
        <v>6</v>
      </c>
      <c r="E65" s="1" t="str">
        <f t="shared" si="5"/>
        <v>Wind_kWh</v>
      </c>
      <c r="F65" s="3" t="str">
        <f t="shared" si="6"/>
        <v>Wind+Wind*Total_Losses</v>
      </c>
      <c r="G65" s="1" t="s">
        <v>235</v>
      </c>
    </row>
    <row r="67" spans="1:7" x14ac:dyDescent="0.25">
      <c r="A67" s="2" t="s">
        <v>241</v>
      </c>
    </row>
    <row r="68" spans="1:7" x14ac:dyDescent="0.25">
      <c r="A68" s="7" t="s">
        <v>229</v>
      </c>
      <c r="B68" s="7" t="s">
        <v>227</v>
      </c>
      <c r="C68" s="7" t="s">
        <v>78</v>
      </c>
      <c r="D68" s="7" t="s">
        <v>138</v>
      </c>
      <c r="E68" s="7" t="s">
        <v>226</v>
      </c>
      <c r="F68" s="7" t="s">
        <v>228</v>
      </c>
      <c r="G68" s="8" t="s">
        <v>146</v>
      </c>
    </row>
    <row r="69" spans="1:7" x14ac:dyDescent="0.25">
      <c r="A69" s="1">
        <v>1</v>
      </c>
      <c r="B69" s="1" t="s">
        <v>225</v>
      </c>
      <c r="C69" s="1" t="s">
        <v>27</v>
      </c>
      <c r="D69" s="5">
        <v>0</v>
      </c>
      <c r="E69" s="1" t="str">
        <f t="shared" ref="E69:E100" si="7">CONCATENATE(B69,"_",C69)</f>
        <v>IEA_2013_Coal</v>
      </c>
      <c r="F69" s="1" t="str">
        <f t="shared" ref="F69:F100" si="8">CONCATENATE("if(grid_select=",A69,";",D69,";0)")</f>
        <v>if(grid_select=1;0;0)</v>
      </c>
      <c r="G69" s="1" t="str">
        <f t="shared" ref="G69:G100" si="9">CONCATENATE("Portion of ", B69," grid mix generated using ",C69, " fuel")</f>
        <v>Portion of IEA_2013 grid mix generated using Coal fuel</v>
      </c>
    </row>
    <row r="70" spans="1:7" x14ac:dyDescent="0.25">
      <c r="A70" s="1">
        <v>1</v>
      </c>
      <c r="B70" s="1" t="s">
        <v>225</v>
      </c>
      <c r="C70" s="3" t="s">
        <v>7</v>
      </c>
      <c r="D70" s="5">
        <v>0.30712032447048199</v>
      </c>
      <c r="E70" s="1" t="str">
        <f t="shared" si="7"/>
        <v>IEA_2013_Oil</v>
      </c>
      <c r="F70" s="1" t="str">
        <f t="shared" si="8"/>
        <v>if(grid_select=1;0.307120324470482;0)</v>
      </c>
      <c r="G70" s="1" t="str">
        <f t="shared" si="9"/>
        <v>Portion of IEA_2013 grid mix generated using Oil fuel</v>
      </c>
    </row>
    <row r="71" spans="1:7" x14ac:dyDescent="0.25">
      <c r="A71" s="1">
        <v>1</v>
      </c>
      <c r="B71" s="1" t="s">
        <v>225</v>
      </c>
      <c r="C71" s="1" t="s">
        <v>31</v>
      </c>
      <c r="D71" s="5">
        <v>0</v>
      </c>
      <c r="E71" s="1" t="str">
        <f t="shared" si="7"/>
        <v>IEA_2013_Gas</v>
      </c>
      <c r="F71" s="1" t="str">
        <f t="shared" si="8"/>
        <v>if(grid_select=1;0;0)</v>
      </c>
      <c r="G71" s="1" t="str">
        <f t="shared" si="9"/>
        <v>Portion of IEA_2013 grid mix generated using Gas fuel</v>
      </c>
    </row>
    <row r="72" spans="1:7" x14ac:dyDescent="0.25">
      <c r="A72" s="1">
        <v>1</v>
      </c>
      <c r="B72" s="1" t="s">
        <v>225</v>
      </c>
      <c r="C72" s="1" t="s">
        <v>140</v>
      </c>
      <c r="D72" s="5">
        <v>2.01667417755746E-2</v>
      </c>
      <c r="E72" s="1" t="str">
        <f t="shared" si="7"/>
        <v>IEA_2013_Biofuels</v>
      </c>
      <c r="F72" s="1" t="str">
        <f t="shared" si="8"/>
        <v>if(grid_select=1;0.0201667417755746;0)</v>
      </c>
      <c r="G72" s="1" t="str">
        <f t="shared" si="9"/>
        <v>Portion of IEA_2013 grid mix generated using Biofuels fuel</v>
      </c>
    </row>
    <row r="73" spans="1:7" x14ac:dyDescent="0.25">
      <c r="A73" s="1">
        <v>1</v>
      </c>
      <c r="B73" s="1" t="s">
        <v>225</v>
      </c>
      <c r="C73" s="1" t="s">
        <v>28</v>
      </c>
      <c r="D73" s="5">
        <v>0.444456962595764</v>
      </c>
      <c r="E73" s="1" t="str">
        <f t="shared" si="7"/>
        <v>IEA_2013_Hydro</v>
      </c>
      <c r="F73" s="1" t="str">
        <f t="shared" si="8"/>
        <v>if(grid_select=1;0.444456962595764;0)</v>
      </c>
      <c r="G73" s="1" t="str">
        <f t="shared" si="9"/>
        <v>Portion of IEA_2013 grid mix generated using Hydro fuel</v>
      </c>
    </row>
    <row r="74" spans="1:7" x14ac:dyDescent="0.25">
      <c r="A74" s="1">
        <v>1</v>
      </c>
      <c r="B74" s="1" t="s">
        <v>225</v>
      </c>
      <c r="C74" s="1" t="s">
        <v>49</v>
      </c>
      <c r="D74" s="5">
        <v>0.22611536728255999</v>
      </c>
      <c r="E74" s="1" t="str">
        <f t="shared" si="7"/>
        <v>IEA_2013_Geothermal</v>
      </c>
      <c r="F74" s="1" t="str">
        <f t="shared" si="8"/>
        <v>if(grid_select=1;0.22611536728256;0)</v>
      </c>
      <c r="G74" s="1" t="str">
        <f t="shared" si="9"/>
        <v>Portion of IEA_2013 grid mix generated using Geothermal fuel</v>
      </c>
    </row>
    <row r="75" spans="1:7" x14ac:dyDescent="0.25">
      <c r="A75" s="1">
        <v>1</v>
      </c>
      <c r="B75" s="1" t="s">
        <v>225</v>
      </c>
      <c r="C75" s="1" t="s">
        <v>32</v>
      </c>
      <c r="D75" s="5">
        <v>1.1266336187471834E-4</v>
      </c>
      <c r="E75" s="1" t="str">
        <f t="shared" si="7"/>
        <v>IEA_2013_Solar</v>
      </c>
      <c r="F75" s="1" t="str">
        <f t="shared" si="8"/>
        <v>if(grid_select=1;0.000112663361874718;0)</v>
      </c>
      <c r="G75" s="1" t="str">
        <f t="shared" si="9"/>
        <v>Portion of IEA_2013 grid mix generated using Solar fuel</v>
      </c>
    </row>
    <row r="76" spans="1:7" x14ac:dyDescent="0.25">
      <c r="A76" s="1">
        <v>1</v>
      </c>
      <c r="B76" s="1" t="s">
        <v>225</v>
      </c>
      <c r="C76" s="1" t="s">
        <v>6</v>
      </c>
      <c r="D76" s="5">
        <v>2.0279405137449301E-3</v>
      </c>
      <c r="E76" s="1" t="str">
        <f t="shared" si="7"/>
        <v>IEA_2013_Wind</v>
      </c>
      <c r="F76" s="1" t="str">
        <f t="shared" si="8"/>
        <v>if(grid_select=1;0.00202794051374493;0)</v>
      </c>
      <c r="G76" s="1" t="str">
        <f t="shared" si="9"/>
        <v>Portion of IEA_2013 grid mix generated using Wind fuel</v>
      </c>
    </row>
    <row r="77" spans="1:7" x14ac:dyDescent="0.25">
      <c r="A77" s="1">
        <v>1</v>
      </c>
      <c r="B77" s="1" t="s">
        <v>225</v>
      </c>
      <c r="C77" s="1" t="s">
        <v>5</v>
      </c>
      <c r="D77" s="5">
        <v>0</v>
      </c>
      <c r="E77" s="1" t="str">
        <f t="shared" si="7"/>
        <v>IEA_2013_Nuclear</v>
      </c>
      <c r="F77" s="1" t="str">
        <f t="shared" si="8"/>
        <v>if(grid_select=1;0;0)</v>
      </c>
      <c r="G77" s="1" t="str">
        <f t="shared" si="9"/>
        <v>Portion of IEA_2013 grid mix generated using Nuclear fuel</v>
      </c>
    </row>
    <row r="78" spans="1:7" x14ac:dyDescent="0.25">
      <c r="A78" s="3">
        <v>2</v>
      </c>
      <c r="B78" s="3" t="s">
        <v>230</v>
      </c>
      <c r="C78" s="1" t="s">
        <v>27</v>
      </c>
      <c r="D78" s="1">
        <v>9.257116408238833E-2</v>
      </c>
      <c r="E78" s="3" t="str">
        <f t="shared" si="7"/>
        <v>ROK_LowDemand_Coal</v>
      </c>
      <c r="F78" s="1" t="str">
        <f t="shared" si="8"/>
        <v>if(grid_select=2;0.0925711640823883;0)</v>
      </c>
      <c r="G78" s="1" t="str">
        <f t="shared" si="9"/>
        <v>Portion of ROK_LowDemand grid mix generated using Coal fuel</v>
      </c>
    </row>
    <row r="79" spans="1:7" x14ac:dyDescent="0.25">
      <c r="A79" s="3">
        <v>2</v>
      </c>
      <c r="B79" s="3" t="s">
        <v>230</v>
      </c>
      <c r="C79" s="1" t="s">
        <v>7</v>
      </c>
      <c r="D79" s="1">
        <v>8.7402607421121659E-2</v>
      </c>
      <c r="E79" s="3" t="str">
        <f t="shared" si="7"/>
        <v>ROK_LowDemand_Oil</v>
      </c>
      <c r="F79" s="1" t="str">
        <f t="shared" si="8"/>
        <v>if(grid_select=2;0.0874026074211217;0)</v>
      </c>
      <c r="G79" s="1" t="str">
        <f t="shared" si="9"/>
        <v>Portion of ROK_LowDemand grid mix generated using Oil fuel</v>
      </c>
    </row>
    <row r="80" spans="1:7" x14ac:dyDescent="0.25">
      <c r="A80" s="3">
        <v>2</v>
      </c>
      <c r="B80" s="3" t="s">
        <v>230</v>
      </c>
      <c r="C80" s="1" t="s">
        <v>31</v>
      </c>
      <c r="D80" s="1">
        <v>0.13160533827046209</v>
      </c>
      <c r="E80" s="3" t="str">
        <f t="shared" si="7"/>
        <v>ROK_LowDemand_Gas</v>
      </c>
      <c r="F80" s="1" t="str">
        <f t="shared" si="8"/>
        <v>if(grid_select=2;0.131605338270462;0)</v>
      </c>
      <c r="G80" s="1" t="str">
        <f t="shared" si="9"/>
        <v>Portion of ROK_LowDemand grid mix generated using Gas fuel</v>
      </c>
    </row>
    <row r="81" spans="1:7" x14ac:dyDescent="0.25">
      <c r="A81" s="3">
        <v>2</v>
      </c>
      <c r="B81" s="3" t="s">
        <v>230</v>
      </c>
      <c r="C81" s="1" t="s">
        <v>140</v>
      </c>
      <c r="D81" s="1">
        <v>0</v>
      </c>
      <c r="E81" s="3" t="str">
        <f t="shared" si="7"/>
        <v>ROK_LowDemand_Biofuels</v>
      </c>
      <c r="F81" s="1" t="str">
        <f t="shared" si="8"/>
        <v>if(grid_select=2;0;0)</v>
      </c>
      <c r="G81" s="1" t="str">
        <f t="shared" si="9"/>
        <v>Portion of ROK_LowDemand grid mix generated using Biofuels fuel</v>
      </c>
    </row>
    <row r="82" spans="1:7" x14ac:dyDescent="0.25">
      <c r="A82" s="3">
        <v>2</v>
      </c>
      <c r="B82" s="3" t="s">
        <v>230</v>
      </c>
      <c r="C82" s="1" t="s">
        <v>28</v>
      </c>
      <c r="D82" s="1">
        <v>7.2591221167939521E-2</v>
      </c>
      <c r="E82" s="3" t="str">
        <f t="shared" si="7"/>
        <v>ROK_LowDemand_Hydro</v>
      </c>
      <c r="F82" s="1" t="str">
        <f t="shared" si="8"/>
        <v>if(grid_select=2;0.0725912211679395;0)</v>
      </c>
      <c r="G82" s="1" t="str">
        <f t="shared" si="9"/>
        <v>Portion of ROK_LowDemand grid mix generated using Hydro fuel</v>
      </c>
    </row>
    <row r="83" spans="1:7" x14ac:dyDescent="0.25">
      <c r="A83" s="3">
        <v>2</v>
      </c>
      <c r="B83" s="3" t="s">
        <v>230</v>
      </c>
      <c r="C83" s="1" t="s">
        <v>49</v>
      </c>
      <c r="D83" s="1">
        <v>0.30687340893311732</v>
      </c>
      <c r="E83" s="3" t="str">
        <f t="shared" si="7"/>
        <v>ROK_LowDemand_Geothermal</v>
      </c>
      <c r="F83" s="1" t="str">
        <f t="shared" si="8"/>
        <v>if(grid_select=2;0.306873408933117;0)</v>
      </c>
      <c r="G83" s="1" t="str">
        <f t="shared" si="9"/>
        <v>Portion of ROK_LowDemand grid mix generated using Geothermal fuel</v>
      </c>
    </row>
    <row r="84" spans="1:7" x14ac:dyDescent="0.25">
      <c r="A84" s="3">
        <v>2</v>
      </c>
      <c r="B84" s="3" t="s">
        <v>230</v>
      </c>
      <c r="C84" s="1" t="s">
        <v>32</v>
      </c>
      <c r="D84" s="1">
        <v>0</v>
      </c>
      <c r="E84" s="3" t="str">
        <f t="shared" si="7"/>
        <v>ROK_LowDemand_Solar</v>
      </c>
      <c r="F84" s="1" t="str">
        <f t="shared" si="8"/>
        <v>if(grid_select=2;0;0)</v>
      </c>
      <c r="G84" s="1" t="str">
        <f t="shared" si="9"/>
        <v>Portion of ROK_LowDemand grid mix generated using Solar fuel</v>
      </c>
    </row>
    <row r="85" spans="1:7" x14ac:dyDescent="0.25">
      <c r="A85" s="3">
        <v>2</v>
      </c>
      <c r="B85" s="3" t="s">
        <v>230</v>
      </c>
      <c r="C85" s="1" t="s">
        <v>6</v>
      </c>
      <c r="D85" s="1">
        <v>7.752834991900022E-2</v>
      </c>
      <c r="E85" s="3" t="str">
        <f t="shared" si="7"/>
        <v>ROK_LowDemand_Wind</v>
      </c>
      <c r="F85" s="1" t="str">
        <f t="shared" si="8"/>
        <v>if(grid_select=2;0.0775283499190002;0)</v>
      </c>
      <c r="G85" s="1" t="str">
        <f t="shared" si="9"/>
        <v>Portion of ROK_LowDemand grid mix generated using Wind fuel</v>
      </c>
    </row>
    <row r="86" spans="1:7" x14ac:dyDescent="0.25">
      <c r="A86" s="3">
        <v>2</v>
      </c>
      <c r="B86" s="3" t="s">
        <v>230</v>
      </c>
      <c r="C86" s="1" t="s">
        <v>5</v>
      </c>
      <c r="D86" s="1">
        <v>0.23142791020597084</v>
      </c>
      <c r="E86" s="3" t="str">
        <f t="shared" si="7"/>
        <v>ROK_LowDemand_Nuclear</v>
      </c>
      <c r="F86" s="1" t="str">
        <f t="shared" si="8"/>
        <v>if(grid_select=2;0.231427910205971;0)</v>
      </c>
      <c r="G86" s="1" t="str">
        <f t="shared" si="9"/>
        <v>Portion of ROK_LowDemand grid mix generated using Nuclear fuel</v>
      </c>
    </row>
    <row r="87" spans="1:7" x14ac:dyDescent="0.25">
      <c r="A87" s="3">
        <v>3</v>
      </c>
      <c r="B87" s="3" t="s">
        <v>231</v>
      </c>
      <c r="C87" s="1" t="s">
        <v>27</v>
      </c>
      <c r="D87" s="1">
        <v>0.14130434782608695</v>
      </c>
      <c r="E87" s="3" t="str">
        <f t="shared" si="7"/>
        <v>ROK_LeastCost_Coal</v>
      </c>
      <c r="F87" s="1" t="str">
        <f t="shared" si="8"/>
        <v>if(grid_select=3;0.141304347826087;0)</v>
      </c>
      <c r="G87" s="1" t="str">
        <f t="shared" si="9"/>
        <v>Portion of ROK_LeastCost grid mix generated using Coal fuel</v>
      </c>
    </row>
    <row r="88" spans="1:7" x14ac:dyDescent="0.25">
      <c r="A88" s="3">
        <v>3</v>
      </c>
      <c r="B88" s="3" t="s">
        <v>231</v>
      </c>
      <c r="C88" s="1" t="s">
        <v>7</v>
      </c>
      <c r="D88" s="1">
        <v>9.7826086956521729E-2</v>
      </c>
      <c r="E88" s="3" t="str">
        <f t="shared" si="7"/>
        <v>ROK_LeastCost_Oil</v>
      </c>
      <c r="F88" s="1" t="str">
        <f t="shared" si="8"/>
        <v>if(grid_select=3;0.0978260869565217;0)</v>
      </c>
      <c r="G88" s="1" t="str">
        <f t="shared" si="9"/>
        <v>Portion of ROK_LeastCost grid mix generated using Oil fuel</v>
      </c>
    </row>
    <row r="89" spans="1:7" x14ac:dyDescent="0.25">
      <c r="A89" s="3">
        <v>3</v>
      </c>
      <c r="B89" s="3" t="s">
        <v>231</v>
      </c>
      <c r="C89" s="1" t="s">
        <v>31</v>
      </c>
      <c r="D89" s="1">
        <v>0.11956521739130434</v>
      </c>
      <c r="E89" s="3" t="str">
        <f t="shared" si="7"/>
        <v>ROK_LeastCost_Gas</v>
      </c>
      <c r="F89" s="1" t="str">
        <f t="shared" si="8"/>
        <v>if(grid_select=3;0.119565217391304;0)</v>
      </c>
      <c r="G89" s="1" t="str">
        <f t="shared" si="9"/>
        <v>Portion of ROK_LeastCost grid mix generated using Gas fuel</v>
      </c>
    </row>
    <row r="90" spans="1:7" x14ac:dyDescent="0.25">
      <c r="A90" s="3">
        <v>3</v>
      </c>
      <c r="B90" s="3" t="s">
        <v>231</v>
      </c>
      <c r="C90" s="1" t="s">
        <v>140</v>
      </c>
      <c r="D90" s="1">
        <v>0</v>
      </c>
      <c r="E90" s="3" t="str">
        <f t="shared" si="7"/>
        <v>ROK_LeastCost_Biofuels</v>
      </c>
      <c r="F90" s="1" t="str">
        <f t="shared" si="8"/>
        <v>if(grid_select=3;0;0)</v>
      </c>
      <c r="G90" s="1" t="str">
        <f t="shared" si="9"/>
        <v>Portion of ROK_LeastCost grid mix generated using Biofuels fuel</v>
      </c>
    </row>
    <row r="91" spans="1:7" x14ac:dyDescent="0.25">
      <c r="A91" s="3">
        <v>3</v>
      </c>
      <c r="B91" s="3" t="s">
        <v>231</v>
      </c>
      <c r="C91" s="1" t="s">
        <v>28</v>
      </c>
      <c r="D91" s="1">
        <v>5.434782608695652E-2</v>
      </c>
      <c r="E91" s="3" t="str">
        <f t="shared" si="7"/>
        <v>ROK_LeastCost_Hydro</v>
      </c>
      <c r="F91" s="1" t="str">
        <f t="shared" si="8"/>
        <v>if(grid_select=3;0.0543478260869565;0)</v>
      </c>
      <c r="G91" s="1" t="str">
        <f t="shared" si="9"/>
        <v>Portion of ROK_LeastCost grid mix generated using Hydro fuel</v>
      </c>
    </row>
    <row r="92" spans="1:7" x14ac:dyDescent="0.25">
      <c r="A92" s="3">
        <v>3</v>
      </c>
      <c r="B92" s="3" t="s">
        <v>231</v>
      </c>
      <c r="C92" s="1" t="s">
        <v>49</v>
      </c>
      <c r="D92" s="1">
        <v>0.28260869565217389</v>
      </c>
      <c r="E92" s="3" t="str">
        <f t="shared" si="7"/>
        <v>ROK_LeastCost_Geothermal</v>
      </c>
      <c r="F92" s="1" t="str">
        <f t="shared" si="8"/>
        <v>if(grid_select=3;0.282608695652174;0)</v>
      </c>
      <c r="G92" s="1" t="str">
        <f t="shared" si="9"/>
        <v>Portion of ROK_LeastCost grid mix generated using Geothermal fuel</v>
      </c>
    </row>
    <row r="93" spans="1:7" x14ac:dyDescent="0.25">
      <c r="A93" s="3">
        <v>3</v>
      </c>
      <c r="B93" s="3" t="s">
        <v>231</v>
      </c>
      <c r="C93" s="1" t="s">
        <v>32</v>
      </c>
      <c r="D93" s="1">
        <v>0</v>
      </c>
      <c r="E93" s="3" t="str">
        <f t="shared" si="7"/>
        <v>ROK_LeastCost_Solar</v>
      </c>
      <c r="F93" s="1" t="str">
        <f t="shared" si="8"/>
        <v>if(grid_select=3;0;0)</v>
      </c>
      <c r="G93" s="1" t="str">
        <f t="shared" si="9"/>
        <v>Portion of ROK_LeastCost grid mix generated using Solar fuel</v>
      </c>
    </row>
    <row r="94" spans="1:7" x14ac:dyDescent="0.25">
      <c r="A94" s="3">
        <v>3</v>
      </c>
      <c r="B94" s="3" t="s">
        <v>231</v>
      </c>
      <c r="C94" s="1" t="s">
        <v>6</v>
      </c>
      <c r="D94" s="1">
        <v>9.7826086956521729E-2</v>
      </c>
      <c r="E94" s="3" t="str">
        <f t="shared" si="7"/>
        <v>ROK_LeastCost_Wind</v>
      </c>
      <c r="F94" s="1" t="str">
        <f t="shared" si="8"/>
        <v>if(grid_select=3;0.0978260869565217;0)</v>
      </c>
      <c r="G94" s="1" t="str">
        <f t="shared" si="9"/>
        <v>Portion of ROK_LeastCost grid mix generated using Wind fuel</v>
      </c>
    </row>
    <row r="95" spans="1:7" x14ac:dyDescent="0.25">
      <c r="A95" s="3">
        <v>3</v>
      </c>
      <c r="B95" s="3" t="s">
        <v>231</v>
      </c>
      <c r="C95" s="1" t="s">
        <v>5</v>
      </c>
      <c r="D95" s="1">
        <v>0.20652173913043478</v>
      </c>
      <c r="E95" s="3" t="str">
        <f t="shared" si="7"/>
        <v>ROK_LeastCost_Nuclear</v>
      </c>
      <c r="F95" s="1" t="str">
        <f t="shared" si="8"/>
        <v>if(grid_select=3;0.206521739130435;0)</v>
      </c>
      <c r="G95" s="1" t="str">
        <f t="shared" si="9"/>
        <v>Portion of ROK_LeastCost grid mix generated using Nuclear fuel</v>
      </c>
    </row>
    <row r="96" spans="1:7" x14ac:dyDescent="0.25">
      <c r="A96" s="3">
        <v>4</v>
      </c>
      <c r="B96" s="3" t="s">
        <v>232</v>
      </c>
      <c r="C96" s="1" t="s">
        <v>27</v>
      </c>
      <c r="D96" s="1">
        <v>0.15091127191115583</v>
      </c>
      <c r="E96" s="3" t="str">
        <f t="shared" si="7"/>
        <v>ROK_HighDemand_Coal</v>
      </c>
      <c r="F96" s="1" t="str">
        <f t="shared" si="8"/>
        <v>if(grid_select=4;0.150911271911156;0)</v>
      </c>
      <c r="G96" s="1" t="str">
        <f t="shared" si="9"/>
        <v>Portion of ROK_HighDemand grid mix generated using Coal fuel</v>
      </c>
    </row>
    <row r="97" spans="1:7" x14ac:dyDescent="0.25">
      <c r="A97" s="3">
        <v>4</v>
      </c>
      <c r="B97" s="3" t="s">
        <v>232</v>
      </c>
      <c r="C97" s="3" t="s">
        <v>7</v>
      </c>
      <c r="D97" s="1">
        <v>6.860658592268698E-2</v>
      </c>
      <c r="E97" s="3" t="str">
        <f t="shared" si="7"/>
        <v>ROK_HighDemand_Oil</v>
      </c>
      <c r="F97" s="1" t="str">
        <f t="shared" si="8"/>
        <v>if(grid_select=4;0.068606585922687;0)</v>
      </c>
      <c r="G97" s="1" t="str">
        <f t="shared" si="9"/>
        <v>Portion of ROK_HighDemand grid mix generated using Oil fuel</v>
      </c>
    </row>
    <row r="98" spans="1:7" x14ac:dyDescent="0.25">
      <c r="A98" s="3">
        <v>4</v>
      </c>
      <c r="B98" s="3" t="s">
        <v>232</v>
      </c>
      <c r="C98" s="1" t="s">
        <v>31</v>
      </c>
      <c r="D98" s="1">
        <v>9.3874550168324092E-2</v>
      </c>
      <c r="E98" s="3" t="str">
        <f t="shared" si="7"/>
        <v>ROK_HighDemand_Gas</v>
      </c>
      <c r="F98" s="1" t="str">
        <f t="shared" si="8"/>
        <v>if(grid_select=4;0.0938745501683241;0)</v>
      </c>
      <c r="G98" s="1" t="str">
        <f t="shared" si="9"/>
        <v>Portion of ROK_HighDemand grid mix generated using Gas fuel</v>
      </c>
    </row>
    <row r="99" spans="1:7" x14ac:dyDescent="0.25">
      <c r="A99" s="3">
        <v>4</v>
      </c>
      <c r="B99" s="3" t="s">
        <v>232</v>
      </c>
      <c r="C99" s="1" t="s">
        <v>140</v>
      </c>
      <c r="D99" s="1">
        <v>0</v>
      </c>
      <c r="E99" s="3" t="str">
        <f t="shared" si="7"/>
        <v>ROK_HighDemand_Biofuels</v>
      </c>
      <c r="F99" s="1" t="str">
        <f t="shared" si="8"/>
        <v>if(grid_select=4;0;0)</v>
      </c>
      <c r="G99" s="1" t="str">
        <f t="shared" si="9"/>
        <v>Portion of ROK_HighDemand grid mix generated using Biofuels fuel</v>
      </c>
    </row>
    <row r="100" spans="1:7" x14ac:dyDescent="0.25">
      <c r="A100" s="3">
        <v>4</v>
      </c>
      <c r="B100" s="3" t="s">
        <v>232</v>
      </c>
      <c r="C100" s="1" t="s">
        <v>28</v>
      </c>
      <c r="D100" s="1">
        <v>3.6412181248307078E-2</v>
      </c>
      <c r="E100" s="3" t="str">
        <f t="shared" si="7"/>
        <v>ROK_HighDemand_Hydro</v>
      </c>
      <c r="F100" s="1" t="str">
        <f t="shared" si="8"/>
        <v>if(grid_select=4;0.0364121812483071;0)</v>
      </c>
      <c r="G100" s="1" t="str">
        <f t="shared" si="9"/>
        <v>Portion of ROK_HighDemand grid mix generated using Hydro fuel</v>
      </c>
    </row>
    <row r="101" spans="1:7" x14ac:dyDescent="0.25">
      <c r="A101" s="3">
        <v>4</v>
      </c>
      <c r="B101" s="3" t="s">
        <v>232</v>
      </c>
      <c r="C101" s="1" t="s">
        <v>49</v>
      </c>
      <c r="D101" s="1">
        <v>0.22435475757458498</v>
      </c>
      <c r="E101" s="3" t="str">
        <f t="shared" ref="E101:E122" si="10">CONCATENATE(B101,"_",C101)</f>
        <v>ROK_HighDemand_Geothermal</v>
      </c>
      <c r="F101" s="1" t="str">
        <f t="shared" ref="F101:F122" si="11">CONCATENATE("if(grid_select=",A101,";",D101,";0)")</f>
        <v>if(grid_select=4;0.224354757574585;0)</v>
      </c>
      <c r="G101" s="1" t="str">
        <f t="shared" ref="G101:G122" si="12">CONCATENATE("Portion of ", B101," grid mix generated using ",C101, " fuel")</f>
        <v>Portion of ROK_HighDemand grid mix generated using Geothermal fuel</v>
      </c>
    </row>
    <row r="102" spans="1:7" x14ac:dyDescent="0.25">
      <c r="A102" s="3">
        <v>4</v>
      </c>
      <c r="B102" s="3" t="s">
        <v>232</v>
      </c>
      <c r="C102" s="1" t="s">
        <v>32</v>
      </c>
      <c r="D102" s="1">
        <v>0</v>
      </c>
      <c r="E102" s="3" t="str">
        <f t="shared" si="10"/>
        <v>ROK_HighDemand_Solar</v>
      </c>
      <c r="F102" s="1" t="str">
        <f t="shared" si="11"/>
        <v>if(grid_select=4;0;0)</v>
      </c>
      <c r="G102" s="1" t="str">
        <f t="shared" si="12"/>
        <v>Portion of ROK_HighDemand grid mix generated using Solar fuel</v>
      </c>
    </row>
    <row r="103" spans="1:7" x14ac:dyDescent="0.25">
      <c r="A103" s="3">
        <v>4</v>
      </c>
      <c r="B103" s="3" t="s">
        <v>232</v>
      </c>
      <c r="C103" s="1" t="s">
        <v>6</v>
      </c>
      <c r="D103" s="1">
        <v>7.7583871841504462E-2</v>
      </c>
      <c r="E103" s="3" t="str">
        <f t="shared" si="10"/>
        <v>ROK_HighDemand_Wind</v>
      </c>
      <c r="F103" s="1" t="str">
        <f t="shared" si="11"/>
        <v>if(grid_select=4;0.0775838718415045;0)</v>
      </c>
      <c r="G103" s="1" t="str">
        <f t="shared" si="12"/>
        <v>Portion of ROK_HighDemand grid mix generated using Wind fuel</v>
      </c>
    </row>
    <row r="104" spans="1:7" x14ac:dyDescent="0.25">
      <c r="A104" s="3">
        <v>4</v>
      </c>
      <c r="B104" s="3" t="s">
        <v>232</v>
      </c>
      <c r="C104" s="1" t="s">
        <v>5</v>
      </c>
      <c r="D104" s="1">
        <v>0.34825678133343652</v>
      </c>
      <c r="E104" s="3" t="str">
        <f t="shared" si="10"/>
        <v>ROK_HighDemand_Nuclear</v>
      </c>
      <c r="F104" s="1" t="str">
        <f t="shared" si="11"/>
        <v>if(grid_select=4;0.348256781333437;0)</v>
      </c>
      <c r="G104" s="1" t="str">
        <f t="shared" si="12"/>
        <v>Portion of ROK_HighDemand grid mix generated using Nuclear fuel</v>
      </c>
    </row>
    <row r="105" spans="1:7" x14ac:dyDescent="0.25">
      <c r="A105" s="3">
        <v>5</v>
      </c>
      <c r="B105" s="3" t="s">
        <v>233</v>
      </c>
      <c r="C105" s="1" t="s">
        <v>27</v>
      </c>
      <c r="D105" s="1">
        <v>0</v>
      </c>
      <c r="E105" s="3" t="str">
        <f t="shared" si="10"/>
        <v>McKinsey_2040_Coal</v>
      </c>
      <c r="F105" s="1" t="str">
        <f t="shared" si="11"/>
        <v>if(grid_select=5;0;0)</v>
      </c>
      <c r="G105" s="1" t="str">
        <f t="shared" si="12"/>
        <v>Portion of McKinsey_2040 grid mix generated using Coal fuel</v>
      </c>
    </row>
    <row r="106" spans="1:7" x14ac:dyDescent="0.25">
      <c r="A106" s="3">
        <v>5</v>
      </c>
      <c r="B106" s="3" t="s">
        <v>233</v>
      </c>
      <c r="C106" s="3" t="s">
        <v>7</v>
      </c>
      <c r="D106" s="1">
        <v>0.04</v>
      </c>
      <c r="E106" s="3" t="str">
        <f t="shared" si="10"/>
        <v>McKinsey_2040_Oil</v>
      </c>
      <c r="F106" s="1" t="str">
        <f t="shared" si="11"/>
        <v>if(grid_select=5;0.04;0)</v>
      </c>
      <c r="G106" s="1" t="str">
        <f t="shared" si="12"/>
        <v>Portion of McKinsey_2040 grid mix generated using Oil fuel</v>
      </c>
    </row>
    <row r="107" spans="1:7" x14ac:dyDescent="0.25">
      <c r="A107" s="3">
        <v>5</v>
      </c>
      <c r="B107" s="3" t="s">
        <v>233</v>
      </c>
      <c r="C107" s="1" t="s">
        <v>31</v>
      </c>
      <c r="D107" s="1">
        <v>0.46</v>
      </c>
      <c r="E107" s="3" t="str">
        <f t="shared" si="10"/>
        <v>McKinsey_2040_Gas</v>
      </c>
      <c r="F107" s="1" t="str">
        <f t="shared" si="11"/>
        <v>if(grid_select=5;0.46;0)</v>
      </c>
      <c r="G107" s="1" t="str">
        <f t="shared" si="12"/>
        <v>Portion of McKinsey_2040 grid mix generated using Gas fuel</v>
      </c>
    </row>
    <row r="108" spans="1:7" x14ac:dyDescent="0.25">
      <c r="A108" s="3">
        <v>5</v>
      </c>
      <c r="B108" s="3" t="s">
        <v>233</v>
      </c>
      <c r="C108" s="1" t="s">
        <v>140</v>
      </c>
      <c r="D108" s="1">
        <v>0</v>
      </c>
      <c r="E108" s="3" t="str">
        <f t="shared" si="10"/>
        <v>McKinsey_2040_Biofuels</v>
      </c>
      <c r="F108" s="1" t="str">
        <f t="shared" si="11"/>
        <v>if(grid_select=5;0;0)</v>
      </c>
      <c r="G108" s="1" t="str">
        <f t="shared" si="12"/>
        <v>Portion of McKinsey_2040 grid mix generated using Biofuels fuel</v>
      </c>
    </row>
    <row r="109" spans="1:7" x14ac:dyDescent="0.25">
      <c r="A109" s="3">
        <v>5</v>
      </c>
      <c r="B109" s="3" t="s">
        <v>233</v>
      </c>
      <c r="C109" s="1" t="s">
        <v>28</v>
      </c>
      <c r="D109" s="1">
        <v>0.3</v>
      </c>
      <c r="E109" s="3" t="str">
        <f t="shared" si="10"/>
        <v>McKinsey_2040_Hydro</v>
      </c>
      <c r="F109" s="1" t="str">
        <f t="shared" si="11"/>
        <v>if(grid_select=5;0.3;0)</v>
      </c>
      <c r="G109" s="1" t="str">
        <f t="shared" si="12"/>
        <v>Portion of McKinsey_2040 grid mix generated using Hydro fuel</v>
      </c>
    </row>
    <row r="110" spans="1:7" x14ac:dyDescent="0.25">
      <c r="A110" s="3">
        <v>5</v>
      </c>
      <c r="B110" s="3" t="s">
        <v>233</v>
      </c>
      <c r="C110" s="1" t="s">
        <v>49</v>
      </c>
      <c r="D110" s="1">
        <v>0.09</v>
      </c>
      <c r="E110" s="3" t="str">
        <f t="shared" si="10"/>
        <v>McKinsey_2040_Geothermal</v>
      </c>
      <c r="F110" s="1" t="str">
        <f t="shared" si="11"/>
        <v>if(grid_select=5;0.09;0)</v>
      </c>
      <c r="G110" s="1" t="str">
        <f t="shared" si="12"/>
        <v>Portion of McKinsey_2040 grid mix generated using Geothermal fuel</v>
      </c>
    </row>
    <row r="111" spans="1:7" x14ac:dyDescent="0.25">
      <c r="A111" s="3">
        <v>5</v>
      </c>
      <c r="B111" s="3" t="s">
        <v>233</v>
      </c>
      <c r="C111" s="1" t="s">
        <v>32</v>
      </c>
      <c r="D111" s="1">
        <v>0.11</v>
      </c>
      <c r="E111" s="3" t="str">
        <f t="shared" si="10"/>
        <v>McKinsey_2040_Solar</v>
      </c>
      <c r="F111" s="1" t="str">
        <f t="shared" si="11"/>
        <v>if(grid_select=5;0.11;0)</v>
      </c>
      <c r="G111" s="1" t="str">
        <f t="shared" si="12"/>
        <v>Portion of McKinsey_2040 grid mix generated using Solar fuel</v>
      </c>
    </row>
    <row r="112" spans="1:7" x14ac:dyDescent="0.25">
      <c r="A112" s="3">
        <v>5</v>
      </c>
      <c r="B112" s="3" t="s">
        <v>233</v>
      </c>
      <c r="C112" s="1" t="s">
        <v>6</v>
      </c>
      <c r="D112" s="1">
        <v>0</v>
      </c>
      <c r="E112" s="3" t="str">
        <f t="shared" si="10"/>
        <v>McKinsey_2040_Wind</v>
      </c>
      <c r="F112" s="1" t="str">
        <f t="shared" si="11"/>
        <v>if(grid_select=5;0;0)</v>
      </c>
      <c r="G112" s="1" t="str">
        <f t="shared" si="12"/>
        <v>Portion of McKinsey_2040 grid mix generated using Wind fuel</v>
      </c>
    </row>
    <row r="113" spans="1:7" x14ac:dyDescent="0.25">
      <c r="A113" s="3">
        <v>5</v>
      </c>
      <c r="B113" s="3" t="s">
        <v>233</v>
      </c>
      <c r="C113" s="1" t="s">
        <v>5</v>
      </c>
      <c r="D113" s="1">
        <v>0</v>
      </c>
      <c r="E113" s="3" t="str">
        <f t="shared" si="10"/>
        <v>McKinsey_2040_Nuclear</v>
      </c>
      <c r="F113" s="1" t="str">
        <f t="shared" si="11"/>
        <v>if(grid_select=5;0;0)</v>
      </c>
      <c r="G113" s="1" t="str">
        <f t="shared" si="12"/>
        <v>Portion of McKinsey_2040 grid mix generated using Nuclear fuel</v>
      </c>
    </row>
    <row r="114" spans="1:7" x14ac:dyDescent="0.25">
      <c r="A114" s="3">
        <v>6</v>
      </c>
      <c r="B114" s="3" t="s">
        <v>234</v>
      </c>
      <c r="C114" s="1" t="s">
        <v>27</v>
      </c>
      <c r="D114" s="1">
        <v>0</v>
      </c>
      <c r="E114" s="3" t="str">
        <f t="shared" si="10"/>
        <v>Low_Carbon_2040_Coal</v>
      </c>
      <c r="F114" s="1" t="str">
        <f t="shared" si="11"/>
        <v>if(grid_select=6;0;0)</v>
      </c>
      <c r="G114" s="1" t="str">
        <f t="shared" si="12"/>
        <v>Portion of Low_Carbon_2040 grid mix generated using Coal fuel</v>
      </c>
    </row>
    <row r="115" spans="1:7" x14ac:dyDescent="0.25">
      <c r="A115" s="3">
        <v>6</v>
      </c>
      <c r="B115" s="3" t="s">
        <v>234</v>
      </c>
      <c r="C115" s="3" t="s">
        <v>7</v>
      </c>
      <c r="D115" s="1">
        <v>0</v>
      </c>
      <c r="E115" s="3" t="str">
        <f t="shared" si="10"/>
        <v>Low_Carbon_2040_Oil</v>
      </c>
      <c r="F115" s="1" t="str">
        <f t="shared" si="11"/>
        <v>if(grid_select=6;0;0)</v>
      </c>
      <c r="G115" s="1" t="str">
        <f t="shared" si="12"/>
        <v>Portion of Low_Carbon_2040 grid mix generated using Oil fuel</v>
      </c>
    </row>
    <row r="116" spans="1:7" x14ac:dyDescent="0.25">
      <c r="A116" s="3">
        <v>6</v>
      </c>
      <c r="B116" s="3" t="s">
        <v>234</v>
      </c>
      <c r="C116" s="1" t="s">
        <v>31</v>
      </c>
      <c r="D116" s="1">
        <v>0.18</v>
      </c>
      <c r="E116" s="3" t="str">
        <f t="shared" si="10"/>
        <v>Low_Carbon_2040_Gas</v>
      </c>
      <c r="F116" s="1" t="str">
        <f t="shared" si="11"/>
        <v>if(grid_select=6;0.18;0)</v>
      </c>
      <c r="G116" s="1" t="str">
        <f t="shared" si="12"/>
        <v>Portion of Low_Carbon_2040 grid mix generated using Gas fuel</v>
      </c>
    </row>
    <row r="117" spans="1:7" x14ac:dyDescent="0.25">
      <c r="A117" s="3">
        <v>6</v>
      </c>
      <c r="B117" s="3" t="s">
        <v>234</v>
      </c>
      <c r="C117" s="1" t="s">
        <v>140</v>
      </c>
      <c r="D117" s="1">
        <v>0</v>
      </c>
      <c r="E117" s="3" t="str">
        <f t="shared" si="10"/>
        <v>Low_Carbon_2040_Biofuels</v>
      </c>
      <c r="F117" s="1" t="str">
        <f t="shared" si="11"/>
        <v>if(grid_select=6;0;0)</v>
      </c>
      <c r="G117" s="1" t="str">
        <f t="shared" si="12"/>
        <v>Portion of Low_Carbon_2040 grid mix generated using Biofuels fuel</v>
      </c>
    </row>
    <row r="118" spans="1:7" x14ac:dyDescent="0.25">
      <c r="A118" s="3">
        <v>6</v>
      </c>
      <c r="B118" s="3" t="s">
        <v>234</v>
      </c>
      <c r="C118" s="1" t="s">
        <v>28</v>
      </c>
      <c r="D118" s="1">
        <v>0.3</v>
      </c>
      <c r="E118" s="3" t="str">
        <f t="shared" si="10"/>
        <v>Low_Carbon_2040_Hydro</v>
      </c>
      <c r="F118" s="1" t="str">
        <f t="shared" si="11"/>
        <v>if(grid_select=6;0.3;0)</v>
      </c>
      <c r="G118" s="1" t="str">
        <f t="shared" si="12"/>
        <v>Portion of Low_Carbon_2040 grid mix generated using Hydro fuel</v>
      </c>
    </row>
    <row r="119" spans="1:7" x14ac:dyDescent="0.25">
      <c r="A119" s="3">
        <v>6</v>
      </c>
      <c r="B119" s="3" t="s">
        <v>234</v>
      </c>
      <c r="C119" s="1" t="s">
        <v>49</v>
      </c>
      <c r="D119" s="1">
        <v>0.31</v>
      </c>
      <c r="E119" s="3" t="str">
        <f t="shared" si="10"/>
        <v>Low_Carbon_2040_Geothermal</v>
      </c>
      <c r="F119" s="1" t="str">
        <f t="shared" si="11"/>
        <v>if(grid_select=6;0.31;0)</v>
      </c>
      <c r="G119" s="1" t="str">
        <f t="shared" si="12"/>
        <v>Portion of Low_Carbon_2040 grid mix generated using Geothermal fuel</v>
      </c>
    </row>
    <row r="120" spans="1:7" x14ac:dyDescent="0.25">
      <c r="A120" s="3">
        <v>6</v>
      </c>
      <c r="B120" s="3" t="s">
        <v>234</v>
      </c>
      <c r="C120" s="1" t="s">
        <v>32</v>
      </c>
      <c r="D120" s="1">
        <v>0.11</v>
      </c>
      <c r="E120" s="3" t="str">
        <f t="shared" si="10"/>
        <v>Low_Carbon_2040_Solar</v>
      </c>
      <c r="F120" s="1" t="str">
        <f t="shared" si="11"/>
        <v>if(grid_select=6;0.11;0)</v>
      </c>
      <c r="G120" s="1" t="str">
        <f t="shared" si="12"/>
        <v>Portion of Low_Carbon_2040 grid mix generated using Solar fuel</v>
      </c>
    </row>
    <row r="121" spans="1:7" x14ac:dyDescent="0.25">
      <c r="A121" s="3">
        <v>6</v>
      </c>
      <c r="B121" s="3" t="s">
        <v>234</v>
      </c>
      <c r="C121" s="1" t="s">
        <v>6</v>
      </c>
      <c r="D121" s="1">
        <v>0.1</v>
      </c>
      <c r="E121" s="3" t="str">
        <f t="shared" si="10"/>
        <v>Low_Carbon_2040_Wind</v>
      </c>
      <c r="F121" s="1" t="str">
        <f t="shared" si="11"/>
        <v>if(grid_select=6;0.1;0)</v>
      </c>
      <c r="G121" s="1" t="str">
        <f t="shared" si="12"/>
        <v>Portion of Low_Carbon_2040 grid mix generated using Wind fuel</v>
      </c>
    </row>
    <row r="122" spans="1:7" x14ac:dyDescent="0.25">
      <c r="A122" s="3">
        <v>6</v>
      </c>
      <c r="B122" s="3" t="s">
        <v>234</v>
      </c>
      <c r="C122" s="1" t="s">
        <v>5</v>
      </c>
      <c r="D122" s="1">
        <v>0</v>
      </c>
      <c r="E122" s="3" t="str">
        <f t="shared" si="10"/>
        <v>Low_Carbon_2040_Nuclear</v>
      </c>
      <c r="F122" s="1" t="str">
        <f t="shared" si="11"/>
        <v>if(grid_select=6;0;0)</v>
      </c>
      <c r="G122" s="1" t="str">
        <f t="shared" si="12"/>
        <v>Portion of Low_Carbon_2040 grid mix generated using Nuclear fuel</v>
      </c>
    </row>
    <row r="123" spans="1:7" x14ac:dyDescent="0.25">
      <c r="C123" s="1" t="s">
        <v>27</v>
      </c>
      <c r="E123" s="1" t="s">
        <v>27</v>
      </c>
      <c r="F123" s="3" t="str">
        <f t="shared" ref="F123:F131" si="13">CONCATENATE(E69,"+",E78,"+",E87,"+",E96,"+",E105,"+",E114)</f>
        <v>IEA_2013_Coal+ROK_LowDemand_Coal+ROK_LeastCost_Coal+ROK_HighDemand_Coal+McKinsey_2040_Coal+Low_Carbon_2040_Coal</v>
      </c>
      <c r="G123" s="1" t="str">
        <f t="shared" ref="G123:G131" si="14">CONCATENATE("Portion of selected grid mix generated using ",C123)</f>
        <v>Portion of selected grid mix generated using Coal</v>
      </c>
    </row>
    <row r="124" spans="1:7" x14ac:dyDescent="0.25">
      <c r="C124" s="3" t="s">
        <v>7</v>
      </c>
      <c r="E124" s="3" t="s">
        <v>7</v>
      </c>
      <c r="F124" s="3" t="str">
        <f t="shared" si="13"/>
        <v>IEA_2013_Oil+ROK_LowDemand_Oil+ROK_LeastCost_Oil+ROK_HighDemand_Oil+McKinsey_2040_Oil+Low_Carbon_2040_Oil</v>
      </c>
      <c r="G124" s="1" t="str">
        <f t="shared" si="14"/>
        <v>Portion of selected grid mix generated using Oil</v>
      </c>
    </row>
    <row r="125" spans="1:7" x14ac:dyDescent="0.25">
      <c r="C125" s="1" t="s">
        <v>31</v>
      </c>
      <c r="E125" s="1" t="s">
        <v>31</v>
      </c>
      <c r="F125" s="3" t="str">
        <f t="shared" si="13"/>
        <v>IEA_2013_Gas+ROK_LowDemand_Gas+ROK_LeastCost_Gas+ROK_HighDemand_Gas+McKinsey_2040_Gas+Low_Carbon_2040_Gas</v>
      </c>
      <c r="G125" s="1" t="str">
        <f t="shared" si="14"/>
        <v>Portion of selected grid mix generated using Gas</v>
      </c>
    </row>
    <row r="126" spans="1:7" x14ac:dyDescent="0.25">
      <c r="C126" s="1" t="s">
        <v>140</v>
      </c>
      <c r="E126" s="1" t="s">
        <v>140</v>
      </c>
      <c r="F126" s="3" t="str">
        <f t="shared" si="13"/>
        <v>IEA_2013_Biofuels+ROK_LowDemand_Biofuels+ROK_LeastCost_Biofuels+ROK_HighDemand_Biofuels+McKinsey_2040_Biofuels+Low_Carbon_2040_Biofuels</v>
      </c>
      <c r="G126" s="1" t="str">
        <f t="shared" si="14"/>
        <v>Portion of selected grid mix generated using Biofuels</v>
      </c>
    </row>
    <row r="127" spans="1:7" x14ac:dyDescent="0.25">
      <c r="C127" s="1" t="s">
        <v>28</v>
      </c>
      <c r="E127" s="1" t="s">
        <v>28</v>
      </c>
      <c r="F127" s="3" t="str">
        <f t="shared" si="13"/>
        <v>IEA_2013_Hydro+ROK_LowDemand_Hydro+ROK_LeastCost_Hydro+ROK_HighDemand_Hydro+McKinsey_2040_Hydro+Low_Carbon_2040_Hydro</v>
      </c>
      <c r="G127" s="1" t="str">
        <f t="shared" si="14"/>
        <v>Portion of selected grid mix generated using Hydro</v>
      </c>
    </row>
    <row r="128" spans="1:7" x14ac:dyDescent="0.25">
      <c r="C128" s="1" t="s">
        <v>49</v>
      </c>
      <c r="E128" s="1" t="s">
        <v>49</v>
      </c>
      <c r="F128" s="3" t="str">
        <f t="shared" si="13"/>
        <v>IEA_2013_Geothermal+ROK_LowDemand_Geothermal+ROK_LeastCost_Geothermal+ROK_HighDemand_Geothermal+McKinsey_2040_Geothermal+Low_Carbon_2040_Geothermal</v>
      </c>
      <c r="G128" s="1" t="str">
        <f t="shared" si="14"/>
        <v>Portion of selected grid mix generated using Geothermal</v>
      </c>
    </row>
    <row r="129" spans="3:7" x14ac:dyDescent="0.25">
      <c r="C129" s="1" t="s">
        <v>32</v>
      </c>
      <c r="E129" s="1" t="s">
        <v>32</v>
      </c>
      <c r="F129" s="3" t="str">
        <f t="shared" si="13"/>
        <v>IEA_2013_Solar+ROK_LowDemand_Solar+ROK_LeastCost_Solar+ROK_HighDemand_Solar+McKinsey_2040_Solar+Low_Carbon_2040_Solar</v>
      </c>
      <c r="G129" s="1" t="str">
        <f t="shared" si="14"/>
        <v>Portion of selected grid mix generated using Solar</v>
      </c>
    </row>
    <row r="130" spans="3:7" x14ac:dyDescent="0.25">
      <c r="C130" s="1" t="s">
        <v>6</v>
      </c>
      <c r="E130" s="1" t="s">
        <v>6</v>
      </c>
      <c r="F130" s="3" t="str">
        <f t="shared" si="13"/>
        <v>IEA_2013_Wind+ROK_LowDemand_Wind+ROK_LeastCost_Wind+ROK_HighDemand_Wind+McKinsey_2040_Wind+Low_Carbon_2040_Wind</v>
      </c>
      <c r="G130" s="1" t="str">
        <f t="shared" si="14"/>
        <v>Portion of selected grid mix generated using Wind</v>
      </c>
    </row>
    <row r="131" spans="3:7" x14ac:dyDescent="0.25">
      <c r="C131" s="1" t="s">
        <v>5</v>
      </c>
      <c r="E131" s="1" t="s">
        <v>5</v>
      </c>
      <c r="F131" s="3" t="str">
        <f t="shared" si="13"/>
        <v>IEA_2013_Nuclear+ROK_LowDemand_Nuclear+ROK_LeastCost_Nuclear+ROK_HighDemand_Nuclear+McKinsey_2040_Nuclear+Low_Carbon_2040_Nuclear</v>
      </c>
      <c r="G131" s="1" t="str">
        <f t="shared" si="14"/>
        <v>Portion of selected grid mix generated using Nuclear</v>
      </c>
    </row>
    <row r="132" spans="3:7" x14ac:dyDescent="0.25">
      <c r="C132" s="1" t="s">
        <v>27</v>
      </c>
      <c r="E132" s="1" t="str">
        <f t="shared" ref="E132:E140" si="15">C132&amp;"_kWh"</f>
        <v>Coal_kWh</v>
      </c>
      <c r="F132" s="3" t="str">
        <f t="shared" ref="F132:F140" si="16">CONCATENATE(C132,"+",C132,"*Total_Losses")</f>
        <v>Coal+Coal*Total_Losses</v>
      </c>
      <c r="G132" s="1" t="s">
        <v>235</v>
      </c>
    </row>
    <row r="133" spans="3:7" x14ac:dyDescent="0.25">
      <c r="C133" s="3" t="s">
        <v>7</v>
      </c>
      <c r="E133" s="1" t="str">
        <f t="shared" si="15"/>
        <v>Oil_kWh</v>
      </c>
      <c r="F133" s="3" t="str">
        <f t="shared" si="16"/>
        <v>Oil+Oil*Total_Losses</v>
      </c>
      <c r="G133" s="1" t="s">
        <v>235</v>
      </c>
    </row>
    <row r="134" spans="3:7" x14ac:dyDescent="0.25">
      <c r="C134" s="1" t="s">
        <v>31</v>
      </c>
      <c r="E134" s="1" t="str">
        <f t="shared" si="15"/>
        <v>Gas_kWh</v>
      </c>
      <c r="F134" s="3" t="str">
        <f t="shared" si="16"/>
        <v>Gas+Gas*Total_Losses</v>
      </c>
      <c r="G134" s="1" t="s">
        <v>235</v>
      </c>
    </row>
    <row r="135" spans="3:7" x14ac:dyDescent="0.25">
      <c r="C135" s="1" t="s">
        <v>140</v>
      </c>
      <c r="E135" s="1" t="str">
        <f t="shared" si="15"/>
        <v>Biofuels_kWh</v>
      </c>
      <c r="F135" s="3" t="str">
        <f t="shared" si="16"/>
        <v>Biofuels+Biofuels*Total_Losses</v>
      </c>
      <c r="G135" s="1" t="s">
        <v>235</v>
      </c>
    </row>
    <row r="136" spans="3:7" x14ac:dyDescent="0.25">
      <c r="C136" s="1" t="s">
        <v>28</v>
      </c>
      <c r="E136" s="1" t="str">
        <f t="shared" si="15"/>
        <v>Hydro_kWh</v>
      </c>
      <c r="F136" s="3" t="str">
        <f t="shared" si="16"/>
        <v>Hydro+Hydro*Total_Losses</v>
      </c>
      <c r="G136" s="1" t="s">
        <v>235</v>
      </c>
    </row>
    <row r="137" spans="3:7" x14ac:dyDescent="0.25">
      <c r="C137" s="1" t="s">
        <v>49</v>
      </c>
      <c r="E137" s="1" t="str">
        <f t="shared" si="15"/>
        <v>Geothermal_kWh</v>
      </c>
      <c r="F137" s="3" t="str">
        <f t="shared" si="16"/>
        <v>Geothermal+Geothermal*Total_Losses</v>
      </c>
      <c r="G137" s="1" t="s">
        <v>235</v>
      </c>
    </row>
    <row r="138" spans="3:7" x14ac:dyDescent="0.25">
      <c r="C138" s="1" t="s">
        <v>32</v>
      </c>
      <c r="E138" s="1" t="str">
        <f t="shared" si="15"/>
        <v>Solar_kWh</v>
      </c>
      <c r="F138" s="3" t="str">
        <f t="shared" si="16"/>
        <v>Solar+Solar*Total_Losses</v>
      </c>
      <c r="G138" s="1" t="s">
        <v>235</v>
      </c>
    </row>
    <row r="139" spans="3:7" x14ac:dyDescent="0.25">
      <c r="C139" s="1" t="s">
        <v>6</v>
      </c>
      <c r="E139" s="1" t="str">
        <f t="shared" si="15"/>
        <v>Wind_kWh</v>
      </c>
      <c r="F139" s="3" t="str">
        <f t="shared" si="16"/>
        <v>Wind+Wind*Total_Losses</v>
      </c>
      <c r="G139" s="1" t="s">
        <v>235</v>
      </c>
    </row>
    <row r="140" spans="3:7" x14ac:dyDescent="0.25">
      <c r="C140" s="1" t="s">
        <v>5</v>
      </c>
      <c r="E140" s="1" t="str">
        <f t="shared" si="15"/>
        <v>Nuclear_kWh</v>
      </c>
      <c r="F140" s="3" t="str">
        <f t="shared" si="16"/>
        <v>Nuclear+Nuclear*Total_Losses</v>
      </c>
      <c r="G140" s="1" t="s">
        <v>235</v>
      </c>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26"/>
  <sheetViews>
    <sheetView zoomScale="71" zoomScaleNormal="71" workbookViewId="0"/>
  </sheetViews>
  <sheetFormatPr defaultColWidth="0" defaultRowHeight="15.75" zeroHeight="1" x14ac:dyDescent="0.25"/>
  <cols>
    <col min="1" max="1" width="9.140625" style="18" customWidth="1"/>
    <col min="2" max="3" width="27.5703125" style="18" customWidth="1"/>
    <col min="4" max="4" width="47" style="18" bestFit="1" customWidth="1"/>
    <col min="5" max="5" width="55.140625" style="18" customWidth="1"/>
    <col min="6" max="6" width="38" style="18" bestFit="1" customWidth="1"/>
    <col min="7" max="7" width="24.140625" style="18" bestFit="1" customWidth="1"/>
    <col min="8" max="8" width="34.85546875" style="18" bestFit="1" customWidth="1"/>
    <col min="9" max="9" width="14.7109375" style="18" bestFit="1" customWidth="1"/>
    <col min="10" max="10" width="38.42578125" style="18" bestFit="1" customWidth="1"/>
    <col min="11" max="11" width="11.140625" style="18" bestFit="1" customWidth="1"/>
    <col min="12" max="12" width="34.85546875" style="18" bestFit="1" customWidth="1"/>
    <col min="13" max="24" width="9.140625" style="18" customWidth="1"/>
    <col min="25" max="28" width="0" style="18" hidden="1" customWidth="1"/>
    <col min="29" max="16384" width="9.140625" style="18" hidden="1"/>
  </cols>
  <sheetData>
    <row r="1" spans="1:14" x14ac:dyDescent="0.25">
      <c r="A1" s="36" t="s">
        <v>455</v>
      </c>
    </row>
    <row r="2" spans="1:14" x14ac:dyDescent="0.25">
      <c r="A2" s="17" t="s">
        <v>457</v>
      </c>
    </row>
    <row r="3" spans="1:14" x14ac:dyDescent="0.25">
      <c r="G3" s="33"/>
    </row>
    <row r="4" spans="1:14" ht="18.75" x14ac:dyDescent="0.25">
      <c r="B4" s="34"/>
      <c r="C4" s="35" t="s">
        <v>123</v>
      </c>
      <c r="D4" s="35" t="s">
        <v>136</v>
      </c>
      <c r="E4" s="35" t="s">
        <v>458</v>
      </c>
      <c r="F4" s="35" t="s">
        <v>136</v>
      </c>
      <c r="G4" s="35" t="s">
        <v>453</v>
      </c>
      <c r="H4" s="35" t="s">
        <v>135</v>
      </c>
      <c r="I4" s="35" t="s">
        <v>128</v>
      </c>
      <c r="J4" s="35" t="s">
        <v>135</v>
      </c>
      <c r="K4" s="35" t="s">
        <v>133</v>
      </c>
      <c r="L4" s="35" t="s">
        <v>135</v>
      </c>
      <c r="N4" s="36" t="s">
        <v>118</v>
      </c>
    </row>
    <row r="5" spans="1:14" ht="18.75" x14ac:dyDescent="0.25">
      <c r="B5" s="37" t="s">
        <v>262</v>
      </c>
      <c r="C5" s="35" t="s">
        <v>124</v>
      </c>
      <c r="D5" s="35"/>
      <c r="E5" s="35" t="s">
        <v>452</v>
      </c>
      <c r="F5" s="35"/>
      <c r="G5" s="35" t="s">
        <v>459</v>
      </c>
      <c r="H5" s="35"/>
      <c r="I5" s="35" t="s">
        <v>138</v>
      </c>
      <c r="J5" s="35"/>
      <c r="K5" s="35" t="s">
        <v>138</v>
      </c>
      <c r="L5" s="35"/>
    </row>
    <row r="6" spans="1:14" x14ac:dyDescent="0.25">
      <c r="B6" s="32" t="s">
        <v>456</v>
      </c>
      <c r="C6" s="246">
        <v>34.200000000000003</v>
      </c>
      <c r="D6" s="32" t="s">
        <v>125</v>
      </c>
      <c r="E6" s="247" t="s">
        <v>127</v>
      </c>
      <c r="F6" s="32"/>
      <c r="G6" s="32"/>
      <c r="H6" s="32"/>
      <c r="I6" s="32"/>
      <c r="J6" s="32"/>
      <c r="K6" s="32"/>
      <c r="L6" s="32"/>
    </row>
    <row r="7" spans="1:14" x14ac:dyDescent="0.25">
      <c r="B7" s="32" t="s">
        <v>121</v>
      </c>
      <c r="C7" s="246">
        <v>39.4</v>
      </c>
      <c r="D7" s="32" t="s">
        <v>58</v>
      </c>
      <c r="E7" s="247" t="s">
        <v>130</v>
      </c>
      <c r="F7" s="32"/>
      <c r="G7" s="32"/>
      <c r="H7" s="32"/>
      <c r="I7" s="32"/>
      <c r="J7" s="32"/>
      <c r="K7" s="32"/>
      <c r="L7" s="32"/>
    </row>
    <row r="8" spans="1:14" ht="18.75" x14ac:dyDescent="0.25">
      <c r="B8" s="32" t="s">
        <v>495</v>
      </c>
      <c r="C8" s="246">
        <f>C7*0.85</f>
        <v>33.489999999999995</v>
      </c>
      <c r="D8" s="32" t="s">
        <v>129</v>
      </c>
      <c r="E8" s="248">
        <v>79</v>
      </c>
      <c r="F8" s="32" t="s">
        <v>120</v>
      </c>
      <c r="G8" s="247" t="s">
        <v>127</v>
      </c>
      <c r="H8" s="32"/>
      <c r="I8" s="106">
        <f>0.16/0.14</f>
        <v>1.1428571428571428</v>
      </c>
      <c r="J8" s="32" t="s">
        <v>137</v>
      </c>
      <c r="K8" s="247" t="s">
        <v>127</v>
      </c>
      <c r="L8" s="32"/>
    </row>
    <row r="9" spans="1:14" x14ac:dyDescent="0.25">
      <c r="B9" s="32" t="s">
        <v>451</v>
      </c>
      <c r="C9" s="246">
        <v>35.6</v>
      </c>
      <c r="D9" s="32" t="s">
        <v>125</v>
      </c>
      <c r="E9" s="247" t="s">
        <v>127</v>
      </c>
      <c r="F9" s="32" t="s">
        <v>454</v>
      </c>
      <c r="G9" s="106">
        <f>0.000773*10.1*1000</f>
        <v>7.8072999999999997</v>
      </c>
      <c r="H9" s="32" t="s">
        <v>493</v>
      </c>
      <c r="I9" s="106">
        <v>3.33</v>
      </c>
      <c r="J9" s="32" t="s">
        <v>134</v>
      </c>
      <c r="K9" s="198">
        <f>(0.00000497+0.0000423)*10.1*1000</f>
        <v>0.47742699999999999</v>
      </c>
      <c r="L9" s="32" t="s">
        <v>132</v>
      </c>
    </row>
    <row r="10" spans="1:14" ht="18.75" x14ac:dyDescent="0.25">
      <c r="B10" s="32" t="s">
        <v>463</v>
      </c>
      <c r="C10" s="197">
        <v>39.640999999999998</v>
      </c>
      <c r="D10" s="32" t="s">
        <v>120</v>
      </c>
      <c r="E10" s="248">
        <v>10.6</v>
      </c>
      <c r="F10" s="32" t="s">
        <v>120</v>
      </c>
      <c r="G10" s="38">
        <f>1.25/G9</f>
        <v>0.16010656693094924</v>
      </c>
      <c r="H10" s="32" t="s">
        <v>131</v>
      </c>
      <c r="I10" s="38">
        <f>0.41/I9</f>
        <v>0.12312312312312311</v>
      </c>
      <c r="J10" s="32" t="s">
        <v>131</v>
      </c>
      <c r="K10" s="38">
        <f>0.058/K9</f>
        <v>0.12148454109214603</v>
      </c>
      <c r="L10" s="32" t="s">
        <v>131</v>
      </c>
    </row>
    <row r="11" spans="1:14" x14ac:dyDescent="0.25">
      <c r="B11" s="32" t="s">
        <v>122</v>
      </c>
      <c r="C11" s="197">
        <v>43</v>
      </c>
      <c r="D11" s="32" t="s">
        <v>126</v>
      </c>
      <c r="E11" s="201"/>
      <c r="F11" s="32"/>
      <c r="G11" s="38"/>
      <c r="H11" s="32"/>
      <c r="I11" s="32"/>
      <c r="J11" s="32"/>
      <c r="K11" s="38"/>
      <c r="L11" s="32"/>
    </row>
    <row r="12" spans="1:14" ht="18.75" x14ac:dyDescent="0.25">
      <c r="B12" s="32" t="s">
        <v>464</v>
      </c>
      <c r="C12" s="197">
        <v>37.200000000000003</v>
      </c>
      <c r="D12" s="32" t="s">
        <v>120</v>
      </c>
      <c r="E12" s="197">
        <v>13</v>
      </c>
      <c r="F12" s="32" t="s">
        <v>120</v>
      </c>
      <c r="G12" s="38">
        <f>0.3/G9</f>
        <v>3.8425576063427815E-2</v>
      </c>
      <c r="H12" s="32" t="s">
        <v>131</v>
      </c>
      <c r="I12" s="38">
        <f>0.12/I9</f>
        <v>3.6036036036036036E-2</v>
      </c>
      <c r="J12" s="32" t="s">
        <v>131</v>
      </c>
      <c r="K12" s="38">
        <f>0.004/K9</f>
        <v>8.3782442132514495E-3</v>
      </c>
      <c r="L12" s="32" t="s">
        <v>131</v>
      </c>
    </row>
    <row r="13" spans="1:14" ht="18.75" x14ac:dyDescent="0.25">
      <c r="B13" s="32" t="s">
        <v>496</v>
      </c>
      <c r="C13" s="197">
        <v>30</v>
      </c>
      <c r="D13" s="32" t="s">
        <v>120</v>
      </c>
      <c r="E13" s="197">
        <v>74</v>
      </c>
      <c r="F13" s="32" t="s">
        <v>120</v>
      </c>
      <c r="G13" s="39">
        <f>0.009/G9</f>
        <v>1.1527672819028345E-3</v>
      </c>
      <c r="H13" s="32" t="s">
        <v>131</v>
      </c>
      <c r="I13" s="38">
        <f>0.59/I9</f>
        <v>0.17717717717717715</v>
      </c>
      <c r="J13" s="32" t="s">
        <v>131</v>
      </c>
      <c r="K13" s="38">
        <f>0.03/K9</f>
        <v>6.283683159938587E-2</v>
      </c>
      <c r="L13" s="32" t="s">
        <v>131</v>
      </c>
    </row>
    <row r="14" spans="1:14" ht="18.75" x14ac:dyDescent="0.25">
      <c r="B14" s="32" t="s">
        <v>497</v>
      </c>
      <c r="C14" s="197">
        <v>32</v>
      </c>
      <c r="D14" s="32" t="s">
        <v>120</v>
      </c>
      <c r="E14" s="197">
        <v>83</v>
      </c>
      <c r="F14" s="32" t="s">
        <v>120</v>
      </c>
      <c r="G14" s="38">
        <f>0.33/G9</f>
        <v>4.2268133669770606E-2</v>
      </c>
      <c r="H14" s="32" t="s">
        <v>131</v>
      </c>
      <c r="I14" s="38">
        <f>0.1/I9</f>
        <v>3.003003003003003E-2</v>
      </c>
      <c r="J14" s="32" t="s">
        <v>131</v>
      </c>
      <c r="K14" s="38">
        <f>0.004/K9</f>
        <v>8.3782442132514495E-3</v>
      </c>
      <c r="L14" s="32" t="s">
        <v>131</v>
      </c>
    </row>
    <row r="15" spans="1:14" ht="18.75" x14ac:dyDescent="0.25">
      <c r="B15" s="269" t="s">
        <v>460</v>
      </c>
      <c r="C15" s="269"/>
      <c r="D15" s="269"/>
      <c r="E15" s="269"/>
    </row>
    <row r="16" spans="1:14" s="21" customFormat="1" x14ac:dyDescent="0.25">
      <c r="B16" s="270" t="s">
        <v>461</v>
      </c>
      <c r="C16" s="270"/>
      <c r="D16" s="270"/>
      <c r="E16" s="270"/>
    </row>
    <row r="17" spans="2:9" s="21" customFormat="1" ht="21" customHeight="1" x14ac:dyDescent="0.25">
      <c r="B17" s="270" t="s">
        <v>462</v>
      </c>
      <c r="C17" s="270"/>
      <c r="D17" s="270"/>
      <c r="E17" s="270"/>
    </row>
    <row r="18" spans="2:9" s="21" customFormat="1" x14ac:dyDescent="0.25">
      <c r="B18" s="270" t="s">
        <v>465</v>
      </c>
      <c r="C18" s="270"/>
      <c r="D18" s="270"/>
      <c r="E18" s="270"/>
      <c r="F18" s="270"/>
      <c r="G18" s="270"/>
    </row>
    <row r="19" spans="2:9" s="21" customFormat="1" ht="21" customHeight="1" x14ac:dyDescent="0.25">
      <c r="B19" s="270" t="s">
        <v>494</v>
      </c>
      <c r="C19" s="270"/>
      <c r="D19" s="270"/>
      <c r="E19" s="270"/>
      <c r="F19" s="270"/>
      <c r="G19" s="270"/>
      <c r="H19" s="270"/>
      <c r="I19" s="270"/>
    </row>
    <row r="20" spans="2:9" s="21" customFormat="1" x14ac:dyDescent="0.25">
      <c r="B20" s="41"/>
    </row>
    <row r="21" spans="2:9" s="21" customFormat="1" x14ac:dyDescent="0.25"/>
    <row r="22" spans="2:9" s="42" customFormat="1" x14ac:dyDescent="0.25">
      <c r="D22" s="43"/>
    </row>
    <row r="23" spans="2:9" s="21" customFormat="1" x14ac:dyDescent="0.25"/>
    <row r="24" spans="2:9" x14ac:dyDescent="0.25"/>
    <row r="25" spans="2:9" x14ac:dyDescent="0.25"/>
    <row r="26" spans="2:9" x14ac:dyDescent="0.25"/>
  </sheetData>
  <mergeCells count="5">
    <mergeCell ref="B15:E15"/>
    <mergeCell ref="B16:E16"/>
    <mergeCell ref="B17:E17"/>
    <mergeCell ref="B18:G18"/>
    <mergeCell ref="B19:I19"/>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109"/>
  <sheetViews>
    <sheetView zoomScale="70" zoomScaleNormal="70" workbookViewId="0">
      <selection activeCell="I6" sqref="I6"/>
    </sheetView>
  </sheetViews>
  <sheetFormatPr defaultRowHeight="15" x14ac:dyDescent="0.25"/>
  <cols>
    <col min="1" max="1" width="9.140625" style="9"/>
    <col min="2" max="2" width="0" style="232" hidden="1" customWidth="1"/>
    <col min="3" max="4" width="71.140625" style="9" bestFit="1" customWidth="1"/>
    <col min="5" max="5" width="68.28515625" style="9" bestFit="1" customWidth="1"/>
    <col min="6" max="6" width="24.42578125" style="9" bestFit="1" customWidth="1"/>
    <col min="7" max="7" width="20.140625" style="9" bestFit="1" customWidth="1"/>
    <col min="8" max="8" width="19.140625" style="9" bestFit="1" customWidth="1"/>
    <col min="9" max="9" width="26" style="9" bestFit="1" customWidth="1"/>
    <col min="10" max="10" width="16.5703125" style="9" bestFit="1" customWidth="1"/>
    <col min="11" max="11" width="12.28515625" style="9" bestFit="1" customWidth="1"/>
    <col min="12" max="14" width="9.140625" style="9"/>
    <col min="15" max="15" width="68.28515625" style="9" bestFit="1" customWidth="1"/>
    <col min="16" max="16384" width="9.140625" style="9"/>
  </cols>
  <sheetData>
    <row r="1" spans="1:8" x14ac:dyDescent="0.25">
      <c r="A1" s="228" t="s">
        <v>363</v>
      </c>
    </row>
    <row r="3" spans="1:8" x14ac:dyDescent="0.25">
      <c r="C3" s="228" t="s">
        <v>447</v>
      </c>
    </row>
    <row r="4" spans="1:8" x14ac:dyDescent="0.25">
      <c r="B4" s="147" t="s">
        <v>433</v>
      </c>
      <c r="C4" s="141" t="s">
        <v>78</v>
      </c>
      <c r="D4" s="46" t="s">
        <v>73</v>
      </c>
      <c r="E4" s="46" t="s">
        <v>344</v>
      </c>
      <c r="F4" s="46" t="s">
        <v>360</v>
      </c>
      <c r="G4" s="46" t="s">
        <v>361</v>
      </c>
      <c r="H4" s="46" t="s">
        <v>362</v>
      </c>
    </row>
    <row r="5" spans="1:8" x14ac:dyDescent="0.25">
      <c r="B5" s="147" t="s">
        <v>5</v>
      </c>
      <c r="C5" s="145" t="s">
        <v>5</v>
      </c>
      <c r="D5" s="48" t="s">
        <v>79</v>
      </c>
      <c r="E5" s="142" t="s">
        <v>359</v>
      </c>
      <c r="F5" s="234">
        <f>AVERAGEIF($E$62:$E$100,$E5,$I$62:$I$100)</f>
        <v>2.1955392698696299</v>
      </c>
      <c r="G5" s="234">
        <f t="shared" ref="G5:G18" si="0">_xlfn.MINIFS($I$62:$I$100, $E$62:$E$100,$E5)</f>
        <v>2.1955392698696299</v>
      </c>
      <c r="H5" s="234">
        <f t="shared" ref="H5:H18" si="1">_xlfn.MAXIFS($I$62:$I$100, $E$62:$E$100,$E5)</f>
        <v>2.1955392698696299</v>
      </c>
    </row>
    <row r="6" spans="1:8" x14ac:dyDescent="0.25">
      <c r="B6" s="147" t="s">
        <v>7</v>
      </c>
      <c r="C6" s="145" t="s">
        <v>76</v>
      </c>
      <c r="D6" s="48" t="s">
        <v>79</v>
      </c>
      <c r="E6" s="142" t="s">
        <v>358</v>
      </c>
      <c r="F6" s="236">
        <f t="shared" ref="F6:F13" si="2">AVERAGEIF($E$62:$E$100,E6,$I$62:$I$100)</f>
        <v>0.5867389428099874</v>
      </c>
      <c r="G6" s="237">
        <f t="shared" si="0"/>
        <v>0</v>
      </c>
      <c r="H6" s="234">
        <f t="shared" si="1"/>
        <v>1.1734778856199748</v>
      </c>
    </row>
    <row r="7" spans="1:8" x14ac:dyDescent="0.25">
      <c r="B7" s="147" t="s">
        <v>27</v>
      </c>
      <c r="C7" s="146" t="s">
        <v>27</v>
      </c>
      <c r="D7" s="48" t="s">
        <v>74</v>
      </c>
      <c r="E7" s="142" t="s">
        <v>353</v>
      </c>
      <c r="F7" s="234">
        <f t="shared" si="2"/>
        <v>2.0441227684993106</v>
      </c>
      <c r="G7" s="234">
        <f t="shared" si="0"/>
        <v>2.0441227684993106</v>
      </c>
      <c r="H7" s="234">
        <f t="shared" si="1"/>
        <v>2.0441227684993106</v>
      </c>
    </row>
    <row r="8" spans="1:8" x14ac:dyDescent="0.25">
      <c r="B8" s="147" t="s">
        <v>27</v>
      </c>
      <c r="C8" s="146" t="s">
        <v>27</v>
      </c>
      <c r="D8" s="48" t="s">
        <v>33</v>
      </c>
      <c r="E8" s="142" t="s">
        <v>347</v>
      </c>
      <c r="F8" s="234">
        <f t="shared" si="2"/>
        <v>3.6988888191892295</v>
      </c>
      <c r="G8" s="234">
        <f t="shared" si="0"/>
        <v>3.6988888191892295</v>
      </c>
      <c r="H8" s="234">
        <f t="shared" si="1"/>
        <v>3.6988888191892295</v>
      </c>
    </row>
    <row r="9" spans="1:8" x14ac:dyDescent="0.25">
      <c r="B9" s="147" t="s">
        <v>27</v>
      </c>
      <c r="C9" s="146" t="s">
        <v>27</v>
      </c>
      <c r="D9" s="48" t="s">
        <v>63</v>
      </c>
      <c r="E9" s="142" t="s">
        <v>348</v>
      </c>
      <c r="F9" s="234">
        <f t="shared" si="2"/>
        <v>2.0441227684993106</v>
      </c>
      <c r="G9" s="234">
        <f t="shared" si="0"/>
        <v>2.0441227684993106</v>
      </c>
      <c r="H9" s="234">
        <f t="shared" si="1"/>
        <v>2.0441227684993106</v>
      </c>
    </row>
    <row r="10" spans="1:8" x14ac:dyDescent="0.25">
      <c r="B10" s="147" t="s">
        <v>27</v>
      </c>
      <c r="C10" s="146" t="s">
        <v>27</v>
      </c>
      <c r="D10" s="48" t="s">
        <v>64</v>
      </c>
      <c r="E10" s="142" t="s">
        <v>350</v>
      </c>
      <c r="F10" s="234">
        <f t="shared" si="2"/>
        <v>1.2113320109625545</v>
      </c>
      <c r="G10" s="234">
        <f t="shared" si="0"/>
        <v>1.2113320109625545</v>
      </c>
      <c r="H10" s="234">
        <f t="shared" si="1"/>
        <v>1.2113320109625545</v>
      </c>
    </row>
    <row r="11" spans="1:8" x14ac:dyDescent="0.25">
      <c r="B11" s="147" t="s">
        <v>4</v>
      </c>
      <c r="C11" s="146" t="s">
        <v>31</v>
      </c>
      <c r="D11" s="48" t="s">
        <v>75</v>
      </c>
      <c r="E11" s="142" t="s">
        <v>352</v>
      </c>
      <c r="F11" s="237">
        <f t="shared" si="2"/>
        <v>0</v>
      </c>
      <c r="G11" s="237">
        <f t="shared" si="0"/>
        <v>0</v>
      </c>
      <c r="H11" s="237">
        <f t="shared" si="1"/>
        <v>0</v>
      </c>
    </row>
    <row r="12" spans="1:8" x14ac:dyDescent="0.25">
      <c r="B12" s="147" t="s">
        <v>4</v>
      </c>
      <c r="C12" s="146" t="s">
        <v>31</v>
      </c>
      <c r="D12" s="48" t="s">
        <v>34</v>
      </c>
      <c r="E12" s="142" t="s">
        <v>349</v>
      </c>
      <c r="F12" s="234">
        <f t="shared" si="2"/>
        <v>1.4384567630180336</v>
      </c>
      <c r="G12" s="234">
        <f t="shared" si="0"/>
        <v>1.4384567630180336</v>
      </c>
      <c r="H12" s="234">
        <f t="shared" si="1"/>
        <v>1.4384567630180336</v>
      </c>
    </row>
    <row r="13" spans="1:8" x14ac:dyDescent="0.25">
      <c r="B13" s="147" t="s">
        <v>4</v>
      </c>
      <c r="C13" s="146" t="s">
        <v>31</v>
      </c>
      <c r="D13" s="48" t="s">
        <v>77</v>
      </c>
      <c r="E13" s="142" t="s">
        <v>346</v>
      </c>
      <c r="F13" s="236">
        <f t="shared" si="2"/>
        <v>0.79493663219417643</v>
      </c>
      <c r="G13" s="236">
        <f t="shared" si="0"/>
        <v>0.79493663219417643</v>
      </c>
      <c r="H13" s="236">
        <f t="shared" si="1"/>
        <v>0.79493663219417643</v>
      </c>
    </row>
    <row r="14" spans="1:8" x14ac:dyDescent="0.25">
      <c r="B14" s="147" t="s">
        <v>28</v>
      </c>
      <c r="C14" s="145" t="s">
        <v>28</v>
      </c>
      <c r="D14" s="48" t="s">
        <v>79</v>
      </c>
      <c r="E14" s="142" t="s">
        <v>356</v>
      </c>
      <c r="F14" s="238">
        <v>18.7</v>
      </c>
      <c r="G14" s="234">
        <f t="shared" si="0"/>
        <v>8.2521993246824046</v>
      </c>
      <c r="H14" s="239">
        <f t="shared" si="1"/>
        <v>582.95353027572935</v>
      </c>
    </row>
    <row r="15" spans="1:8" x14ac:dyDescent="0.25">
      <c r="B15" s="147" t="s">
        <v>8</v>
      </c>
      <c r="C15" s="146" t="s">
        <v>48</v>
      </c>
      <c r="D15" s="48" t="s">
        <v>8</v>
      </c>
      <c r="E15" s="142" t="s">
        <v>357</v>
      </c>
      <c r="F15" s="234">
        <f>AVERAGEIF($E$62:$E$100,E15,$I$62:$I$100)</f>
        <v>2.3091016458973694</v>
      </c>
      <c r="G15" s="234">
        <f t="shared" si="0"/>
        <v>2.3091016458973694</v>
      </c>
      <c r="H15" s="234">
        <f t="shared" si="1"/>
        <v>2.3091016458973694</v>
      </c>
    </row>
    <row r="16" spans="1:8" x14ac:dyDescent="0.25">
      <c r="B16" s="147" t="s">
        <v>49</v>
      </c>
      <c r="C16" s="146" t="s">
        <v>67</v>
      </c>
      <c r="D16" s="48" t="s">
        <v>49</v>
      </c>
      <c r="E16" s="142" t="s">
        <v>351</v>
      </c>
      <c r="F16" s="234">
        <f>AVERAGEIF($E$62:$E$100,E16,$I$62:$I$100)</f>
        <v>4.8579460856310783</v>
      </c>
      <c r="G16" s="234">
        <f t="shared" si="0"/>
        <v>3.5961419075450833</v>
      </c>
      <c r="H16" s="234">
        <f t="shared" si="1"/>
        <v>6.4352013082385708</v>
      </c>
    </row>
    <row r="17" spans="2:8" x14ac:dyDescent="0.25">
      <c r="B17" s="147" t="s">
        <v>6</v>
      </c>
      <c r="C17" s="146" t="s">
        <v>67</v>
      </c>
      <c r="D17" s="48" t="s">
        <v>6</v>
      </c>
      <c r="E17" s="142" t="s">
        <v>355</v>
      </c>
      <c r="F17" s="240">
        <f>AVERAGEIF($E$62:$E$100,E17,$I$62:$I$100)</f>
        <v>3.7854125342579831E-3</v>
      </c>
      <c r="G17" s="240">
        <f t="shared" si="0"/>
        <v>3.7854125342579831E-3</v>
      </c>
      <c r="H17" s="240">
        <f t="shared" si="1"/>
        <v>3.7854125342579831E-3</v>
      </c>
    </row>
    <row r="18" spans="2:8" x14ac:dyDescent="0.25">
      <c r="B18" s="147" t="s">
        <v>32</v>
      </c>
      <c r="C18" s="146" t="s">
        <v>67</v>
      </c>
      <c r="D18" s="48" t="s">
        <v>32</v>
      </c>
      <c r="E18" s="142" t="s">
        <v>354</v>
      </c>
      <c r="F18" s="236">
        <f>AVERAGEIF($E$62:$E$100,E18,$I$62:$I$100)</f>
        <v>6.8137425616643696E-2</v>
      </c>
      <c r="G18" s="236">
        <f t="shared" si="0"/>
        <v>6.8137425616643696E-2</v>
      </c>
      <c r="H18" s="236">
        <f t="shared" si="1"/>
        <v>6.8137425616643696E-2</v>
      </c>
    </row>
    <row r="20" spans="2:8" x14ac:dyDescent="0.25">
      <c r="B20" s="232" t="s">
        <v>374</v>
      </c>
      <c r="C20" s="228" t="s">
        <v>448</v>
      </c>
    </row>
    <row r="21" spans="2:8" ht="15.75" x14ac:dyDescent="0.25">
      <c r="B21" s="147" t="s">
        <v>78</v>
      </c>
      <c r="C21" s="78" t="s">
        <v>78</v>
      </c>
      <c r="D21" s="72" t="s">
        <v>73</v>
      </c>
      <c r="E21" s="46" t="s">
        <v>344</v>
      </c>
      <c r="F21" s="46" t="s">
        <v>360</v>
      </c>
      <c r="G21" s="46" t="s">
        <v>361</v>
      </c>
      <c r="H21" s="46" t="s">
        <v>362</v>
      </c>
    </row>
    <row r="22" spans="2:8" ht="15.75" x14ac:dyDescent="0.25">
      <c r="B22" s="147" t="s">
        <v>5</v>
      </c>
      <c r="C22" s="143" t="s">
        <v>5</v>
      </c>
      <c r="D22" s="99" t="s">
        <v>79</v>
      </c>
      <c r="E22" s="142" t="s">
        <v>373</v>
      </c>
      <c r="F22" s="234">
        <f t="shared" ref="F22:F29" si="3">AVERAGEIF($E$62:$E$100,$E22,$I$62:$I$100)</f>
        <v>2.1955392698696299</v>
      </c>
      <c r="G22" s="234">
        <f t="shared" ref="G22:G34" si="4">_xlfn.MINIFS($I$62:$I$100, $E$62:$E$100,$E22)</f>
        <v>2.1955392698696299</v>
      </c>
      <c r="H22" s="234">
        <f t="shared" ref="H22:H34" si="5">_xlfn.MAXIFS($I$62:$I$100, $E$62:$E$100,$E22)</f>
        <v>2.1955392698696299</v>
      </c>
    </row>
    <row r="23" spans="2:8" ht="15.75" x14ac:dyDescent="0.25">
      <c r="B23" s="147" t="s">
        <v>7</v>
      </c>
      <c r="C23" s="143" t="s">
        <v>76</v>
      </c>
      <c r="D23" s="99" t="s">
        <v>79</v>
      </c>
      <c r="E23" s="142" t="s">
        <v>358</v>
      </c>
      <c r="F23" s="236">
        <f t="shared" si="3"/>
        <v>0.5867389428099874</v>
      </c>
      <c r="G23" s="237">
        <f t="shared" si="4"/>
        <v>0</v>
      </c>
      <c r="H23" s="234">
        <f t="shared" si="5"/>
        <v>1.1734778856199748</v>
      </c>
    </row>
    <row r="24" spans="2:8" ht="15.75" x14ac:dyDescent="0.25">
      <c r="B24" s="147" t="s">
        <v>27</v>
      </c>
      <c r="C24" s="144" t="s">
        <v>27</v>
      </c>
      <c r="D24" s="99" t="s">
        <v>74</v>
      </c>
      <c r="E24" s="142" t="s">
        <v>371</v>
      </c>
      <c r="F24" s="234">
        <f t="shared" si="3"/>
        <v>2.0441227684993106</v>
      </c>
      <c r="G24" s="234">
        <f t="shared" si="4"/>
        <v>2.0441227684993106</v>
      </c>
      <c r="H24" s="234">
        <f t="shared" si="5"/>
        <v>2.0441227684993106</v>
      </c>
    </row>
    <row r="25" spans="2:8" ht="15.75" x14ac:dyDescent="0.25">
      <c r="B25" s="147" t="s">
        <v>27</v>
      </c>
      <c r="C25" s="144" t="s">
        <v>27</v>
      </c>
      <c r="D25" s="99" t="s">
        <v>106</v>
      </c>
      <c r="E25" s="142" t="s">
        <v>366</v>
      </c>
      <c r="F25" s="234">
        <f t="shared" si="3"/>
        <v>2.0441227684993106</v>
      </c>
      <c r="G25" s="234">
        <f t="shared" si="4"/>
        <v>2.0441227684993106</v>
      </c>
      <c r="H25" s="234">
        <f t="shared" si="5"/>
        <v>2.0441227684993106</v>
      </c>
    </row>
    <row r="26" spans="2:8" ht="15.75" x14ac:dyDescent="0.25">
      <c r="B26" s="147" t="s">
        <v>27</v>
      </c>
      <c r="C26" s="144" t="s">
        <v>27</v>
      </c>
      <c r="D26" s="99" t="s">
        <v>107</v>
      </c>
      <c r="E26" s="142" t="s">
        <v>372</v>
      </c>
      <c r="F26" s="234">
        <f t="shared" si="3"/>
        <v>2.0441227684993106</v>
      </c>
      <c r="G26" s="234">
        <f t="shared" si="4"/>
        <v>2.0441227684993106</v>
      </c>
      <c r="H26" s="234">
        <f t="shared" si="5"/>
        <v>2.0441227684993106</v>
      </c>
    </row>
    <row r="27" spans="2:8" ht="15.75" x14ac:dyDescent="0.25">
      <c r="B27" s="147" t="s">
        <v>27</v>
      </c>
      <c r="C27" s="144" t="s">
        <v>27</v>
      </c>
      <c r="D27" s="99" t="s">
        <v>33</v>
      </c>
      <c r="E27" s="142" t="s">
        <v>368</v>
      </c>
      <c r="F27" s="234">
        <f t="shared" si="3"/>
        <v>3.6988888191892295</v>
      </c>
      <c r="G27" s="234">
        <f t="shared" si="4"/>
        <v>3.6988888191892295</v>
      </c>
      <c r="H27" s="234">
        <f t="shared" si="5"/>
        <v>3.6988888191892295</v>
      </c>
    </row>
    <row r="28" spans="2:8" ht="15.75" x14ac:dyDescent="0.25">
      <c r="B28" s="147" t="s">
        <v>4</v>
      </c>
      <c r="C28" s="144" t="s">
        <v>31</v>
      </c>
      <c r="D28" s="99" t="s">
        <v>75</v>
      </c>
      <c r="E28" s="142" t="s">
        <v>370</v>
      </c>
      <c r="F28" s="237">
        <f t="shared" si="3"/>
        <v>0</v>
      </c>
      <c r="G28" s="237">
        <f t="shared" si="4"/>
        <v>0</v>
      </c>
      <c r="H28" s="237">
        <f t="shared" si="5"/>
        <v>0</v>
      </c>
    </row>
    <row r="29" spans="2:8" ht="15.75" x14ac:dyDescent="0.25">
      <c r="B29" s="147" t="s">
        <v>4</v>
      </c>
      <c r="C29" s="144" t="s">
        <v>31</v>
      </c>
      <c r="D29" s="99" t="s">
        <v>34</v>
      </c>
      <c r="E29" s="142" t="s">
        <v>365</v>
      </c>
      <c r="F29" s="234">
        <f t="shared" si="3"/>
        <v>1.4384567630180336</v>
      </c>
      <c r="G29" s="234">
        <f t="shared" si="4"/>
        <v>1.4384567630180336</v>
      </c>
      <c r="H29" s="234">
        <f t="shared" si="5"/>
        <v>1.4384567630180336</v>
      </c>
    </row>
    <row r="30" spans="2:8" ht="15.75" x14ac:dyDescent="0.25">
      <c r="B30" s="147" t="s">
        <v>28</v>
      </c>
      <c r="C30" s="143" t="s">
        <v>28</v>
      </c>
      <c r="D30" s="99" t="s">
        <v>79</v>
      </c>
      <c r="E30" s="142" t="s">
        <v>356</v>
      </c>
      <c r="F30" s="238">
        <v>18.7</v>
      </c>
      <c r="G30" s="234">
        <f t="shared" si="4"/>
        <v>8.2521993246824046</v>
      </c>
      <c r="H30" s="239">
        <f t="shared" si="5"/>
        <v>582.95353027572935</v>
      </c>
    </row>
    <row r="31" spans="2:8" ht="15.75" x14ac:dyDescent="0.25">
      <c r="B31" s="147" t="s">
        <v>8</v>
      </c>
      <c r="C31" s="144" t="s">
        <v>48</v>
      </c>
      <c r="D31" s="99" t="s">
        <v>8</v>
      </c>
      <c r="E31" s="142" t="s">
        <v>367</v>
      </c>
      <c r="F31" s="234">
        <f>AVERAGEIF($E$62:$E$100,$E31,$I$62:$I$100)</f>
        <v>2.3091016458973694</v>
      </c>
      <c r="G31" s="234">
        <f t="shared" si="4"/>
        <v>2.3091016458973694</v>
      </c>
      <c r="H31" s="234">
        <f t="shared" si="5"/>
        <v>2.3091016458973694</v>
      </c>
    </row>
    <row r="32" spans="2:8" ht="15.75" x14ac:dyDescent="0.25">
      <c r="B32" s="147" t="s">
        <v>49</v>
      </c>
      <c r="C32" s="144" t="s">
        <v>67</v>
      </c>
      <c r="D32" s="99" t="s">
        <v>49</v>
      </c>
      <c r="E32" s="142" t="s">
        <v>351</v>
      </c>
      <c r="F32" s="234">
        <f>AVERAGEIF($E$62:$E$100,$E32,$I$62:$I$100)</f>
        <v>4.8579460856310783</v>
      </c>
      <c r="G32" s="234">
        <f t="shared" si="4"/>
        <v>3.5961419075450833</v>
      </c>
      <c r="H32" s="234">
        <f t="shared" si="5"/>
        <v>6.4352013082385708</v>
      </c>
    </row>
    <row r="33" spans="2:8" ht="15.75" x14ac:dyDescent="0.25">
      <c r="B33" s="147" t="s">
        <v>6</v>
      </c>
      <c r="C33" s="144" t="s">
        <v>67</v>
      </c>
      <c r="D33" s="99" t="s">
        <v>6</v>
      </c>
      <c r="E33" s="142" t="s">
        <v>364</v>
      </c>
      <c r="F33" s="240">
        <f>AVERAGEIF($E$62:$E$100,$E33,$I$62:$I$100)</f>
        <v>3.7854125342579831E-3</v>
      </c>
      <c r="G33" s="240">
        <f t="shared" si="4"/>
        <v>3.7854125342579831E-3</v>
      </c>
      <c r="H33" s="240">
        <f t="shared" si="5"/>
        <v>3.7854125342579831E-3</v>
      </c>
    </row>
    <row r="34" spans="2:8" ht="15.75" x14ac:dyDescent="0.25">
      <c r="B34" s="147" t="s">
        <v>32</v>
      </c>
      <c r="C34" s="144" t="s">
        <v>67</v>
      </c>
      <c r="D34" s="99" t="s">
        <v>36</v>
      </c>
      <c r="E34" s="142" t="s">
        <v>369</v>
      </c>
      <c r="F34" s="236">
        <f>AVERAGEIF($E$62:$E$100,$E34,$I$62:$I$100)</f>
        <v>6.8137425616643696E-2</v>
      </c>
      <c r="G34" s="236">
        <f t="shared" si="4"/>
        <v>6.8137425616643696E-2</v>
      </c>
      <c r="H34" s="236">
        <f t="shared" si="5"/>
        <v>6.8137425616643696E-2</v>
      </c>
    </row>
    <row r="36" spans="2:8" x14ac:dyDescent="0.25">
      <c r="B36" s="232" t="s">
        <v>375</v>
      </c>
      <c r="C36" s="228" t="s">
        <v>449</v>
      </c>
    </row>
    <row r="37" spans="2:8" ht="15.75" x14ac:dyDescent="0.25">
      <c r="B37" s="147" t="s">
        <v>78</v>
      </c>
      <c r="C37" s="112" t="s">
        <v>78</v>
      </c>
      <c r="D37" s="46" t="s">
        <v>344</v>
      </c>
      <c r="E37" s="46" t="s">
        <v>360</v>
      </c>
      <c r="F37" s="46" t="s">
        <v>361</v>
      </c>
      <c r="G37" s="46" t="s">
        <v>362</v>
      </c>
    </row>
    <row r="38" spans="2:8" ht="15.75" x14ac:dyDescent="0.25">
      <c r="B38" s="147" t="s">
        <v>27</v>
      </c>
      <c r="C38" s="73" t="s">
        <v>27</v>
      </c>
      <c r="D38" s="142" t="s">
        <v>371</v>
      </c>
      <c r="E38" s="234">
        <f>AVERAGEIF($E$62:$E$100,$D38,$I$62:$I$100)</f>
        <v>2.0441227684993106</v>
      </c>
      <c r="F38" s="234">
        <f t="shared" ref="F38:F46" si="6">_xlfn.MINIFS($I$62:$I$100, $E$62:$E$100,$D38)</f>
        <v>2.0441227684993106</v>
      </c>
      <c r="G38" s="234">
        <f t="shared" ref="G38:G46" si="7">_xlfn.MAXIFS($I$62:$I$100, $E$62:$E$100,$D38)</f>
        <v>2.0441227684993106</v>
      </c>
    </row>
    <row r="39" spans="2:8" ht="15.75" x14ac:dyDescent="0.25">
      <c r="B39" s="147" t="s">
        <v>7</v>
      </c>
      <c r="C39" s="73" t="s">
        <v>76</v>
      </c>
      <c r="D39" s="142" t="s">
        <v>358</v>
      </c>
      <c r="E39" s="236">
        <f>AVERAGEIF($E$62:$E$100,$D39,$I$62:$I$100)</f>
        <v>0.5867389428099874</v>
      </c>
      <c r="F39" s="237">
        <f t="shared" si="6"/>
        <v>0</v>
      </c>
      <c r="G39" s="234">
        <f t="shared" si="7"/>
        <v>1.1734778856199748</v>
      </c>
    </row>
    <row r="40" spans="2:8" ht="15.75" x14ac:dyDescent="0.25">
      <c r="B40" s="147" t="s">
        <v>4</v>
      </c>
      <c r="C40" s="73" t="s">
        <v>31</v>
      </c>
      <c r="D40" s="142" t="s">
        <v>370</v>
      </c>
      <c r="E40" s="237">
        <f>AVERAGEIF($E$62:$E$100,$D40,$I$62:$I$100)</f>
        <v>0</v>
      </c>
      <c r="F40" s="237">
        <f t="shared" si="6"/>
        <v>0</v>
      </c>
      <c r="G40" s="237">
        <f t="shared" si="7"/>
        <v>0</v>
      </c>
    </row>
    <row r="41" spans="2:8" ht="15.75" x14ac:dyDescent="0.25">
      <c r="B41" s="147" t="s">
        <v>8</v>
      </c>
      <c r="C41" s="73" t="s">
        <v>8</v>
      </c>
      <c r="D41" s="142" t="s">
        <v>367</v>
      </c>
      <c r="E41" s="234">
        <f>AVERAGEIF($E$62:$E$100,$D41,$I$62:$I$100)</f>
        <v>2.3091016458973694</v>
      </c>
      <c r="F41" s="234">
        <f t="shared" si="6"/>
        <v>2.3091016458973694</v>
      </c>
      <c r="G41" s="234">
        <f t="shared" si="7"/>
        <v>2.3091016458973694</v>
      </c>
    </row>
    <row r="42" spans="2:8" ht="15.75" x14ac:dyDescent="0.25">
      <c r="B42" s="147" t="s">
        <v>28</v>
      </c>
      <c r="C42" s="73" t="s">
        <v>28</v>
      </c>
      <c r="D42" s="142" t="s">
        <v>356</v>
      </c>
      <c r="E42" s="238">
        <v>18.7</v>
      </c>
      <c r="F42" s="234">
        <f t="shared" si="6"/>
        <v>8.2521993246824046</v>
      </c>
      <c r="G42" s="239">
        <f t="shared" si="7"/>
        <v>582.95353027572935</v>
      </c>
    </row>
    <row r="43" spans="2:8" ht="15.75" x14ac:dyDescent="0.25">
      <c r="B43" s="147" t="s">
        <v>49</v>
      </c>
      <c r="C43" s="73" t="s">
        <v>323</v>
      </c>
      <c r="D43" s="142" t="s">
        <v>351</v>
      </c>
      <c r="E43" s="234">
        <f>AVERAGEIF($E$62:$E$100,$D43,$I$62:$I$100)</f>
        <v>4.8579460856310783</v>
      </c>
      <c r="F43" s="234">
        <f t="shared" si="6"/>
        <v>3.5961419075450833</v>
      </c>
      <c r="G43" s="234">
        <f t="shared" si="7"/>
        <v>6.4352013082385708</v>
      </c>
    </row>
    <row r="44" spans="2:8" ht="15.75" x14ac:dyDescent="0.25">
      <c r="B44" s="147" t="s">
        <v>32</v>
      </c>
      <c r="C44" s="73" t="s">
        <v>32</v>
      </c>
      <c r="D44" s="142" t="s">
        <v>369</v>
      </c>
      <c r="E44" s="236">
        <f>AVERAGEIF($E$62:$E$100,$D44,$I$62:$I$100)</f>
        <v>6.8137425616643696E-2</v>
      </c>
      <c r="F44" s="236">
        <f t="shared" si="6"/>
        <v>6.8137425616643696E-2</v>
      </c>
      <c r="G44" s="236">
        <f t="shared" si="7"/>
        <v>6.8137425616643696E-2</v>
      </c>
    </row>
    <row r="45" spans="2:8" ht="15.75" x14ac:dyDescent="0.25">
      <c r="B45" s="147" t="s">
        <v>6</v>
      </c>
      <c r="C45" s="73" t="s">
        <v>6</v>
      </c>
      <c r="D45" s="142" t="s">
        <v>364</v>
      </c>
      <c r="E45" s="240">
        <f>AVERAGEIF($E$62:$E$100,$D45,$I$62:$I$100)</f>
        <v>3.7854125342579831E-3</v>
      </c>
      <c r="F45" s="240">
        <f t="shared" si="6"/>
        <v>3.7854125342579831E-3</v>
      </c>
      <c r="G45" s="240">
        <f t="shared" si="7"/>
        <v>3.7854125342579831E-3</v>
      </c>
    </row>
    <row r="46" spans="2:8" ht="15.75" x14ac:dyDescent="0.25">
      <c r="B46" s="147" t="s">
        <v>5</v>
      </c>
      <c r="C46" s="73" t="s">
        <v>5</v>
      </c>
      <c r="D46" s="142" t="s">
        <v>373</v>
      </c>
      <c r="E46" s="234">
        <f>AVERAGEIF($E$62:$E$100,$D46,$I$62:$I$100)</f>
        <v>2.1955392698696299</v>
      </c>
      <c r="F46" s="234">
        <f t="shared" si="6"/>
        <v>2.1955392698696299</v>
      </c>
      <c r="G46" s="234">
        <f t="shared" si="7"/>
        <v>2.1955392698696299</v>
      </c>
    </row>
    <row r="47" spans="2:8" x14ac:dyDescent="0.25">
      <c r="F47" s="241"/>
      <c r="G47" s="241"/>
    </row>
    <row r="48" spans="2:8" x14ac:dyDescent="0.25">
      <c r="B48" s="232" t="s">
        <v>376</v>
      </c>
      <c r="C48" s="228" t="s">
        <v>450</v>
      </c>
    </row>
    <row r="49" spans="2:9" ht="15.75" x14ac:dyDescent="0.25">
      <c r="B49" s="147" t="s">
        <v>146</v>
      </c>
      <c r="C49" s="72" t="s">
        <v>146</v>
      </c>
      <c r="D49" s="46" t="s">
        <v>344</v>
      </c>
      <c r="E49" s="46" t="s">
        <v>360</v>
      </c>
      <c r="F49" s="46" t="s">
        <v>361</v>
      </c>
      <c r="G49" s="46" t="s">
        <v>362</v>
      </c>
    </row>
    <row r="50" spans="2:9" ht="15.75" x14ac:dyDescent="0.25">
      <c r="B50" s="147" t="s">
        <v>27</v>
      </c>
      <c r="C50" s="73" t="s">
        <v>27</v>
      </c>
      <c r="D50" s="142" t="s">
        <v>371</v>
      </c>
      <c r="E50" s="234">
        <f>AVERAGEIF($E$62:$E$100,$D50,$I$62:$I$100)</f>
        <v>2.0441227684993106</v>
      </c>
      <c r="F50" s="234">
        <f t="shared" ref="F50:F57" si="8">_xlfn.MINIFS($I$62:$I$100, $E$62:$E$100,$D50)</f>
        <v>2.0441227684993106</v>
      </c>
      <c r="G50" s="234">
        <f t="shared" ref="G50:G57" si="9">_xlfn.MAXIFS($I$62:$I$100, $E$62:$E$100,$D50)</f>
        <v>2.0441227684993106</v>
      </c>
    </row>
    <row r="51" spans="2:9" ht="15.75" x14ac:dyDescent="0.25">
      <c r="B51" s="147" t="s">
        <v>7</v>
      </c>
      <c r="C51" s="73" t="s">
        <v>7</v>
      </c>
      <c r="D51" s="142" t="s">
        <v>358</v>
      </c>
      <c r="E51" s="236">
        <f>AVERAGEIF($E$62:$E$100,$D51,$I$62:$I$100)</f>
        <v>0.5867389428099874</v>
      </c>
      <c r="F51" s="237">
        <f t="shared" si="8"/>
        <v>0</v>
      </c>
      <c r="G51" s="234">
        <f t="shared" si="9"/>
        <v>1.1734778856199748</v>
      </c>
    </row>
    <row r="52" spans="2:9" ht="15.75" x14ac:dyDescent="0.25">
      <c r="B52" s="147" t="s">
        <v>4</v>
      </c>
      <c r="C52" s="73" t="s">
        <v>31</v>
      </c>
      <c r="D52" s="142" t="s">
        <v>370</v>
      </c>
      <c r="E52" s="237">
        <f>AVERAGEIF($E$62:$E$100,$D52,$I$62:$I$100)</f>
        <v>0</v>
      </c>
      <c r="F52" s="237">
        <f t="shared" si="8"/>
        <v>0</v>
      </c>
      <c r="G52" s="237">
        <f t="shared" si="9"/>
        <v>0</v>
      </c>
    </row>
    <row r="53" spans="2:9" ht="15.75" x14ac:dyDescent="0.25">
      <c r="B53" s="147" t="s">
        <v>4</v>
      </c>
      <c r="C53" s="73" t="s">
        <v>77</v>
      </c>
      <c r="D53" s="142" t="s">
        <v>346</v>
      </c>
      <c r="E53" s="236">
        <f>AVERAGEIF($E$62:$E$100,$D53,$I$62:$I$100)</f>
        <v>0.79493663219417643</v>
      </c>
      <c r="F53" s="236">
        <f t="shared" si="8"/>
        <v>0.79493663219417643</v>
      </c>
      <c r="G53" s="236">
        <f t="shared" si="9"/>
        <v>0.79493663219417643</v>
      </c>
    </row>
    <row r="54" spans="2:9" ht="15.75" x14ac:dyDescent="0.25">
      <c r="B54" s="147" t="s">
        <v>5</v>
      </c>
      <c r="C54" s="73" t="s">
        <v>5</v>
      </c>
      <c r="D54" s="142" t="s">
        <v>373</v>
      </c>
      <c r="E54" s="234">
        <f>AVERAGEIF($E$62:$E$100,$D54,$I$62:$I$100)</f>
        <v>2.1955392698696299</v>
      </c>
      <c r="F54" s="234">
        <f t="shared" si="8"/>
        <v>2.1955392698696299</v>
      </c>
      <c r="G54" s="234">
        <f t="shared" si="9"/>
        <v>2.1955392698696299</v>
      </c>
    </row>
    <row r="55" spans="2:9" ht="15.75" x14ac:dyDescent="0.25">
      <c r="B55" s="147" t="s">
        <v>28</v>
      </c>
      <c r="C55" s="73" t="s">
        <v>28</v>
      </c>
      <c r="D55" s="142" t="s">
        <v>356</v>
      </c>
      <c r="E55" s="238">
        <v>18.7</v>
      </c>
      <c r="F55" s="234">
        <f t="shared" si="8"/>
        <v>8.2521993246824046</v>
      </c>
      <c r="G55" s="239">
        <f t="shared" si="9"/>
        <v>582.95353027572935</v>
      </c>
    </row>
    <row r="56" spans="2:9" ht="15.75" x14ac:dyDescent="0.25">
      <c r="B56" s="147" t="s">
        <v>32</v>
      </c>
      <c r="C56" s="73" t="s">
        <v>36</v>
      </c>
      <c r="D56" s="142" t="s">
        <v>369</v>
      </c>
      <c r="E56" s="236">
        <f>AVERAGEIF($E$62:$E$100,$D56,$I$62:$I$100)</f>
        <v>6.8137425616643696E-2</v>
      </c>
      <c r="F56" s="236">
        <f t="shared" si="8"/>
        <v>6.8137425616643696E-2</v>
      </c>
      <c r="G56" s="236">
        <f t="shared" si="9"/>
        <v>6.8137425616643696E-2</v>
      </c>
    </row>
    <row r="57" spans="2:9" ht="15.75" x14ac:dyDescent="0.25">
      <c r="B57" s="147" t="s">
        <v>6</v>
      </c>
      <c r="C57" s="73" t="s">
        <v>6</v>
      </c>
      <c r="D57" s="142" t="s">
        <v>364</v>
      </c>
      <c r="E57" s="240">
        <f>AVERAGEIF($E$62:$E$100,$D57,$I$62:$I$100)</f>
        <v>3.7854125342579831E-3</v>
      </c>
      <c r="F57" s="240">
        <f t="shared" si="8"/>
        <v>3.7854125342579831E-3</v>
      </c>
      <c r="G57" s="240">
        <f t="shared" si="9"/>
        <v>3.7854125342579831E-3</v>
      </c>
    </row>
    <row r="59" spans="2:9" x14ac:dyDescent="0.25">
      <c r="C59" s="228" t="s">
        <v>445</v>
      </c>
    </row>
    <row r="60" spans="2:9" x14ac:dyDescent="0.25">
      <c r="C60" s="10" t="s">
        <v>446</v>
      </c>
    </row>
    <row r="61" spans="2:9" x14ac:dyDescent="0.25">
      <c r="B61" s="147"/>
      <c r="C61" s="46" t="s">
        <v>78</v>
      </c>
      <c r="D61" s="46" t="s">
        <v>73</v>
      </c>
      <c r="E61" s="46" t="s">
        <v>380</v>
      </c>
      <c r="F61" s="46" t="s">
        <v>377</v>
      </c>
      <c r="G61" s="46" t="s">
        <v>378</v>
      </c>
      <c r="H61" s="46" t="s">
        <v>379</v>
      </c>
      <c r="I61" s="46" t="s">
        <v>434</v>
      </c>
    </row>
    <row r="62" spans="2:9" x14ac:dyDescent="0.25">
      <c r="B62" s="147"/>
      <c r="C62" s="142" t="s">
        <v>5</v>
      </c>
      <c r="D62" s="142" t="s">
        <v>430</v>
      </c>
      <c r="E62" s="58" t="s">
        <v>359</v>
      </c>
      <c r="F62" s="236">
        <v>0.57999999999999996</v>
      </c>
      <c r="G62" s="142" t="s">
        <v>422</v>
      </c>
      <c r="H62" s="142" t="s">
        <v>381</v>
      </c>
      <c r="I62" s="234">
        <f>F62/Conversions!$C$4*Conversions!$C$8</f>
        <v>2.1955392698696299</v>
      </c>
    </row>
    <row r="63" spans="2:9" x14ac:dyDescent="0.25">
      <c r="B63" s="147"/>
      <c r="C63" s="142" t="s">
        <v>7</v>
      </c>
      <c r="D63" s="142" t="s">
        <v>426</v>
      </c>
      <c r="E63" s="58" t="s">
        <v>358</v>
      </c>
      <c r="F63" s="236">
        <v>0.31</v>
      </c>
      <c r="G63" s="142" t="s">
        <v>422</v>
      </c>
      <c r="H63" s="142" t="s">
        <v>381</v>
      </c>
      <c r="I63" s="234">
        <f>F63/Conversions!$C$4*Conversions!$C$8</f>
        <v>1.1734778856199748</v>
      </c>
    </row>
    <row r="64" spans="2:9" x14ac:dyDescent="0.25">
      <c r="B64" s="147"/>
      <c r="C64" s="142" t="s">
        <v>27</v>
      </c>
      <c r="D64" s="142" t="s">
        <v>423</v>
      </c>
      <c r="E64" s="58" t="s">
        <v>353</v>
      </c>
      <c r="F64" s="236">
        <v>0.54</v>
      </c>
      <c r="G64" s="142" t="s">
        <v>422</v>
      </c>
      <c r="H64" s="142" t="s">
        <v>381</v>
      </c>
      <c r="I64" s="234">
        <f>F64/Conversions!$C$4*Conversions!$C$8</f>
        <v>2.0441227684993106</v>
      </c>
    </row>
    <row r="65" spans="2:9" x14ac:dyDescent="0.25">
      <c r="B65" s="147"/>
      <c r="C65" s="142" t="s">
        <v>27</v>
      </c>
      <c r="D65" s="142" t="s">
        <v>424</v>
      </c>
      <c r="E65" s="58" t="s">
        <v>347</v>
      </c>
      <c r="F65" s="236">
        <f>($F$69/$F$70)*$F$64</f>
        <v>0.9771428571428572</v>
      </c>
      <c r="G65" s="142" t="s">
        <v>422</v>
      </c>
      <c r="H65" s="142" t="s">
        <v>381</v>
      </c>
      <c r="I65" s="234">
        <f>F65/Conversions!$C$4*Conversions!$C$8</f>
        <v>3.6988888191892295</v>
      </c>
    </row>
    <row r="66" spans="2:9" x14ac:dyDescent="0.25">
      <c r="B66" s="147"/>
      <c r="C66" s="142" t="s">
        <v>27</v>
      </c>
      <c r="D66" s="142" t="s">
        <v>423</v>
      </c>
      <c r="E66" s="58" t="s">
        <v>348</v>
      </c>
      <c r="F66" s="236">
        <v>0.54</v>
      </c>
      <c r="G66" s="142" t="s">
        <v>422</v>
      </c>
      <c r="H66" s="142" t="s">
        <v>381</v>
      </c>
      <c r="I66" s="234">
        <f>F66/Conversions!$C$4*Conversions!$C$8</f>
        <v>2.0441227684993106</v>
      </c>
    </row>
    <row r="67" spans="2:9" x14ac:dyDescent="0.25">
      <c r="B67" s="147"/>
      <c r="C67" s="142" t="s">
        <v>27</v>
      </c>
      <c r="D67" s="142" t="s">
        <v>425</v>
      </c>
      <c r="E67" s="58" t="s">
        <v>350</v>
      </c>
      <c r="F67" s="236">
        <v>0.32</v>
      </c>
      <c r="G67" s="142" t="s">
        <v>422</v>
      </c>
      <c r="H67" s="142" t="s">
        <v>381</v>
      </c>
      <c r="I67" s="234">
        <f>F67/Conversions!$C$4*Conversions!$C$8</f>
        <v>1.2113320109625545</v>
      </c>
    </row>
    <row r="68" spans="2:9" x14ac:dyDescent="0.25">
      <c r="B68" s="147"/>
      <c r="C68" s="142" t="s">
        <v>4</v>
      </c>
      <c r="D68" s="142" t="s">
        <v>417</v>
      </c>
      <c r="E68" s="58" t="s">
        <v>352</v>
      </c>
      <c r="F68" s="237">
        <v>0</v>
      </c>
      <c r="G68" s="142" t="s">
        <v>422</v>
      </c>
      <c r="H68" s="142" t="s">
        <v>381</v>
      </c>
      <c r="I68" s="237">
        <f>F68/Conversions!$C$4*Conversions!$C$8</f>
        <v>0</v>
      </c>
    </row>
    <row r="69" spans="2:9" x14ac:dyDescent="0.25">
      <c r="B69" s="147"/>
      <c r="C69" s="142" t="s">
        <v>4</v>
      </c>
      <c r="D69" s="142" t="s">
        <v>418</v>
      </c>
      <c r="E69" s="58" t="s">
        <v>349</v>
      </c>
      <c r="F69" s="236">
        <v>0.38</v>
      </c>
      <c r="G69" s="142" t="s">
        <v>422</v>
      </c>
      <c r="H69" s="142" t="s">
        <v>381</v>
      </c>
      <c r="I69" s="234">
        <f>F69/Conversions!$C$4*Conversions!$C$8</f>
        <v>1.4384567630180336</v>
      </c>
    </row>
    <row r="70" spans="2:9" x14ac:dyDescent="0.25">
      <c r="B70" s="147"/>
      <c r="C70" s="142" t="s">
        <v>4</v>
      </c>
      <c r="D70" s="142" t="s">
        <v>419</v>
      </c>
      <c r="E70" s="58" t="s">
        <v>346</v>
      </c>
      <c r="F70" s="236">
        <v>0.21</v>
      </c>
      <c r="G70" s="142" t="s">
        <v>422</v>
      </c>
      <c r="H70" s="142" t="s">
        <v>381</v>
      </c>
      <c r="I70" s="236">
        <f>F70/Conversions!$C$4*Conversions!$C$8</f>
        <v>0.79493663219417643</v>
      </c>
    </row>
    <row r="71" spans="2:9" x14ac:dyDescent="0.25">
      <c r="B71" s="147"/>
      <c r="C71" s="142" t="s">
        <v>28</v>
      </c>
      <c r="D71" s="142" t="s">
        <v>420</v>
      </c>
      <c r="E71" s="58" t="s">
        <v>356</v>
      </c>
      <c r="F71" s="234">
        <v>9.85</v>
      </c>
      <c r="G71" s="142" t="s">
        <v>422</v>
      </c>
      <c r="H71" s="142" t="s">
        <v>381</v>
      </c>
      <c r="I71" s="238">
        <f>F71/Conversions!$C$4*Conversions!$C$8</f>
        <v>37.286313462441129</v>
      </c>
    </row>
    <row r="72" spans="2:9" x14ac:dyDescent="0.25">
      <c r="B72" s="147"/>
      <c r="C72" s="142" t="s">
        <v>8</v>
      </c>
      <c r="D72" s="142" t="s">
        <v>421</v>
      </c>
      <c r="E72" s="58" t="s">
        <v>357</v>
      </c>
      <c r="F72" s="236">
        <v>0.61</v>
      </c>
      <c r="G72" s="142" t="s">
        <v>422</v>
      </c>
      <c r="H72" s="142" t="s">
        <v>381</v>
      </c>
      <c r="I72" s="234">
        <f>F72/Conversions!$C$4*Conversions!$C$8</f>
        <v>2.3091016458973694</v>
      </c>
    </row>
    <row r="73" spans="2:9" x14ac:dyDescent="0.25">
      <c r="B73" s="147"/>
      <c r="C73" s="142" t="s">
        <v>6</v>
      </c>
      <c r="D73" s="142" t="s">
        <v>417</v>
      </c>
      <c r="E73" s="58" t="s">
        <v>355</v>
      </c>
      <c r="F73" s="240">
        <v>1E-3</v>
      </c>
      <c r="G73" s="142" t="s">
        <v>422</v>
      </c>
      <c r="H73" s="142" t="s">
        <v>381</v>
      </c>
      <c r="I73" s="240">
        <f>F73/Conversions!$C$4*Conversions!$C$8</f>
        <v>3.7854125342579831E-3</v>
      </c>
    </row>
    <row r="74" spans="2:9" x14ac:dyDescent="0.25">
      <c r="B74" s="147"/>
      <c r="C74" s="142" t="s">
        <v>32</v>
      </c>
      <c r="D74" s="142" t="s">
        <v>36</v>
      </c>
      <c r="E74" s="58" t="s">
        <v>354</v>
      </c>
      <c r="F74" s="236">
        <v>1.7999999999999999E-2</v>
      </c>
      <c r="G74" s="142" t="s">
        <v>422</v>
      </c>
      <c r="H74" s="142" t="s">
        <v>381</v>
      </c>
      <c r="I74" s="236">
        <f>F74/Conversions!$C$4*Conversions!$C$8</f>
        <v>6.8137425616643696E-2</v>
      </c>
    </row>
    <row r="75" spans="2:9" x14ac:dyDescent="0.25">
      <c r="B75" s="147"/>
      <c r="C75" s="142" t="s">
        <v>27</v>
      </c>
      <c r="D75" s="142" t="s">
        <v>423</v>
      </c>
      <c r="E75" s="58" t="s">
        <v>371</v>
      </c>
      <c r="F75" s="236">
        <v>0.54</v>
      </c>
      <c r="G75" s="142" t="s">
        <v>422</v>
      </c>
      <c r="H75" s="142" t="s">
        <v>381</v>
      </c>
      <c r="I75" s="234">
        <f>F75/Conversions!$C$4*Conversions!$C$8</f>
        <v>2.0441227684993106</v>
      </c>
    </row>
    <row r="76" spans="2:9" x14ac:dyDescent="0.25">
      <c r="B76" s="147"/>
      <c r="C76" s="142" t="s">
        <v>4</v>
      </c>
      <c r="D76" s="142" t="s">
        <v>417</v>
      </c>
      <c r="E76" s="58" t="s">
        <v>370</v>
      </c>
      <c r="F76" s="237">
        <v>0</v>
      </c>
      <c r="G76" s="142" t="s">
        <v>422</v>
      </c>
      <c r="H76" s="142" t="s">
        <v>381</v>
      </c>
      <c r="I76" s="237">
        <f>F76/Conversions!$C$4*Conversions!$C$8</f>
        <v>0</v>
      </c>
    </row>
    <row r="77" spans="2:9" x14ac:dyDescent="0.25">
      <c r="B77" s="147"/>
      <c r="C77" s="142" t="s">
        <v>5</v>
      </c>
      <c r="D77" s="142" t="s">
        <v>430</v>
      </c>
      <c r="E77" s="58" t="s">
        <v>373</v>
      </c>
      <c r="F77" s="236">
        <v>0.57999999999999996</v>
      </c>
      <c r="G77" s="142" t="s">
        <v>422</v>
      </c>
      <c r="H77" s="142" t="s">
        <v>381</v>
      </c>
      <c r="I77" s="234">
        <f>F77/Conversions!$C$4*Conversions!$C$8</f>
        <v>2.1955392698696299</v>
      </c>
    </row>
    <row r="78" spans="2:9" x14ac:dyDescent="0.25">
      <c r="B78" s="147"/>
      <c r="C78" s="142" t="s">
        <v>32</v>
      </c>
      <c r="D78" s="142" t="s">
        <v>36</v>
      </c>
      <c r="E78" s="58" t="s">
        <v>369</v>
      </c>
      <c r="F78" s="236">
        <v>1.7999999999999999E-2</v>
      </c>
      <c r="G78" s="142" t="s">
        <v>422</v>
      </c>
      <c r="H78" s="142" t="s">
        <v>381</v>
      </c>
      <c r="I78" s="236">
        <f>F78/Conversions!$C$4*Conversions!$C$8</f>
        <v>6.8137425616643696E-2</v>
      </c>
    </row>
    <row r="79" spans="2:9" x14ac:dyDescent="0.25">
      <c r="B79" s="147"/>
      <c r="C79" s="142" t="s">
        <v>6</v>
      </c>
      <c r="D79" s="142" t="s">
        <v>417</v>
      </c>
      <c r="E79" s="58" t="s">
        <v>364</v>
      </c>
      <c r="F79" s="240">
        <v>1E-3</v>
      </c>
      <c r="G79" s="142" t="s">
        <v>422</v>
      </c>
      <c r="H79" s="142" t="s">
        <v>381</v>
      </c>
      <c r="I79" s="240">
        <f>F79/Conversions!$C$4*Conversions!$C$8</f>
        <v>3.7854125342579831E-3</v>
      </c>
    </row>
    <row r="80" spans="2:9" x14ac:dyDescent="0.25">
      <c r="B80" s="147"/>
      <c r="C80" s="142" t="s">
        <v>8</v>
      </c>
      <c r="D80" s="142" t="s">
        <v>421</v>
      </c>
      <c r="E80" s="58" t="s">
        <v>367</v>
      </c>
      <c r="F80" s="236">
        <v>0.61</v>
      </c>
      <c r="G80" s="142" t="s">
        <v>422</v>
      </c>
      <c r="H80" s="142" t="s">
        <v>381</v>
      </c>
      <c r="I80" s="234">
        <f>F80/Conversions!$C$4*Conversions!$C$8</f>
        <v>2.3091016458973694</v>
      </c>
    </row>
    <row r="81" spans="2:9" x14ac:dyDescent="0.25">
      <c r="B81" s="147"/>
      <c r="C81" s="142" t="s">
        <v>27</v>
      </c>
      <c r="D81" s="142" t="s">
        <v>429</v>
      </c>
      <c r="E81" s="58" t="s">
        <v>366</v>
      </c>
      <c r="F81" s="236">
        <v>0.54</v>
      </c>
      <c r="G81" s="142" t="s">
        <v>422</v>
      </c>
      <c r="H81" s="142" t="s">
        <v>381</v>
      </c>
      <c r="I81" s="234">
        <f>F81/Conversions!$C$4*Conversions!$C$8</f>
        <v>2.0441227684993106</v>
      </c>
    </row>
    <row r="82" spans="2:9" x14ac:dyDescent="0.25">
      <c r="B82" s="147"/>
      <c r="C82" s="142" t="s">
        <v>27</v>
      </c>
      <c r="D82" s="142" t="s">
        <v>429</v>
      </c>
      <c r="E82" s="58" t="s">
        <v>372</v>
      </c>
      <c r="F82" s="236">
        <v>0.54</v>
      </c>
      <c r="G82" s="142" t="s">
        <v>422</v>
      </c>
      <c r="H82" s="142" t="s">
        <v>381</v>
      </c>
      <c r="I82" s="234">
        <f>F82/Conversions!$C$4*Conversions!$C$8</f>
        <v>2.0441227684993106</v>
      </c>
    </row>
    <row r="83" spans="2:9" x14ac:dyDescent="0.25">
      <c r="B83" s="147"/>
      <c r="C83" s="142" t="s">
        <v>27</v>
      </c>
      <c r="D83" s="142" t="s">
        <v>428</v>
      </c>
      <c r="E83" s="58" t="s">
        <v>368</v>
      </c>
      <c r="F83" s="236">
        <f>($F$69/$F$70)*$F$64</f>
        <v>0.9771428571428572</v>
      </c>
      <c r="G83" s="142" t="s">
        <v>422</v>
      </c>
      <c r="H83" s="142" t="s">
        <v>381</v>
      </c>
      <c r="I83" s="234">
        <f>F83/Conversions!$C$4*Conversions!$C$8</f>
        <v>3.6988888191892295</v>
      </c>
    </row>
    <row r="84" spans="2:9" x14ac:dyDescent="0.25">
      <c r="B84" s="147"/>
      <c r="C84" s="142" t="s">
        <v>4</v>
      </c>
      <c r="D84" s="142" t="s">
        <v>418</v>
      </c>
      <c r="E84" s="58" t="s">
        <v>365</v>
      </c>
      <c r="F84" s="236">
        <v>0.38</v>
      </c>
      <c r="G84" s="142" t="s">
        <v>422</v>
      </c>
      <c r="H84" s="142" t="s">
        <v>381</v>
      </c>
      <c r="I84" s="234">
        <f>F84/Conversions!$C$4*Conversions!$C$8</f>
        <v>1.4384567630180336</v>
      </c>
    </row>
    <row r="85" spans="2:9" x14ac:dyDescent="0.25">
      <c r="B85" s="147"/>
      <c r="C85" s="142" t="s">
        <v>7</v>
      </c>
      <c r="D85" s="142" t="s">
        <v>427</v>
      </c>
      <c r="E85" s="58" t="s">
        <v>358</v>
      </c>
      <c r="F85" s="242">
        <v>0</v>
      </c>
      <c r="G85" s="142" t="s">
        <v>422</v>
      </c>
      <c r="H85" s="142" t="s">
        <v>381</v>
      </c>
      <c r="I85" s="237">
        <f>F85/Conversions!$C$4*Conversions!$C$8</f>
        <v>0</v>
      </c>
    </row>
    <row r="86" spans="2:9" ht="15.75" x14ac:dyDescent="0.25">
      <c r="B86" s="147"/>
      <c r="C86" s="142" t="s">
        <v>28</v>
      </c>
      <c r="D86" s="142"/>
      <c r="E86" s="58" t="s">
        <v>356</v>
      </c>
      <c r="F86" s="243">
        <v>2.1800000000000002</v>
      </c>
      <c r="G86" s="142" t="s">
        <v>422</v>
      </c>
      <c r="H86" s="235" t="s">
        <v>431</v>
      </c>
      <c r="I86" s="234">
        <f>F86/Conversions!$C$4*Conversions!$C$8</f>
        <v>8.2521993246824046</v>
      </c>
    </row>
    <row r="87" spans="2:9" ht="15.75" x14ac:dyDescent="0.25">
      <c r="B87" s="147"/>
      <c r="C87" s="142" t="s">
        <v>28</v>
      </c>
      <c r="D87" s="142"/>
      <c r="E87" s="58" t="s">
        <v>356</v>
      </c>
      <c r="F87" s="244">
        <v>154</v>
      </c>
      <c r="G87" s="142" t="s">
        <v>422</v>
      </c>
      <c r="H87" s="235" t="s">
        <v>431</v>
      </c>
      <c r="I87" s="239">
        <f>F87/Conversions!$C$4*Conversions!$C$8</f>
        <v>582.95353027572935</v>
      </c>
    </row>
    <row r="88" spans="2:9" x14ac:dyDescent="0.25">
      <c r="B88" s="147"/>
      <c r="C88" s="142" t="s">
        <v>49</v>
      </c>
      <c r="D88" s="142" t="s">
        <v>414</v>
      </c>
      <c r="E88" s="58" t="s">
        <v>351</v>
      </c>
      <c r="F88" s="234">
        <v>1.7</v>
      </c>
      <c r="G88" s="142" t="s">
        <v>422</v>
      </c>
      <c r="H88" s="142" t="s">
        <v>381</v>
      </c>
      <c r="I88" s="234">
        <f>F88/Conversions!$C$4*Conversions!$C$8</f>
        <v>6.4352013082385708</v>
      </c>
    </row>
    <row r="89" spans="2:9" x14ac:dyDescent="0.25">
      <c r="B89" s="147"/>
      <c r="C89" s="142" t="s">
        <v>49</v>
      </c>
      <c r="D89" s="142" t="s">
        <v>415</v>
      </c>
      <c r="E89" s="58" t="s">
        <v>351</v>
      </c>
      <c r="F89" s="234">
        <v>1.2</v>
      </c>
      <c r="G89" s="142" t="s">
        <v>422</v>
      </c>
      <c r="H89" s="142" t="s">
        <v>381</v>
      </c>
      <c r="I89" s="234">
        <f>F89/Conversions!$C$4*Conversions!$C$8</f>
        <v>4.5424950411095795</v>
      </c>
    </row>
    <row r="90" spans="2:9" x14ac:dyDescent="0.25">
      <c r="B90" s="147"/>
      <c r="C90" s="142" t="s">
        <v>49</v>
      </c>
      <c r="D90" s="142" t="s">
        <v>416</v>
      </c>
      <c r="E90" s="58" t="s">
        <v>351</v>
      </c>
      <c r="F90" s="245">
        <v>0.95</v>
      </c>
      <c r="G90" s="142" t="s">
        <v>422</v>
      </c>
      <c r="H90" s="142" t="s">
        <v>381</v>
      </c>
      <c r="I90" s="234">
        <f>F90/Conversions!$C$4*Conversions!$C$8</f>
        <v>3.5961419075450833</v>
      </c>
    </row>
    <row r="91" spans="2:9" x14ac:dyDescent="0.25">
      <c r="D91" s="233"/>
    </row>
    <row r="92" spans="2:9" x14ac:dyDescent="0.25">
      <c r="D92" s="233"/>
    </row>
    <row r="93" spans="2:9" x14ac:dyDescent="0.25">
      <c r="D93" s="233"/>
    </row>
    <row r="94" spans="2:9" x14ac:dyDescent="0.25">
      <c r="D94" s="233"/>
    </row>
    <row r="95" spans="2:9" x14ac:dyDescent="0.25">
      <c r="D95" s="233"/>
    </row>
    <row r="96" spans="2:9" x14ac:dyDescent="0.25">
      <c r="D96" s="233"/>
    </row>
    <row r="97" spans="4:4" x14ac:dyDescent="0.25">
      <c r="D97" s="233"/>
    </row>
    <row r="98" spans="4:4" x14ac:dyDescent="0.25">
      <c r="D98" s="233"/>
    </row>
    <row r="99" spans="4:4" x14ac:dyDescent="0.25">
      <c r="D99" s="233"/>
    </row>
    <row r="100" spans="4:4" x14ac:dyDescent="0.25">
      <c r="D100" s="233"/>
    </row>
    <row r="101" spans="4:4" x14ac:dyDescent="0.25">
      <c r="D101" s="233"/>
    </row>
    <row r="102" spans="4:4" x14ac:dyDescent="0.25">
      <c r="D102" s="233"/>
    </row>
    <row r="103" spans="4:4" x14ac:dyDescent="0.25">
      <c r="D103" s="233"/>
    </row>
    <row r="104" spans="4:4" x14ac:dyDescent="0.25">
      <c r="D104" s="233"/>
    </row>
    <row r="105" spans="4:4" x14ac:dyDescent="0.25">
      <c r="D105" s="233"/>
    </row>
    <row r="106" spans="4:4" x14ac:dyDescent="0.25">
      <c r="D106" s="233"/>
    </row>
    <row r="107" spans="4:4" x14ac:dyDescent="0.25">
      <c r="D107" s="233"/>
    </row>
    <row r="108" spans="4:4" x14ac:dyDescent="0.25">
      <c r="D108" s="233"/>
    </row>
    <row r="109" spans="4:4" x14ac:dyDescent="0.25">
      <c r="D109" s="233"/>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TOC</vt:lpstr>
      <vt:lpstr>CurrentGrids</vt:lpstr>
      <vt:lpstr>IN</vt:lpstr>
      <vt:lpstr>CN</vt:lpstr>
      <vt:lpstr>KE</vt:lpstr>
      <vt:lpstr>GH</vt:lpstr>
      <vt:lpstr>OpenLCA Parameters</vt:lpstr>
      <vt:lpstr>E_Tech</vt:lpstr>
      <vt:lpstr>Water Use</vt:lpstr>
      <vt:lpstr>References</vt:lpstr>
      <vt:lpstr>Conversions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Morelli</dc:creator>
  <cp:lastModifiedBy>Sarah Cashman</cp:lastModifiedBy>
  <dcterms:created xsi:type="dcterms:W3CDTF">2016-03-28T20:10:51Z</dcterms:created>
  <dcterms:modified xsi:type="dcterms:W3CDTF">2017-04-14T15:01:23Z</dcterms:modified>
</cp:coreProperties>
</file>