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charts/chart5.xml" ContentType="application/vnd.openxmlformats-officedocument.drawingml.chart+xml"/>
  <Override PartName="/xl/drawings/drawing12.xml" ContentType="application/vnd.openxmlformats-officedocument.drawingml.chartshapes+xml"/>
  <Override PartName="/xl/charts/chart6.xml" ContentType="application/vnd.openxmlformats-officedocument.drawingml.chart+xml"/>
  <Override PartName="/xl/drawings/drawing13.xml" ContentType="application/vnd.openxmlformats-officedocument.drawingml.chartshapes+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drawings/drawing16.xml" ContentType="application/vnd.openxmlformats-officedocument.drawingml.chartshapes+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ml.chartshapes+xml"/>
  <Override PartName="/xl/charts/chart13.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4.xml" ContentType="application/vnd.openxmlformats-officedocument.drawingml.chart+xml"/>
  <Override PartName="/xl/drawings/drawing24.xml" ContentType="application/vnd.openxmlformats-officedocument.drawingml.chartshapes+xml"/>
  <Override PartName="/xl/charts/chart15.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6.xml" ContentType="application/vnd.openxmlformats-officedocument.drawingml.chart+xml"/>
  <Override PartName="/xl/drawings/drawing27.xml" ContentType="application/vnd.openxmlformats-officedocument.drawingml.chartshapes+xml"/>
  <Override PartName="/xl/charts/chart1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8.xml" ContentType="application/vnd.openxmlformats-officedocument.drawingml.chart+xml"/>
  <Override PartName="/xl/drawings/drawing30.xml" ContentType="application/vnd.openxmlformats-officedocument.drawingml.chartshapes+xml"/>
  <Override PartName="/xl/charts/chart19.xml" ContentType="application/vnd.openxmlformats-officedocument.drawingml.chart+xml"/>
  <Override PartName="/xl/drawings/drawing31.xml" ContentType="application/vnd.openxmlformats-officedocument.drawingml.chartshapes+xml"/>
  <Override PartName="/xl/charts/chart20.xml" ContentType="application/vnd.openxmlformats-officedocument.drawingml.chart+xml"/>
  <Override PartName="/xl/drawings/drawing32.xml" ContentType="application/vnd.openxmlformats-officedocument.drawingml.chartshapes+xml"/>
  <Override PartName="/xl/charts/chart21.xml" ContentType="application/vnd.openxmlformats-officedocument.drawingml.chart+xml"/>
  <Override PartName="/xl/drawings/drawing33.xml" ContentType="application/vnd.openxmlformats-officedocument.drawingml.chartshapes+xml"/>
  <Override PartName="/xl/comments5.xml" ContentType="application/vnd.openxmlformats-officedocument.spreadsheetml.comments+xml"/>
  <Override PartName="/xl/drawings/drawing34.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drawings/drawing35.xml" ContentType="application/vnd.openxmlformats-officedocument.drawingml.chartshapes+xml"/>
  <Override PartName="/xl/charts/chart23.xml" ContentType="application/vnd.openxmlformats-officedocument.drawingml.chart+xml"/>
  <Override PartName="/xl/drawings/drawing36.xml" ContentType="application/vnd.openxmlformats-officedocument.drawing+xml"/>
  <Override PartName="/xl/comments7.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40.xml" ContentType="application/vnd.openxmlformats-officedocument.drawing+xml"/>
  <Override PartName="/xl/comments8.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45.xml" ContentType="application/vnd.openxmlformats-officedocument.drawingml.chartshapes+xml"/>
  <Override PartName="/xl/charts/chart41.xml" ContentType="application/vnd.openxmlformats-officedocument.drawingml.chart+xml"/>
  <Override PartName="/xl/drawings/drawing46.xml" ContentType="application/vnd.openxmlformats-officedocument.drawingml.chartshapes+xml"/>
  <Override PartName="/xl/charts/chart42.xml" ContentType="application/vnd.openxmlformats-officedocument.drawingml.chart+xml"/>
  <Override PartName="/xl/drawings/drawing4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drawings/drawing58.xml" ContentType="application/vnd.openxmlformats-officedocument.drawing+xml"/>
  <Override PartName="/xl/charts/chart54.xml" ContentType="application/vnd.openxmlformats-officedocument.drawingml.chart+xml"/>
  <Override PartName="/xl/drawings/drawing59.xml" ContentType="application/vnd.openxmlformats-officedocument.drawingml.chartshapes+xml"/>
  <Override PartName="/xl/charts/chart55.xml" ContentType="application/vnd.openxmlformats-officedocument.drawingml.chart+xml"/>
  <Override PartName="/xl/drawings/drawing60.xml" ContentType="application/vnd.openxmlformats-officedocument.drawingml.chartshapes+xml"/>
  <Override PartName="/xl/charts/chart56.xml" ContentType="application/vnd.openxmlformats-officedocument.drawingml.chart+xml"/>
  <Override PartName="/xl/drawings/drawing61.xml" ContentType="application/vnd.openxmlformats-officedocument.drawingml.chartshapes+xml"/>
  <Override PartName="/xl/charts/chart57.xml" ContentType="application/vnd.openxmlformats-officedocument.drawingml.chart+xml"/>
  <Override PartName="/xl/drawings/drawing62.xml" ContentType="application/vnd.openxmlformats-officedocument.drawingml.chartshapes+xml"/>
  <Override PartName="/xl/charts/chart58.xml" ContentType="application/vnd.openxmlformats-officedocument.drawingml.chart+xml"/>
  <Override PartName="/xl/drawings/drawing63.xml" ContentType="application/vnd.openxmlformats-officedocument.drawingml.chartshapes+xml"/>
  <Override PartName="/xl/charts/chart59.xml" ContentType="application/vnd.openxmlformats-officedocument.drawingml.chart+xml"/>
  <Override PartName="/xl/drawings/drawing64.xml" ContentType="application/vnd.openxmlformats-officedocument.drawingml.chartshapes+xml"/>
  <Override PartName="/xl/charts/chart60.xml" ContentType="application/vnd.openxmlformats-officedocument.drawingml.chart+xml"/>
  <Override PartName="/xl/drawings/drawing65.xml" ContentType="application/vnd.openxmlformats-officedocument.drawingml.chartshapes+xml"/>
  <Override PartName="/xl/charts/chart61.xml" ContentType="application/vnd.openxmlformats-officedocument.drawingml.chart+xml"/>
  <Override PartName="/xl/drawings/drawing6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showInkAnnotation="0" codeName="ThisWorkbook"/>
  <mc:AlternateContent xmlns:mc="http://schemas.openxmlformats.org/markup-compatibility/2006">
    <mc:Choice Requires="x15">
      <x15ac:absPath xmlns:x15ac="http://schemas.microsoft.com/office/spreadsheetml/2010/11/ac" url="C:\Users\mmurrell\Google Drive\_SPAM_MCM\"/>
    </mc:Choice>
  </mc:AlternateContent>
  <bookViews>
    <workbookView xWindow="0" yWindow="0" windowWidth="12288" windowHeight="9156" tabRatio="789"/>
  </bookViews>
  <sheets>
    <sheet name="MetaData" sheetId="276" r:id="rId1"/>
    <sheet name="Raw" sheetId="235" r:id="rId2"/>
    <sheet name="SUM" sheetId="1" r:id="rId3"/>
    <sheet name="T_1" sheetId="252" r:id="rId4"/>
    <sheet name="T_2" sheetId="249" r:id="rId5"/>
    <sheet name="T_3" sheetId="275" r:id="rId6"/>
    <sheet name="T_4" sheetId="256" r:id="rId7"/>
    <sheet name="T_5" sheetId="265" r:id="rId8"/>
    <sheet name="T_6" sheetId="266" r:id="rId9"/>
    <sheet name="Correl" sheetId="69" r:id="rId10"/>
    <sheet name="F_1" sheetId="211" r:id="rId11"/>
    <sheet name="F_2" sheetId="232" r:id="rId12"/>
    <sheet name="F_3" sheetId="237" r:id="rId13"/>
    <sheet name="F_4" sheetId="233" r:id="rId14"/>
    <sheet name="F_5" sheetId="260" r:id="rId15"/>
    <sheet name="F_6" sheetId="261" r:id="rId16"/>
    <sheet name="F_7" sheetId="262" r:id="rId17"/>
    <sheet name="F_8" sheetId="248" r:id="rId18"/>
    <sheet name="ANOVA" sheetId="272" r:id="rId19"/>
    <sheet name="SP01" sheetId="4" r:id="rId20"/>
    <sheet name="SP02" sheetId="20" r:id="rId21"/>
    <sheet name="CCA" sheetId="264" r:id="rId22"/>
    <sheet name="FDOM_v_Sal" sheetId="151" r:id="rId23"/>
    <sheet name="tide" sheetId="198" r:id="rId24"/>
    <sheet name="Chl_cal" sheetId="251" r:id="rId25"/>
    <sheet name="3_WAY" sheetId="223" r:id="rId26"/>
    <sheet name="2_WAY" sheetId="219" r:id="rId27"/>
    <sheet name="Duarte PR model" sheetId="268" r:id="rId28"/>
    <sheet name="F_6-8  presentation" sheetId="269" r:id="rId29"/>
    <sheet name="F_10_not_included" sheetId="96" r:id="rId30"/>
    <sheet name="T_4_alt" sheetId="270" r:id="rId31"/>
    <sheet name="F_5_old" sheetId="213" r:id="rId32"/>
    <sheet name="T_x" sheetId="274" r:id="rId33"/>
  </sheets>
  <externalReferences>
    <externalReference r:id="rId34"/>
    <externalReference r:id="rId35"/>
    <externalReference r:id="rId36"/>
  </externalReferences>
  <definedNames>
    <definedName name="_xlnm._FilterDatabase" localSheetId="18" hidden="1">ANOVA!#REF!</definedName>
    <definedName name="_xlnm._FilterDatabase" localSheetId="1" hidden="1">Raw!$M$4:$AI$24</definedName>
    <definedName name="_xlnm._FilterDatabase" localSheetId="19" hidden="1">'SP01'!$A$2:$AF$176</definedName>
    <definedName name="_xlnm._FilterDatabase" localSheetId="20" hidden="1">'SP02'!$AG$2:$AI$177</definedName>
    <definedName name="_xlnm._FilterDatabase" localSheetId="2" hidden="1">SUM!#REF!</definedName>
    <definedName name="chl.a">Raw!$F$5:$F$24</definedName>
    <definedName name="DO.ctd">Raw!$P$25:$P$44</definedName>
    <definedName name="DO.wqm">Raw!$AD$5:$AD$44</definedName>
    <definedName name="Dosat.ctd">Raw!$Q$25:$Q$44</definedName>
    <definedName name="Dosat.wqm">Raw!$AE$5:$AE$44</definedName>
    <definedName name="dSal" localSheetId="18">[1]Raw!$W$5:$W$24</definedName>
    <definedName name="dSal">Raw!$W$5:$W$24</definedName>
    <definedName name="dSal.C" localSheetId="18">[1]Raw!$W$25:$W$44</definedName>
    <definedName name="dSal.C">Raw!$W$25:$W$44</definedName>
    <definedName name="dSigT">Raw!$V$5:$V$24</definedName>
    <definedName name="dSigT.C">Raw!$V$25:$V$44</definedName>
    <definedName name="FDOM.ctd">Raw!$T$25:$T$44</definedName>
    <definedName name="FDOM.wqm">Raw!$AG$5:$AG$44</definedName>
    <definedName name="FL.ctd">Raw!$R$25:$R$44</definedName>
    <definedName name="FL.wqm">Raw!$AF$5:$AF$44</definedName>
    <definedName name="I.avg" localSheetId="18">ANOVA!#REF!</definedName>
    <definedName name="I.avg">SUM!$AQ$5:$AQ$24</definedName>
    <definedName name="I.avg.C" localSheetId="18">ANOVA!#REF!</definedName>
    <definedName name="I.avg.C">SUM!$AQ$25:$AQ$44</definedName>
    <definedName name="I.SWI" localSheetId="18">ANOVA!#REF!</definedName>
    <definedName name="I.SWI">SUM!$AR$5:$AR$24</definedName>
    <definedName name="I.SWI.C" localSheetId="18">ANOVA!#REF!</definedName>
    <definedName name="I.SWI.C">SUM!$AR$25:$AR$44</definedName>
    <definedName name="neg.Rt.E" localSheetId="18">ANOVA!#REF!</definedName>
    <definedName name="neg.Rt.E">SUM!$AD$5:$AD$24</definedName>
    <definedName name="neg.Rt.E.C" localSheetId="18">ANOVA!#REF!</definedName>
    <definedName name="neg.Rt.E.C">SUM!$AD$25:$AD$44</definedName>
    <definedName name="neg.Rt.P" localSheetId="18">ANOVA!#REF!</definedName>
    <definedName name="neg.Rt.P">SUM!$T$5:$T$24</definedName>
    <definedName name="neg.Rt.P.C" localSheetId="18">ANOVA!#REF!</definedName>
    <definedName name="neg.Rt.P.C">SUM!$T$25:$T$44</definedName>
    <definedName name="neg.Rt.R" localSheetId="18">ANOVA!#REF!</definedName>
    <definedName name="neg.Rt.R">SUM!$AK$5:$AK$24</definedName>
    <definedName name="neg.Rt.R.C" localSheetId="18">ANOVA!#REF!</definedName>
    <definedName name="neg.Rt.R.C">SUM!$AK$25:$AK$44</definedName>
    <definedName name="NEM.E" localSheetId="18">ANOVA!#REF!</definedName>
    <definedName name="NEM.E">SUM!$AF$5:$AF$24</definedName>
    <definedName name="NEM.E.C" localSheetId="18">ANOVA!#REF!</definedName>
    <definedName name="NEM.E.C">SUM!$AF$25:$AF$44</definedName>
    <definedName name="NEM.P" localSheetId="18">ANOVA!#REF!</definedName>
    <definedName name="NEM.P">SUM!$V$5:$V$24</definedName>
    <definedName name="NEM.P.C" localSheetId="18">ANOVA!#REF!</definedName>
    <definedName name="NEM.P.C">SUM!$V$25:$V$44</definedName>
    <definedName name="NEM.R" localSheetId="18">ANOVA!#REF!</definedName>
    <definedName name="NEM.R">SUM!$AL$5:$AL$24</definedName>
    <definedName name="NEM.R.C" localSheetId="18">ANOVA!#REF!</definedName>
    <definedName name="NEM.R.C">SUM!$AL$25:$AL$44</definedName>
    <definedName name="null1" localSheetId="18">ANOVA!#REF!</definedName>
    <definedName name="null1">SUM!$Y$5:$Y$24</definedName>
    <definedName name="null1.C" localSheetId="18">ANOVA!#REF!</definedName>
    <definedName name="null1.C">SUM!$Y$25:$Y$44</definedName>
    <definedName name="null3" localSheetId="18">ANOVA!#REF!</definedName>
    <definedName name="null3">SUM!$AH$5:$AH$24</definedName>
    <definedName name="null3.C" localSheetId="18">ANOVA!#REF!</definedName>
    <definedName name="null3.C">SUM!$AH$25:$AH$44</definedName>
    <definedName name="P_R.E" localSheetId="18">ANOVA!#REF!</definedName>
    <definedName name="P_R.E">SUM!$AG$5:$AG$24</definedName>
    <definedName name="P_R.E.C" localSheetId="18">ANOVA!#REF!</definedName>
    <definedName name="P_R.E.C">SUM!$AG$25:$AG$44</definedName>
    <definedName name="P_R.P" localSheetId="18">ANOVA!#REF!</definedName>
    <definedName name="P_R.P">SUM!$W$5:$W$24</definedName>
    <definedName name="P_R.P.C" localSheetId="18">ANOVA!#REF!</definedName>
    <definedName name="P_R.P.C">SUM!$W$25:$W$44</definedName>
    <definedName name="P_R.R" localSheetId="18">ANOVA!#REF!</definedName>
    <definedName name="P_R.R">SUM!$AM$5:$AM$24</definedName>
    <definedName name="Pg.E" localSheetId="18">ANOVA!#REF!</definedName>
    <definedName name="Pg.E">SUM!$AC$5:$AC$24</definedName>
    <definedName name="Pg.E.C" localSheetId="18">ANOVA!#REF!</definedName>
    <definedName name="Pg.E.C">SUM!$AC$25:$AC$44</definedName>
    <definedName name="Pg.P" localSheetId="18">ANOVA!#REF!</definedName>
    <definedName name="Pg.P">SUM!$S$5:$S$24</definedName>
    <definedName name="Pg.P.C" localSheetId="18">ANOVA!#REF!</definedName>
    <definedName name="Pg.P.C">SUM!$S$25:$S$44</definedName>
    <definedName name="Pg.P.new" localSheetId="18">ANOVA!#REF!</definedName>
    <definedName name="Pg.P.new">SUM!$X$5:$X$24</definedName>
    <definedName name="Pg.P.new.C" localSheetId="18">ANOVA!#REF!</definedName>
    <definedName name="Pg.P.new.C">SUM!$X$25:$X$44</definedName>
    <definedName name="Pg.R" localSheetId="18">ANOVA!#REF!</definedName>
    <definedName name="Pg.R">SUM!$AI$5:$AI$24</definedName>
    <definedName name="Pg.R.C" localSheetId="18">ANOVA!#REF!</definedName>
    <definedName name="Pg.R.C">SUM!$AI$25:$AI$44</definedName>
    <definedName name="_xlnm.Print_Area" localSheetId="10">F_1!$A$1:$L$49</definedName>
    <definedName name="Rt.E" localSheetId="18">ANOVA!#REF!</definedName>
    <definedName name="Rt.E">SUM!$AE$5:$AE$24</definedName>
    <definedName name="Rt.E.C" localSheetId="18">ANOVA!#REF!</definedName>
    <definedName name="Rt.E.C">SUM!$AE$25:$AE$44</definedName>
    <definedName name="Rt.P" localSheetId="18">ANOVA!#REF!</definedName>
    <definedName name="Rt.P">SUM!$U$5:$U$24</definedName>
    <definedName name="Rt.P.C" localSheetId="18">ANOVA!#REF!</definedName>
    <definedName name="Rt.P.C">SUM!$U$25:$U$44</definedName>
    <definedName name="Rt.R" localSheetId="18">ANOVA!#REF!</definedName>
    <definedName name="Rt.R">SUM!$AJ$5:$AJ$24</definedName>
    <definedName name="Rt.R.C" localSheetId="18">ANOVA!#REF!</definedName>
    <definedName name="Rt.R.C">SUM!$AJ$25:$AJ$44</definedName>
    <definedName name="Sal.ctd">Raw!$N$25:$N$44</definedName>
    <definedName name="Sal.wqm">Raw!$AB$5:$AB$44</definedName>
    <definedName name="SigT.ctd">Raw!$O$25:$O$44</definedName>
    <definedName name="SigT.wqm">Raw!$AC$5:$AC$44</definedName>
    <definedName name="Temp.ctd">Raw!$M$25:$M$44</definedName>
    <definedName name="Temp.wqm">Raw!$AA$5:$AA$44</definedName>
    <definedName name="Turb.ctd">Raw!$S$25:$S$44</definedName>
    <definedName name="Turb.wqm">Raw!$AH$5:$AH$44</definedName>
    <definedName name="wc.chl.a" localSheetId="18">[1]Raw!$G$5:$G$24</definedName>
    <definedName name="wc.chl.a">Raw!$G$5:$G$24</definedName>
    <definedName name="wc.chl.a.C" localSheetId="18">[1]Raw!$G$25:$G$44</definedName>
    <definedName name="wc.chl.a.C">Raw!$G$25:$G$44</definedName>
    <definedName name="wc.sal.ctd" localSheetId="18">[1]Raw!$I$5:$I$24</definedName>
    <definedName name="wc.sal.ctd">Raw!$I$5:$I$24</definedName>
    <definedName name="wc.sal.ctd.C" localSheetId="18">[1]Raw!$I$25:$I$44</definedName>
    <definedName name="wc.sal.ctd.C">Raw!$I$25:$I$44</definedName>
    <definedName name="wc.temp.ctd" localSheetId="18">[1]Raw!$H$5:$H$24</definedName>
    <definedName name="wc.temp.ctd">Raw!$H$5:$H$24</definedName>
    <definedName name="wc.temp.ctd.C" localSheetId="18">[1]Raw!$H$25:$H$44</definedName>
    <definedName name="wc.temp.ctd.C">Raw!$H$25:$H$44</definedName>
  </definedNames>
  <calcPr calcId="171027"/>
</workbook>
</file>

<file path=xl/calcChain.xml><?xml version="1.0" encoding="utf-8"?>
<calcChain xmlns="http://schemas.openxmlformats.org/spreadsheetml/2006/main">
  <c r="L201" i="20" l="1"/>
  <c r="N198" i="20" l="1"/>
  <c r="N197" i="20"/>
  <c r="N196" i="20"/>
  <c r="N195" i="20"/>
  <c r="N194" i="20"/>
  <c r="N191" i="20"/>
  <c r="N190" i="20"/>
  <c r="N189" i="20"/>
  <c r="N188" i="20"/>
  <c r="N187" i="20"/>
  <c r="N184" i="20"/>
  <c r="N181" i="20" s="1"/>
  <c r="N183" i="20"/>
  <c r="N182" i="20"/>
  <c r="N180" i="20"/>
  <c r="O3" i="4"/>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3" i="20"/>
  <c r="O4" i="20"/>
  <c r="O5" i="20"/>
  <c r="O6" i="20"/>
  <c r="O7" i="20"/>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M180" i="20"/>
  <c r="M182" i="20"/>
  <c r="M183" i="20"/>
  <c r="M184" i="20"/>
  <c r="M181" i="20" s="1"/>
  <c r="M187" i="20"/>
  <c r="M189" i="20"/>
  <c r="M190" i="20"/>
  <c r="M191" i="20"/>
  <c r="M188" i="20" s="1"/>
  <c r="M194" i="20"/>
  <c r="M196" i="20"/>
  <c r="M197" i="20"/>
  <c r="M198" i="20"/>
  <c r="M195" i="20" s="1"/>
  <c r="N176" i="20"/>
  <c r="N175" i="20"/>
  <c r="N174" i="20"/>
  <c r="N173" i="20"/>
  <c r="N172" i="20"/>
  <c r="N171" i="20"/>
  <c r="N170" i="20"/>
  <c r="N169" i="20"/>
  <c r="N168" i="20"/>
  <c r="N167" i="20"/>
  <c r="N166" i="20"/>
  <c r="N165" i="20"/>
  <c r="N164" i="20"/>
  <c r="N163" i="20"/>
  <c r="N162" i="20"/>
  <c r="N161" i="20"/>
  <c r="N160" i="20"/>
  <c r="N159" i="20"/>
  <c r="N158" i="20"/>
  <c r="N157" i="20"/>
  <c r="N156" i="20"/>
  <c r="N155" i="20"/>
  <c r="N154" i="20"/>
  <c r="N153" i="20"/>
  <c r="N152" i="20"/>
  <c r="N151" i="20"/>
  <c r="N150" i="20"/>
  <c r="N149" i="20"/>
  <c r="N148" i="20"/>
  <c r="N147" i="20"/>
  <c r="N146" i="20"/>
  <c r="N145" i="20"/>
  <c r="N144" i="20"/>
  <c r="N143" i="20"/>
  <c r="N142" i="20"/>
  <c r="N141" i="20"/>
  <c r="N140" i="20"/>
  <c r="N139" i="20"/>
  <c r="N138" i="20"/>
  <c r="N137" i="20"/>
  <c r="N136" i="20"/>
  <c r="N135" i="20"/>
  <c r="N134" i="20"/>
  <c r="N133" i="20"/>
  <c r="N132" i="20"/>
  <c r="N131" i="20"/>
  <c r="N130" i="20"/>
  <c r="N129" i="20"/>
  <c r="N128" i="20"/>
  <c r="N127" i="20"/>
  <c r="N126" i="20"/>
  <c r="N125" i="20"/>
  <c r="N124" i="20"/>
  <c r="N123" i="20"/>
  <c r="N122" i="20"/>
  <c r="N121" i="20"/>
  <c r="N120" i="20"/>
  <c r="N119" i="20"/>
  <c r="N118" i="20"/>
  <c r="N117" i="20"/>
  <c r="N116" i="20"/>
  <c r="N115" i="20"/>
  <c r="N114" i="20"/>
  <c r="N113" i="20"/>
  <c r="N112" i="20"/>
  <c r="N111" i="20"/>
  <c r="N110" i="20"/>
  <c r="N109" i="20"/>
  <c r="N108" i="20"/>
  <c r="N107" i="20"/>
  <c r="N106" i="20"/>
  <c r="N105" i="20"/>
  <c r="N104" i="20"/>
  <c r="N103" i="20"/>
  <c r="N102" i="20"/>
  <c r="N101" i="20"/>
  <c r="N100" i="20"/>
  <c r="N99" i="20"/>
  <c r="N98" i="20"/>
  <c r="N97" i="20"/>
  <c r="N96" i="20"/>
  <c r="N95" i="20"/>
  <c r="N94" i="20"/>
  <c r="N93" i="20"/>
  <c r="N83" i="20"/>
  <c r="N82" i="20"/>
  <c r="N81" i="20"/>
  <c r="N80" i="20"/>
  <c r="N79" i="20"/>
  <c r="N78" i="20"/>
  <c r="N77" i="20"/>
  <c r="N76" i="20"/>
  <c r="N75" i="20"/>
  <c r="N74" i="20"/>
  <c r="N73" i="20"/>
  <c r="N72" i="20"/>
  <c r="N71" i="20"/>
  <c r="N70" i="20"/>
  <c r="N69" i="20"/>
  <c r="N68" i="20"/>
  <c r="N67" i="20"/>
  <c r="N66" i="20"/>
  <c r="N65" i="20"/>
  <c r="N64" i="20"/>
  <c r="N63" i="20"/>
  <c r="N62" i="20"/>
  <c r="N61" i="20"/>
  <c r="N60" i="20"/>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197" i="4" s="1"/>
  <c r="R198" i="20"/>
  <c r="R195" i="20" s="1"/>
  <c r="Q198" i="20"/>
  <c r="P198" i="20"/>
  <c r="P195" i="20" s="1"/>
  <c r="L198" i="20"/>
  <c r="L195" i="20" s="1"/>
  <c r="K198" i="20"/>
  <c r="J198" i="20"/>
  <c r="R197" i="20"/>
  <c r="Q197" i="20"/>
  <c r="P197" i="20"/>
  <c r="L197" i="20"/>
  <c r="K197" i="20"/>
  <c r="J197" i="20"/>
  <c r="R196" i="20"/>
  <c r="Q196" i="20"/>
  <c r="P196" i="20"/>
  <c r="L196" i="20"/>
  <c r="K196" i="20"/>
  <c r="J196" i="20"/>
  <c r="Q195" i="20"/>
  <c r="K195" i="20"/>
  <c r="J195" i="20"/>
  <c r="R194" i="20"/>
  <c r="Q194" i="20"/>
  <c r="P194" i="20"/>
  <c r="L194" i="20"/>
  <c r="K194" i="20"/>
  <c r="J194" i="20"/>
  <c r="R191" i="20"/>
  <c r="R188" i="20" s="1"/>
  <c r="Q191" i="20"/>
  <c r="Q188" i="20" s="1"/>
  <c r="P191" i="20"/>
  <c r="P188" i="20" s="1"/>
  <c r="L191" i="20"/>
  <c r="L188" i="20" s="1"/>
  <c r="K191" i="20"/>
  <c r="K188" i="20" s="1"/>
  <c r="J191" i="20"/>
  <c r="R190" i="20"/>
  <c r="Q190" i="20"/>
  <c r="P190" i="20"/>
  <c r="L190" i="20"/>
  <c r="K190" i="20"/>
  <c r="J190" i="20"/>
  <c r="R189" i="20"/>
  <c r="Q189" i="20"/>
  <c r="P189" i="20"/>
  <c r="L189" i="20"/>
  <c r="K189" i="20"/>
  <c r="J189" i="20"/>
  <c r="J188" i="20"/>
  <c r="R187" i="20"/>
  <c r="Q187" i="20"/>
  <c r="P187" i="20"/>
  <c r="L187" i="20"/>
  <c r="K187" i="20"/>
  <c r="J187" i="20"/>
  <c r="R184" i="20"/>
  <c r="R181" i="20" s="1"/>
  <c r="Q184" i="20"/>
  <c r="Q181" i="20" s="1"/>
  <c r="P184" i="20"/>
  <c r="P181" i="20" s="1"/>
  <c r="L184" i="20"/>
  <c r="L181" i="20" s="1"/>
  <c r="K184" i="20"/>
  <c r="K181" i="20" s="1"/>
  <c r="J184" i="20"/>
  <c r="J181" i="20" s="1"/>
  <c r="R183" i="20"/>
  <c r="Q183" i="20"/>
  <c r="P183" i="20"/>
  <c r="L183" i="20"/>
  <c r="K183" i="20" a="1"/>
  <c r="K183" i="20" s="1"/>
  <c r="J183" i="20"/>
  <c r="R182" i="20"/>
  <c r="Q182" i="20"/>
  <c r="P182" i="20"/>
  <c r="L182" i="20"/>
  <c r="K182" i="20" a="1"/>
  <c r="K182" i="20" s="1"/>
  <c r="J182" i="20"/>
  <c r="R180" i="20"/>
  <c r="Q180" i="20"/>
  <c r="P180" i="20"/>
  <c r="L180" i="20"/>
  <c r="K180" i="20"/>
  <c r="J180" i="20"/>
  <c r="M198" i="4"/>
  <c r="M197" i="4"/>
  <c r="M196" i="4"/>
  <c r="M195" i="4"/>
  <c r="M194" i="4"/>
  <c r="M191" i="4"/>
  <c r="M188" i="4" s="1"/>
  <c r="M190" i="4"/>
  <c r="M189" i="4"/>
  <c r="M187" i="4"/>
  <c r="M184" i="4"/>
  <c r="M181" i="4" s="1"/>
  <c r="M183" i="4"/>
  <c r="M182" i="4"/>
  <c r="M180" i="4"/>
  <c r="L184" i="4"/>
  <c r="L181" i="4" s="1"/>
  <c r="L183" i="4"/>
  <c r="L182" i="4"/>
  <c r="L180" i="4"/>
  <c r="N189" i="4" l="1"/>
  <c r="N183" i="4"/>
  <c r="N190" i="4"/>
  <c r="N198" i="4"/>
  <c r="N195" i="4" s="1"/>
  <c r="N184" i="4"/>
  <c r="N181" i="4" s="1"/>
  <c r="N191" i="4"/>
  <c r="N188" i="4" s="1"/>
  <c r="N180" i="4"/>
  <c r="N187" i="4"/>
  <c r="N196" i="4"/>
  <c r="N194" i="4"/>
  <c r="N182" i="4"/>
  <c r="C45" i="251"/>
  <c r="Q36" i="248" l="1"/>
  <c r="Q35" i="248"/>
  <c r="Q34" i="248"/>
  <c r="Q33" i="248"/>
  <c r="Q32" i="248"/>
  <c r="Q31" i="248"/>
  <c r="Q30" i="248"/>
  <c r="Q29" i="248"/>
  <c r="Q28" i="248"/>
  <c r="Q27" i="248"/>
  <c r="Q26" i="248"/>
  <c r="Q25" i="248"/>
  <c r="Q24" i="248"/>
  <c r="Q23" i="248"/>
  <c r="Q22" i="248"/>
  <c r="Q21" i="248"/>
  <c r="Q20" i="248"/>
  <c r="Q19" i="248"/>
  <c r="Q18" i="248"/>
  <c r="Q17" i="248"/>
  <c r="Q16" i="248"/>
  <c r="Q15" i="248"/>
  <c r="Q14" i="248"/>
  <c r="Q13" i="248"/>
  <c r="Q12" i="248"/>
  <c r="Q11" i="248"/>
  <c r="Q10" i="248"/>
  <c r="Q9" i="248"/>
  <c r="Q8" i="248"/>
  <c r="Q7" i="248"/>
  <c r="Q6" i="248"/>
  <c r="Q5" i="248"/>
  <c r="Q4" i="248"/>
  <c r="Q3" i="248"/>
  <c r="Q2" i="248"/>
  <c r="Q46" i="248" l="1"/>
  <c r="Q48" i="248"/>
  <c r="Q47" i="248"/>
  <c r="Q45" i="248"/>
  <c r="K183" i="4" l="1" a="1"/>
  <c r="K183" i="4" s="1"/>
  <c r="K182" i="4" a="1"/>
  <c r="K182" i="4" s="1"/>
  <c r="K180" i="4"/>
  <c r="L198" i="4"/>
  <c r="L195" i="4" s="1"/>
  <c r="L197" i="4"/>
  <c r="L196" i="4"/>
  <c r="L194" i="4"/>
  <c r="L191" i="4"/>
  <c r="L190" i="4"/>
  <c r="L189" i="4"/>
  <c r="L188" i="4"/>
  <c r="L187" i="4"/>
  <c r="K198" i="4"/>
  <c r="K195" i="4" s="1"/>
  <c r="K197" i="4"/>
  <c r="K196" i="4"/>
  <c r="K194" i="4"/>
  <c r="K191" i="4"/>
  <c r="K190" i="4"/>
  <c r="K189" i="4"/>
  <c r="K188" i="4"/>
  <c r="K187" i="4"/>
  <c r="K184" i="4"/>
  <c r="K181" i="4" s="1"/>
  <c r="J198" i="4"/>
  <c r="J195" i="4" s="1"/>
  <c r="J197" i="4"/>
  <c r="J196" i="4"/>
  <c r="J194" i="4"/>
  <c r="J191" i="4"/>
  <c r="J188" i="4" s="1"/>
  <c r="J190" i="4"/>
  <c r="J189" i="4"/>
  <c r="J187" i="4"/>
  <c r="J184" i="4"/>
  <c r="J181" i="4" s="1"/>
  <c r="J183" i="4"/>
  <c r="J182" i="4"/>
  <c r="J180" i="4"/>
  <c r="Z5" i="1"/>
  <c r="AI179" i="20" l="1"/>
  <c r="AI180" i="20"/>
  <c r="F369" i="272" l="1"/>
  <c r="F368" i="272"/>
  <c r="F367" i="272"/>
  <c r="F366" i="272"/>
  <c r="F365" i="272"/>
  <c r="F364" i="272"/>
  <c r="F363" i="272"/>
  <c r="F362" i="272"/>
  <c r="F361" i="272"/>
  <c r="F360" i="272"/>
  <c r="F359" i="272"/>
  <c r="F358" i="272"/>
  <c r="F357" i="272"/>
  <c r="F356" i="272"/>
  <c r="F355" i="272"/>
  <c r="F354" i="272"/>
  <c r="F353" i="272"/>
  <c r="F352" i="272"/>
  <c r="F351" i="272"/>
  <c r="F350" i="272"/>
  <c r="F349" i="272"/>
  <c r="F348" i="272"/>
  <c r="F347" i="272"/>
  <c r="F346" i="272"/>
  <c r="F345" i="272"/>
  <c r="F344" i="272"/>
  <c r="F343" i="272"/>
  <c r="F342" i="272"/>
  <c r="F341" i="272"/>
  <c r="F340" i="272"/>
  <c r="F339" i="272"/>
  <c r="F338" i="272"/>
  <c r="F337" i="272"/>
  <c r="F336" i="272"/>
  <c r="F335" i="272"/>
  <c r="F334" i="272"/>
  <c r="F333" i="272"/>
  <c r="F332" i="272"/>
  <c r="F331" i="272"/>
  <c r="F330" i="272"/>
  <c r="F329" i="272"/>
  <c r="F328" i="272"/>
  <c r="F327" i="272"/>
  <c r="F326" i="272"/>
  <c r="F325" i="272"/>
  <c r="F324" i="272"/>
  <c r="F323" i="272"/>
  <c r="F322" i="272"/>
  <c r="F321" i="272"/>
  <c r="F320" i="272"/>
  <c r="F319" i="272"/>
  <c r="F318" i="272"/>
  <c r="F317" i="272"/>
  <c r="F316" i="272"/>
  <c r="F315" i="272"/>
  <c r="F314" i="272"/>
  <c r="F313" i="272"/>
  <c r="F312" i="272"/>
  <c r="F311" i="272"/>
  <c r="F310" i="272"/>
  <c r="F309" i="272"/>
  <c r="F308" i="272"/>
  <c r="F307" i="272"/>
  <c r="F306" i="272"/>
  <c r="F305" i="272"/>
  <c r="F304" i="272"/>
  <c r="F303" i="272"/>
  <c r="F302" i="272"/>
  <c r="F301" i="272"/>
  <c r="F300" i="272"/>
  <c r="F299" i="272"/>
  <c r="F298" i="272"/>
  <c r="F297" i="272"/>
  <c r="F296" i="272"/>
  <c r="F295" i="272"/>
  <c r="F294" i="272"/>
  <c r="F293" i="272"/>
  <c r="F292" i="272"/>
  <c r="F291" i="272"/>
  <c r="F290" i="272"/>
  <c r="F289" i="272"/>
  <c r="F288" i="272"/>
  <c r="F287" i="272"/>
  <c r="F286" i="272"/>
  <c r="E369" i="272"/>
  <c r="E368" i="272"/>
  <c r="E367" i="272"/>
  <c r="E366" i="272"/>
  <c r="E365" i="272"/>
  <c r="E364" i="272"/>
  <c r="E363" i="272"/>
  <c r="E362" i="272"/>
  <c r="E361" i="272"/>
  <c r="E360" i="272"/>
  <c r="E359" i="272"/>
  <c r="E358" i="272"/>
  <c r="E357" i="272"/>
  <c r="E356" i="272"/>
  <c r="E355" i="272"/>
  <c r="E354" i="272"/>
  <c r="E353" i="272"/>
  <c r="E352" i="272"/>
  <c r="E351" i="272"/>
  <c r="E350" i="272"/>
  <c r="E349" i="272"/>
  <c r="E348" i="272"/>
  <c r="E347" i="272"/>
  <c r="E346" i="272"/>
  <c r="E345" i="272"/>
  <c r="E344" i="272"/>
  <c r="E343" i="272"/>
  <c r="E342" i="272"/>
  <c r="E341" i="272"/>
  <c r="E340" i="272"/>
  <c r="E339" i="272"/>
  <c r="E338" i="272"/>
  <c r="E337" i="272"/>
  <c r="E336" i="272"/>
  <c r="E335" i="272"/>
  <c r="E334" i="272"/>
  <c r="E333" i="272"/>
  <c r="E332" i="272"/>
  <c r="E331" i="272"/>
  <c r="E330" i="272"/>
  <c r="E329" i="272"/>
  <c r="E328" i="272"/>
  <c r="E327" i="272"/>
  <c r="E326" i="272"/>
  <c r="E325" i="272"/>
  <c r="E324" i="272"/>
  <c r="E323" i="272"/>
  <c r="E322" i="272"/>
  <c r="E321" i="272"/>
  <c r="E320" i="272"/>
  <c r="E319" i="272"/>
  <c r="E318" i="272"/>
  <c r="E317" i="272"/>
  <c r="E316" i="272"/>
  <c r="E315" i="272"/>
  <c r="E314" i="272"/>
  <c r="E313" i="272"/>
  <c r="E312" i="272"/>
  <c r="E311" i="272"/>
  <c r="E310" i="272"/>
  <c r="E309" i="272"/>
  <c r="E308" i="272"/>
  <c r="E307" i="272"/>
  <c r="E306" i="272"/>
  <c r="E305" i="272"/>
  <c r="E304" i="272"/>
  <c r="E303" i="272"/>
  <c r="E302" i="272"/>
  <c r="E301" i="272"/>
  <c r="E300" i="272"/>
  <c r="E299" i="272"/>
  <c r="E298" i="272"/>
  <c r="E297" i="272"/>
  <c r="E296" i="272"/>
  <c r="E295" i="272"/>
  <c r="E294" i="272"/>
  <c r="E293" i="272"/>
  <c r="E292" i="272"/>
  <c r="E291" i="272"/>
  <c r="E290" i="272"/>
  <c r="E289" i="272"/>
  <c r="E288" i="272"/>
  <c r="E287" i="272"/>
  <c r="E286" i="272"/>
  <c r="D286" i="272"/>
  <c r="D285" i="272"/>
  <c r="D284" i="272"/>
  <c r="D283" i="272"/>
  <c r="D282" i="272"/>
  <c r="D281" i="272"/>
  <c r="D280" i="272"/>
  <c r="D279" i="272"/>
  <c r="D278" i="272"/>
  <c r="D277" i="272"/>
  <c r="D276" i="272"/>
  <c r="D275" i="272"/>
  <c r="D274" i="272"/>
  <c r="D273" i="272"/>
  <c r="D272" i="272"/>
  <c r="D271" i="272"/>
  <c r="D270" i="272"/>
  <c r="D269" i="272"/>
  <c r="D268" i="272"/>
  <c r="D267" i="272"/>
  <c r="D266" i="272"/>
  <c r="D265" i="272"/>
  <c r="D264" i="272"/>
  <c r="D263" i="272"/>
  <c r="D262" i="272"/>
  <c r="D261" i="272"/>
  <c r="D260" i="272"/>
  <c r="D259" i="272"/>
  <c r="D258" i="272"/>
  <c r="D257" i="272"/>
  <c r="D256" i="272"/>
  <c r="D255" i="272"/>
  <c r="D254" i="272"/>
  <c r="D253" i="272"/>
  <c r="D252" i="272"/>
  <c r="D251" i="272"/>
  <c r="D250" i="272"/>
  <c r="D249" i="272"/>
  <c r="D248" i="272"/>
  <c r="D247" i="272"/>
  <c r="D246" i="272"/>
  <c r="D245" i="272"/>
  <c r="D244" i="272"/>
  <c r="D243" i="272"/>
  <c r="D242" i="272"/>
  <c r="D241" i="272"/>
  <c r="D240" i="272"/>
  <c r="D239" i="272"/>
  <c r="D238" i="272"/>
  <c r="D237" i="272"/>
  <c r="D236" i="272"/>
  <c r="D235" i="272"/>
  <c r="D234" i="272"/>
  <c r="D233" i="272"/>
  <c r="D232" i="272"/>
  <c r="D231" i="272"/>
  <c r="D230" i="272"/>
  <c r="D229" i="272"/>
  <c r="D228" i="272"/>
  <c r="D227" i="272"/>
  <c r="D226" i="272"/>
  <c r="D225" i="272"/>
  <c r="D224" i="272"/>
  <c r="D223" i="272"/>
  <c r="D222" i="272"/>
  <c r="D221" i="272"/>
  <c r="D220" i="272"/>
  <c r="D219" i="272"/>
  <c r="D218" i="272"/>
  <c r="D217" i="272"/>
  <c r="D216" i="272"/>
  <c r="D215" i="272"/>
  <c r="D214" i="272"/>
  <c r="D213" i="272"/>
  <c r="D212" i="272"/>
  <c r="D211" i="272"/>
  <c r="D210" i="272"/>
  <c r="D209" i="272"/>
  <c r="D208" i="272"/>
  <c r="D207" i="272"/>
  <c r="F285" i="272"/>
  <c r="E285" i="272"/>
  <c r="F284" i="272"/>
  <c r="E284" i="272"/>
  <c r="F283" i="272"/>
  <c r="E283" i="272"/>
  <c r="F282" i="272"/>
  <c r="E282" i="272"/>
  <c r="F281" i="272"/>
  <c r="E281" i="272"/>
  <c r="F280" i="272"/>
  <c r="E280" i="272"/>
  <c r="F279" i="272"/>
  <c r="E279" i="272"/>
  <c r="F278" i="272"/>
  <c r="E278" i="272"/>
  <c r="F277" i="272"/>
  <c r="E277" i="272"/>
  <c r="F276" i="272"/>
  <c r="E276" i="272"/>
  <c r="F275" i="272"/>
  <c r="E275" i="272"/>
  <c r="F274" i="272"/>
  <c r="E274" i="272"/>
  <c r="F273" i="272"/>
  <c r="E273" i="272"/>
  <c r="F272" i="272"/>
  <c r="E272" i="272"/>
  <c r="F271" i="272"/>
  <c r="E271" i="272"/>
  <c r="F270" i="272"/>
  <c r="E270" i="272"/>
  <c r="F269" i="272"/>
  <c r="E269" i="272"/>
  <c r="F268" i="272"/>
  <c r="E268" i="272"/>
  <c r="F267" i="272"/>
  <c r="E267" i="272"/>
  <c r="F266" i="272"/>
  <c r="E266" i="272"/>
  <c r="F265" i="272"/>
  <c r="E265" i="272"/>
  <c r="F264" i="272"/>
  <c r="E264" i="272"/>
  <c r="F263" i="272"/>
  <c r="E263" i="272"/>
  <c r="F262" i="272"/>
  <c r="E262" i="272"/>
  <c r="F261" i="272"/>
  <c r="E261" i="272"/>
  <c r="F260" i="272"/>
  <c r="E260" i="272"/>
  <c r="F259" i="272"/>
  <c r="E259" i="272"/>
  <c r="F258" i="272"/>
  <c r="E258" i="272"/>
  <c r="F257" i="272"/>
  <c r="E257" i="272"/>
  <c r="F256" i="272"/>
  <c r="E256" i="272"/>
  <c r="F255" i="272"/>
  <c r="E255" i="272"/>
  <c r="F254" i="272"/>
  <c r="E254" i="272"/>
  <c r="F253" i="272"/>
  <c r="E253" i="272"/>
  <c r="F252" i="272"/>
  <c r="E252" i="272"/>
  <c r="F251" i="272"/>
  <c r="E251" i="272"/>
  <c r="F250" i="272"/>
  <c r="E250" i="272"/>
  <c r="F249" i="272"/>
  <c r="E249" i="272"/>
  <c r="F248" i="272"/>
  <c r="E248" i="272"/>
  <c r="F247" i="272"/>
  <c r="E247" i="272"/>
  <c r="F246" i="272"/>
  <c r="E246" i="272"/>
  <c r="F245" i="272"/>
  <c r="E245" i="272"/>
  <c r="F244" i="272"/>
  <c r="E244" i="272"/>
  <c r="F243" i="272"/>
  <c r="E243" i="272"/>
  <c r="F242" i="272"/>
  <c r="E242" i="272"/>
  <c r="F241" i="272"/>
  <c r="E241" i="272"/>
  <c r="F240" i="272"/>
  <c r="E240" i="272"/>
  <c r="F239" i="272"/>
  <c r="E239" i="272"/>
  <c r="F238" i="272"/>
  <c r="E238" i="272"/>
  <c r="F237" i="272"/>
  <c r="E237" i="272"/>
  <c r="F236" i="272"/>
  <c r="E236" i="272"/>
  <c r="F235" i="272"/>
  <c r="E235" i="272"/>
  <c r="F234" i="272"/>
  <c r="E234" i="272"/>
  <c r="F233" i="272"/>
  <c r="E233" i="272"/>
  <c r="F232" i="272"/>
  <c r="E232" i="272"/>
  <c r="F231" i="272"/>
  <c r="E231" i="272"/>
  <c r="F230" i="272"/>
  <c r="E230" i="272"/>
  <c r="F229" i="272"/>
  <c r="E229" i="272"/>
  <c r="F228" i="272"/>
  <c r="E228" i="272"/>
  <c r="F227" i="272"/>
  <c r="E227" i="272"/>
  <c r="F226" i="272"/>
  <c r="E226" i="272"/>
  <c r="F225" i="272"/>
  <c r="E225" i="272"/>
  <c r="F224" i="272"/>
  <c r="E224" i="272"/>
  <c r="F223" i="272"/>
  <c r="E223" i="272"/>
  <c r="F222" i="272"/>
  <c r="E222" i="272"/>
  <c r="F221" i="272"/>
  <c r="E221" i="272"/>
  <c r="F220" i="272"/>
  <c r="E220" i="272"/>
  <c r="F219" i="272"/>
  <c r="E219" i="272"/>
  <c r="F218" i="272"/>
  <c r="E218" i="272"/>
  <c r="F217" i="272"/>
  <c r="E217" i="272"/>
  <c r="F216" i="272"/>
  <c r="E216" i="272"/>
  <c r="F215" i="272"/>
  <c r="E215" i="272"/>
  <c r="F214" i="272"/>
  <c r="E214" i="272"/>
  <c r="F213" i="272"/>
  <c r="E213" i="272"/>
  <c r="F212" i="272"/>
  <c r="E212" i="272"/>
  <c r="F211" i="272"/>
  <c r="E211" i="272"/>
  <c r="F210" i="272"/>
  <c r="E210" i="272"/>
  <c r="F209" i="272"/>
  <c r="E209" i="272"/>
  <c r="F208" i="272"/>
  <c r="E208" i="272"/>
  <c r="F207" i="272"/>
  <c r="E207" i="272"/>
  <c r="F206" i="272"/>
  <c r="F205" i="272"/>
  <c r="F204" i="272"/>
  <c r="F203" i="272"/>
  <c r="F202" i="272"/>
  <c r="F201" i="272"/>
  <c r="F200" i="272"/>
  <c r="F199" i="272"/>
  <c r="F198" i="272"/>
  <c r="F197" i="272"/>
  <c r="F196" i="272"/>
  <c r="F195" i="272"/>
  <c r="F194" i="272"/>
  <c r="F193" i="272"/>
  <c r="F192" i="272"/>
  <c r="F191" i="272"/>
  <c r="F190" i="272"/>
  <c r="F189" i="272"/>
  <c r="F188" i="272"/>
  <c r="F187" i="272"/>
  <c r="F186" i="272"/>
  <c r="F185" i="272"/>
  <c r="F184" i="272"/>
  <c r="F183" i="272"/>
  <c r="F182" i="272"/>
  <c r="F181" i="272"/>
  <c r="F180" i="272"/>
  <c r="F179" i="272"/>
  <c r="F178" i="272"/>
  <c r="F177" i="272"/>
  <c r="F176" i="272"/>
  <c r="F175" i="272"/>
  <c r="F174" i="272"/>
  <c r="F173" i="272"/>
  <c r="F172" i="272"/>
  <c r="F171" i="272"/>
  <c r="F170" i="272"/>
  <c r="F169" i="272"/>
  <c r="F168" i="272"/>
  <c r="F167" i="272"/>
  <c r="F166" i="272"/>
  <c r="F165" i="272"/>
  <c r="F164" i="272"/>
  <c r="F163" i="272"/>
  <c r="F162" i="272"/>
  <c r="F161" i="272"/>
  <c r="F160" i="272"/>
  <c r="F159" i="272"/>
  <c r="F158" i="272"/>
  <c r="F157" i="272"/>
  <c r="F156" i="272"/>
  <c r="F155" i="272"/>
  <c r="F154" i="272"/>
  <c r="F153" i="272"/>
  <c r="F152" i="272"/>
  <c r="F151" i="272"/>
  <c r="F150" i="272"/>
  <c r="F149" i="272"/>
  <c r="F148" i="272"/>
  <c r="F147" i="272"/>
  <c r="F146" i="272"/>
  <c r="F145" i="272"/>
  <c r="F144" i="272"/>
  <c r="F143" i="272"/>
  <c r="F142" i="272"/>
  <c r="F141" i="272"/>
  <c r="F140" i="272"/>
  <c r="F139" i="272"/>
  <c r="F138" i="272"/>
  <c r="F137" i="272"/>
  <c r="F136" i="272"/>
  <c r="F135" i="272"/>
  <c r="F134" i="272"/>
  <c r="F133" i="272"/>
  <c r="F132" i="272"/>
  <c r="F131" i="272"/>
  <c r="F130" i="272"/>
  <c r="F129" i="272"/>
  <c r="F128" i="272"/>
  <c r="F127" i="272"/>
  <c r="F126" i="272"/>
  <c r="F125" i="272"/>
  <c r="F124" i="272"/>
  <c r="F123" i="272"/>
  <c r="F122" i="272"/>
  <c r="F121" i="272"/>
  <c r="F120" i="272"/>
  <c r="F119" i="272"/>
  <c r="F118" i="272"/>
  <c r="F117" i="272"/>
  <c r="F116" i="272"/>
  <c r="F115" i="272"/>
  <c r="F114" i="272"/>
  <c r="F113" i="272"/>
  <c r="F112" i="272"/>
  <c r="F111" i="272"/>
  <c r="F110" i="272"/>
  <c r="F109" i="272"/>
  <c r="F108" i="272"/>
  <c r="F107" i="272"/>
  <c r="F106" i="272"/>
  <c r="F105" i="272"/>
  <c r="F104" i="272"/>
  <c r="F103" i="272"/>
  <c r="F102" i="272"/>
  <c r="F101" i="272"/>
  <c r="F100" i="272"/>
  <c r="F99" i="272"/>
  <c r="F98" i="272"/>
  <c r="F97" i="272"/>
  <c r="F96" i="272"/>
  <c r="F95" i="272"/>
  <c r="F94" i="272"/>
  <c r="F93" i="272"/>
  <c r="F92" i="272"/>
  <c r="F91" i="272"/>
  <c r="F90" i="272"/>
  <c r="F89" i="272"/>
  <c r="F88" i="272"/>
  <c r="F87" i="272"/>
  <c r="F86" i="272"/>
  <c r="F85" i="272"/>
  <c r="F84" i="272"/>
  <c r="F83" i="272"/>
  <c r="F82" i="272"/>
  <c r="F81" i="272"/>
  <c r="F80" i="272"/>
  <c r="F79" i="272"/>
  <c r="F78" i="272"/>
  <c r="F77" i="272"/>
  <c r="F76" i="272"/>
  <c r="F75" i="272"/>
  <c r="F74" i="272"/>
  <c r="F73" i="272"/>
  <c r="F72" i="272"/>
  <c r="F71" i="272"/>
  <c r="F70" i="272"/>
  <c r="F69" i="272"/>
  <c r="F68" i="272"/>
  <c r="F67" i="272"/>
  <c r="F66" i="272"/>
  <c r="F65" i="272"/>
  <c r="F64" i="272"/>
  <c r="F63" i="272"/>
  <c r="F62" i="272"/>
  <c r="F61" i="272"/>
  <c r="F60" i="272"/>
  <c r="F59" i="272"/>
  <c r="F58" i="272"/>
  <c r="F57" i="272"/>
  <c r="F56" i="272"/>
  <c r="F55" i="272"/>
  <c r="F54" i="272"/>
  <c r="F53" i="272"/>
  <c r="F52" i="272"/>
  <c r="F51" i="272"/>
  <c r="F50" i="272"/>
  <c r="F49" i="272"/>
  <c r="F48" i="272"/>
  <c r="F47" i="272"/>
  <c r="F46" i="272"/>
  <c r="F45" i="272"/>
  <c r="F44" i="272"/>
  <c r="F43" i="272"/>
  <c r="F42" i="272"/>
  <c r="D41" i="272"/>
  <c r="D40" i="272"/>
  <c r="D39" i="272"/>
  <c r="D38" i="272"/>
  <c r="D37" i="272"/>
  <c r="D36" i="272"/>
  <c r="D35" i="272"/>
  <c r="D34" i="272"/>
  <c r="D33" i="272"/>
  <c r="D32" i="272"/>
  <c r="D31" i="272"/>
  <c r="D30" i="272"/>
  <c r="D29" i="272"/>
  <c r="D28" i="272"/>
  <c r="D27" i="272"/>
  <c r="D26" i="272"/>
  <c r="D25" i="272"/>
  <c r="D24" i="272"/>
  <c r="D23" i="272"/>
  <c r="D22" i="272"/>
  <c r="D21" i="272"/>
  <c r="D20" i="272"/>
  <c r="D19" i="272"/>
  <c r="D18" i="272"/>
  <c r="D17" i="272"/>
  <c r="D16" i="272"/>
  <c r="D15" i="272"/>
  <c r="D14" i="272"/>
  <c r="D13" i="272"/>
  <c r="D12" i="272"/>
  <c r="D11" i="272"/>
  <c r="D10" i="272"/>
  <c r="D9" i="272"/>
  <c r="D8" i="272"/>
  <c r="D7" i="272"/>
  <c r="D6" i="272"/>
  <c r="D5" i="272"/>
  <c r="D4" i="272"/>
  <c r="D3" i="272"/>
  <c r="D2" i="272"/>
  <c r="D206" i="272"/>
  <c r="D205" i="272"/>
  <c r="D204" i="272"/>
  <c r="D203" i="272"/>
  <c r="D202" i="272"/>
  <c r="D201" i="272"/>
  <c r="D200" i="272"/>
  <c r="D199" i="272"/>
  <c r="D198" i="272"/>
  <c r="D197" i="272"/>
  <c r="D196" i="272"/>
  <c r="D195" i="272"/>
  <c r="D194" i="272"/>
  <c r="D193" i="272"/>
  <c r="D192" i="272"/>
  <c r="D191" i="272"/>
  <c r="D190" i="272"/>
  <c r="D189" i="272"/>
  <c r="D188" i="272"/>
  <c r="D187" i="272"/>
  <c r="D186" i="272"/>
  <c r="D185" i="272"/>
  <c r="D184" i="272"/>
  <c r="D183" i="272"/>
  <c r="D182" i="272"/>
  <c r="D181" i="272"/>
  <c r="D180" i="272"/>
  <c r="D179" i="272"/>
  <c r="D178" i="272"/>
  <c r="D177" i="272"/>
  <c r="D176" i="272"/>
  <c r="D175" i="272"/>
  <c r="D174" i="272"/>
  <c r="D173" i="272"/>
  <c r="D172" i="272"/>
  <c r="D171" i="272"/>
  <c r="D170" i="272"/>
  <c r="D169" i="272"/>
  <c r="D168" i="272"/>
  <c r="D167" i="272"/>
  <c r="D166" i="272"/>
  <c r="D165" i="272"/>
  <c r="D164" i="272"/>
  <c r="D163" i="272"/>
  <c r="D162" i="272"/>
  <c r="D161" i="272"/>
  <c r="D160" i="272"/>
  <c r="D159" i="272"/>
  <c r="D158" i="272"/>
  <c r="D157" i="272"/>
  <c r="D156" i="272"/>
  <c r="D155" i="272"/>
  <c r="D154" i="272"/>
  <c r="D153" i="272"/>
  <c r="D152" i="272"/>
  <c r="D151" i="272"/>
  <c r="D150" i="272"/>
  <c r="D149" i="272"/>
  <c r="D148" i="272"/>
  <c r="D147" i="272"/>
  <c r="D146" i="272"/>
  <c r="D145" i="272"/>
  <c r="D144" i="272"/>
  <c r="D143" i="272"/>
  <c r="D142" i="272"/>
  <c r="D141" i="272"/>
  <c r="D140" i="272"/>
  <c r="D139" i="272"/>
  <c r="D138" i="272"/>
  <c r="D137" i="272"/>
  <c r="D136" i="272"/>
  <c r="D135" i="272"/>
  <c r="D134" i="272"/>
  <c r="D133" i="272"/>
  <c r="D132" i="272"/>
  <c r="D131" i="272"/>
  <c r="D130" i="272"/>
  <c r="D129" i="272"/>
  <c r="D128" i="272"/>
  <c r="D127" i="272"/>
  <c r="D126" i="272"/>
  <c r="D125" i="272"/>
  <c r="D124" i="272"/>
  <c r="D123" i="272"/>
  <c r="D122" i="272"/>
  <c r="D121" i="272"/>
  <c r="D120" i="272"/>
  <c r="D119" i="272"/>
  <c r="D118" i="272"/>
  <c r="D117" i="272"/>
  <c r="D116" i="272"/>
  <c r="D115" i="272"/>
  <c r="D114" i="272"/>
  <c r="D113" i="272"/>
  <c r="D112" i="272"/>
  <c r="D111" i="272"/>
  <c r="D110" i="272"/>
  <c r="D109" i="272"/>
  <c r="D108" i="272"/>
  <c r="D107" i="272"/>
  <c r="D106" i="272"/>
  <c r="D105" i="272"/>
  <c r="D104" i="272"/>
  <c r="D103" i="272"/>
  <c r="D102" i="272"/>
  <c r="D101" i="272"/>
  <c r="D100" i="272"/>
  <c r="D99" i="272"/>
  <c r="D98" i="272"/>
  <c r="D97" i="272"/>
  <c r="D96" i="272"/>
  <c r="D95" i="272"/>
  <c r="D94" i="272"/>
  <c r="D93" i="272"/>
  <c r="D92" i="272"/>
  <c r="D91" i="272"/>
  <c r="D90" i="272"/>
  <c r="D89" i="272"/>
  <c r="D88" i="272"/>
  <c r="D87" i="272"/>
  <c r="D86" i="272"/>
  <c r="D85" i="272"/>
  <c r="D84" i="272"/>
  <c r="D83" i="272"/>
  <c r="D82" i="272"/>
  <c r="D81" i="272"/>
  <c r="D80" i="272"/>
  <c r="D79" i="272"/>
  <c r="D78" i="272"/>
  <c r="D77" i="272"/>
  <c r="D76" i="272"/>
  <c r="D75" i="272"/>
  <c r="D74" i="272"/>
  <c r="D73" i="272"/>
  <c r="D72" i="272"/>
  <c r="D71" i="272"/>
  <c r="D70" i="272"/>
  <c r="D69" i="272"/>
  <c r="D68" i="272"/>
  <c r="D67" i="272"/>
  <c r="D66" i="272"/>
  <c r="D65" i="272"/>
  <c r="D64" i="272"/>
  <c r="D63" i="272"/>
  <c r="D62" i="272"/>
  <c r="D61" i="272"/>
  <c r="D60" i="272"/>
  <c r="D59" i="272"/>
  <c r="D58" i="272"/>
  <c r="D57" i="272"/>
  <c r="D56" i="272"/>
  <c r="D55" i="272"/>
  <c r="D54" i="272"/>
  <c r="D53" i="272"/>
  <c r="D52" i="272"/>
  <c r="D51" i="272"/>
  <c r="D50" i="272"/>
  <c r="D49" i="272"/>
  <c r="D48" i="272"/>
  <c r="D47" i="272"/>
  <c r="D46" i="272"/>
  <c r="D45" i="272"/>
  <c r="D44" i="272"/>
  <c r="D43" i="272"/>
  <c r="D42" i="272"/>
  <c r="E206" i="272"/>
  <c r="E205" i="272"/>
  <c r="E204" i="272"/>
  <c r="E203" i="272"/>
  <c r="E202" i="272"/>
  <c r="E201" i="272"/>
  <c r="E200" i="272"/>
  <c r="E199" i="272"/>
  <c r="E198" i="272"/>
  <c r="E197" i="272"/>
  <c r="E196" i="272"/>
  <c r="E195" i="272"/>
  <c r="E194" i="272"/>
  <c r="E193" i="272"/>
  <c r="E192" i="272"/>
  <c r="E191" i="272"/>
  <c r="E190" i="272"/>
  <c r="E189" i="272"/>
  <c r="E188" i="272"/>
  <c r="E187" i="272"/>
  <c r="E186" i="272"/>
  <c r="E185" i="272"/>
  <c r="E184" i="272"/>
  <c r="E183" i="272"/>
  <c r="E182" i="272"/>
  <c r="E181" i="272"/>
  <c r="E180" i="272"/>
  <c r="E179" i="272"/>
  <c r="E178" i="272"/>
  <c r="E177" i="272"/>
  <c r="E176" i="272"/>
  <c r="E175" i="272"/>
  <c r="E174" i="272"/>
  <c r="E173" i="272"/>
  <c r="E172" i="272"/>
  <c r="E171" i="272"/>
  <c r="E170" i="272"/>
  <c r="E169" i="272"/>
  <c r="E168" i="272"/>
  <c r="E167" i="272"/>
  <c r="E166" i="272"/>
  <c r="E165" i="272"/>
  <c r="E164" i="272"/>
  <c r="E163" i="272"/>
  <c r="E162" i="272"/>
  <c r="E161" i="272"/>
  <c r="E160" i="272"/>
  <c r="E159" i="272"/>
  <c r="E158" i="272"/>
  <c r="E157" i="272"/>
  <c r="E156" i="272"/>
  <c r="E155" i="272"/>
  <c r="E154" i="272"/>
  <c r="E153" i="272"/>
  <c r="E152" i="272"/>
  <c r="E151" i="272"/>
  <c r="E150" i="272"/>
  <c r="E149" i="272"/>
  <c r="E148" i="272"/>
  <c r="E147" i="272"/>
  <c r="E146" i="272"/>
  <c r="E145" i="272"/>
  <c r="E144" i="272"/>
  <c r="E143" i="272"/>
  <c r="E142" i="272"/>
  <c r="E141" i="272"/>
  <c r="E140" i="272"/>
  <c r="E139" i="272"/>
  <c r="E138" i="272"/>
  <c r="E137" i="272"/>
  <c r="E136" i="272"/>
  <c r="E135" i="272"/>
  <c r="E134" i="272"/>
  <c r="E133" i="272"/>
  <c r="E132" i="272"/>
  <c r="E131" i="272"/>
  <c r="E130" i="272"/>
  <c r="E129" i="272"/>
  <c r="E128" i="272"/>
  <c r="E127" i="272"/>
  <c r="E126" i="272"/>
  <c r="E125" i="272"/>
  <c r="E124" i="272"/>
  <c r="E123" i="272"/>
  <c r="E122" i="272"/>
  <c r="E121" i="272"/>
  <c r="E120" i="272"/>
  <c r="E119" i="272"/>
  <c r="E118" i="272"/>
  <c r="E117" i="272"/>
  <c r="E116" i="272"/>
  <c r="E115" i="272"/>
  <c r="E114" i="272"/>
  <c r="E113" i="272"/>
  <c r="E112" i="272"/>
  <c r="E111" i="272"/>
  <c r="E110" i="272"/>
  <c r="E109" i="272"/>
  <c r="E108" i="272"/>
  <c r="E107" i="272"/>
  <c r="E106" i="272"/>
  <c r="E103" i="272"/>
  <c r="E104" i="272"/>
  <c r="E105" i="272"/>
  <c r="E102" i="272"/>
  <c r="E101" i="272"/>
  <c r="E100" i="272"/>
  <c r="E99" i="272"/>
  <c r="E98" i="272"/>
  <c r="E97" i="272"/>
  <c r="E96" i="272"/>
  <c r="E95" i="272"/>
  <c r="E94" i="272"/>
  <c r="E93" i="272"/>
  <c r="E92" i="272"/>
  <c r="E91" i="272"/>
  <c r="E90" i="272"/>
  <c r="E89" i="272"/>
  <c r="E88" i="272"/>
  <c r="E87" i="272"/>
  <c r="E86" i="272"/>
  <c r="E85" i="272"/>
  <c r="E84" i="272"/>
  <c r="E83" i="272"/>
  <c r="E82" i="272"/>
  <c r="E81" i="272"/>
  <c r="E80" i="272"/>
  <c r="E79" i="272"/>
  <c r="E78" i="272"/>
  <c r="E77" i="272"/>
  <c r="E76" i="272"/>
  <c r="E75" i="272"/>
  <c r="E74" i="272"/>
  <c r="E73" i="272"/>
  <c r="E72" i="272"/>
  <c r="E71" i="272"/>
  <c r="E70" i="272"/>
  <c r="E69" i="272"/>
  <c r="E68" i="272"/>
  <c r="E67" i="272"/>
  <c r="E66" i="272"/>
  <c r="E65" i="272"/>
  <c r="E64" i="272"/>
  <c r="E63" i="272"/>
  <c r="E62" i="272"/>
  <c r="E61" i="272"/>
  <c r="E60" i="272"/>
  <c r="E59" i="272"/>
  <c r="E58" i="272"/>
  <c r="E57" i="272"/>
  <c r="E56" i="272"/>
  <c r="E55" i="272"/>
  <c r="E54" i="272"/>
  <c r="E53" i="272"/>
  <c r="E52" i="272"/>
  <c r="E51" i="272"/>
  <c r="E50" i="272"/>
  <c r="E49" i="272"/>
  <c r="E48" i="272"/>
  <c r="E47" i="272"/>
  <c r="E46" i="272"/>
  <c r="E45" i="272"/>
  <c r="E44" i="272"/>
  <c r="E43" i="272"/>
  <c r="E42" i="272"/>
  <c r="E4" i="272"/>
  <c r="E3" i="272"/>
  <c r="C25" i="266"/>
  <c r="C13" i="266"/>
  <c r="B5" i="266"/>
  <c r="D287" i="272" l="1"/>
  <c r="D288" i="272"/>
  <c r="D289" i="272"/>
  <c r="D290" i="272"/>
  <c r="D291" i="272"/>
  <c r="D292" i="272"/>
  <c r="D293" i="272"/>
  <c r="D294" i="272"/>
  <c r="D295" i="272"/>
  <c r="D296" i="272"/>
  <c r="D297" i="272"/>
  <c r="D298" i="272"/>
  <c r="D299" i="272"/>
  <c r="D300" i="272"/>
  <c r="D301" i="272"/>
  <c r="D302" i="272"/>
  <c r="D303" i="272"/>
  <c r="D304" i="272"/>
  <c r="D305" i="272"/>
  <c r="D306" i="272"/>
  <c r="D307" i="272"/>
  <c r="D308" i="272"/>
  <c r="D309" i="272"/>
  <c r="D310" i="272"/>
  <c r="D311" i="272"/>
  <c r="D312" i="272"/>
  <c r="D313" i="272"/>
  <c r="D314" i="272"/>
  <c r="D315" i="272"/>
  <c r="D316" i="272"/>
  <c r="D317" i="272"/>
  <c r="D318" i="272"/>
  <c r="D319" i="272"/>
  <c r="D320" i="272"/>
  <c r="D321" i="272"/>
  <c r="D322" i="272"/>
  <c r="D323" i="272"/>
  <c r="D324" i="272"/>
  <c r="D325" i="272"/>
  <c r="D326" i="272"/>
  <c r="D327" i="272"/>
  <c r="D328" i="272"/>
  <c r="D329" i="272"/>
  <c r="D330" i="272"/>
  <c r="D331" i="272"/>
  <c r="D332" i="272"/>
  <c r="D333" i="272"/>
  <c r="D334" i="272"/>
  <c r="D335" i="272"/>
  <c r="D336" i="272"/>
  <c r="D337" i="272"/>
  <c r="D338" i="272"/>
  <c r="D339" i="272"/>
  <c r="D340" i="272"/>
  <c r="D341" i="272"/>
  <c r="D342" i="272"/>
  <c r="D343" i="272"/>
  <c r="D344" i="272"/>
  <c r="D345" i="272"/>
  <c r="D346" i="272"/>
  <c r="D347" i="272"/>
  <c r="D348" i="272"/>
  <c r="D349" i="272"/>
  <c r="D350" i="272"/>
  <c r="D351" i="272"/>
  <c r="D352" i="272"/>
  <c r="D353" i="272"/>
  <c r="D354" i="272"/>
  <c r="D355" i="272"/>
  <c r="D356" i="272"/>
  <c r="D357" i="272"/>
  <c r="D358" i="272"/>
  <c r="D359" i="272"/>
  <c r="D360" i="272"/>
  <c r="D361" i="272"/>
  <c r="D362" i="272"/>
  <c r="D363" i="272"/>
  <c r="D364" i="272"/>
  <c r="D365" i="272"/>
  <c r="D366" i="272"/>
  <c r="D367" i="272"/>
  <c r="D368" i="272"/>
  <c r="D369" i="272"/>
  <c r="S44" i="1" l="1"/>
  <c r="S43" i="1"/>
  <c r="S42" i="1"/>
  <c r="S41" i="1"/>
  <c r="S40" i="1"/>
  <c r="S39" i="1"/>
  <c r="S38" i="1"/>
  <c r="S37" i="1"/>
  <c r="S36" i="1"/>
  <c r="S35" i="1"/>
  <c r="S34" i="1"/>
  <c r="S33" i="1"/>
  <c r="S32" i="1"/>
  <c r="S31" i="1"/>
  <c r="S30" i="1"/>
  <c r="S29" i="1"/>
  <c r="S28" i="1"/>
  <c r="S27" i="1"/>
  <c r="D3" i="223" l="1" a="1"/>
  <c r="BA44" i="235" l="1"/>
  <c r="BA43" i="235"/>
  <c r="BA42" i="235"/>
  <c r="BA41" i="235"/>
  <c r="BA40" i="235"/>
  <c r="BA39" i="235"/>
  <c r="BA38" i="235"/>
  <c r="BA37" i="235"/>
  <c r="BA36" i="235"/>
  <c r="BA35" i="235"/>
  <c r="BA34" i="235"/>
  <c r="BA33" i="235"/>
  <c r="BA32" i="235"/>
  <c r="BA31" i="235"/>
  <c r="BA30" i="235"/>
  <c r="BA29" i="235"/>
  <c r="BA28" i="235"/>
  <c r="BA27" i="235"/>
  <c r="BA26" i="235"/>
  <c r="BA25" i="235"/>
  <c r="BA24" i="235"/>
  <c r="BA23" i="235"/>
  <c r="BA22" i="235"/>
  <c r="BA21" i="235"/>
  <c r="BA20" i="235"/>
  <c r="BA19" i="235"/>
  <c r="BA18" i="235"/>
  <c r="BA17" i="235"/>
  <c r="BA16" i="235"/>
  <c r="BA15" i="235"/>
  <c r="BA14" i="235"/>
  <c r="BA13" i="235"/>
  <c r="BA12" i="235"/>
  <c r="BA11" i="235"/>
  <c r="BA10" i="235"/>
  <c r="BA9" i="235"/>
  <c r="BA8" i="235"/>
  <c r="BA7" i="235"/>
  <c r="BA6" i="235"/>
  <c r="BA5" i="235"/>
  <c r="R42" i="1" l="1"/>
  <c r="T44" i="1"/>
  <c r="R44" i="1"/>
  <c r="Q44" i="1"/>
  <c r="P44" i="1"/>
  <c r="T43" i="1"/>
  <c r="R43" i="1"/>
  <c r="Q43" i="1"/>
  <c r="P43" i="1"/>
  <c r="T42" i="1"/>
  <c r="Q42" i="1"/>
  <c r="P42" i="1"/>
  <c r="T41" i="1"/>
  <c r="R41" i="1"/>
  <c r="Q41" i="1"/>
  <c r="P41" i="1"/>
  <c r="T40" i="1"/>
  <c r="R40" i="1"/>
  <c r="Q40" i="1"/>
  <c r="P40" i="1"/>
  <c r="T39" i="1"/>
  <c r="R39" i="1"/>
  <c r="Q39" i="1"/>
  <c r="P39" i="1"/>
  <c r="T38" i="1"/>
  <c r="R38" i="1"/>
  <c r="Q38" i="1"/>
  <c r="P38" i="1"/>
  <c r="T37" i="1"/>
  <c r="R37" i="1"/>
  <c r="Q37" i="1"/>
  <c r="P37" i="1"/>
  <c r="T36" i="1"/>
  <c r="R36" i="1"/>
  <c r="Q36" i="1"/>
  <c r="P36" i="1"/>
  <c r="T35" i="1"/>
  <c r="R35" i="1"/>
  <c r="Q35" i="1"/>
  <c r="P35" i="1"/>
  <c r="T34" i="1"/>
  <c r="R34" i="1"/>
  <c r="Q34" i="1"/>
  <c r="P34" i="1"/>
  <c r="T33" i="1"/>
  <c r="R33" i="1"/>
  <c r="Q33" i="1"/>
  <c r="P33" i="1"/>
  <c r="T32" i="1"/>
  <c r="R32" i="1"/>
  <c r="Q32" i="1"/>
  <c r="P32" i="1"/>
  <c r="T31" i="1"/>
  <c r="R31" i="1"/>
  <c r="Q31" i="1"/>
  <c r="P31" i="1"/>
  <c r="T30" i="1"/>
  <c r="R30" i="1"/>
  <c r="Q30" i="1"/>
  <c r="P30" i="1"/>
  <c r="T29" i="1"/>
  <c r="R29" i="1"/>
  <c r="Q29" i="1"/>
  <c r="P29" i="1"/>
  <c r="T28" i="1"/>
  <c r="R28" i="1"/>
  <c r="Q28" i="1"/>
  <c r="P28" i="1"/>
  <c r="T27" i="1"/>
  <c r="R27" i="1"/>
  <c r="Q27" i="1"/>
  <c r="P27" i="1"/>
  <c r="T26" i="1"/>
  <c r="R26" i="1"/>
  <c r="Q26" i="1"/>
  <c r="P26" i="1"/>
  <c r="T25" i="1"/>
  <c r="R25" i="1"/>
  <c r="S25" i="1" s="1"/>
  <c r="Q25" i="1"/>
  <c r="P25" i="1"/>
  <c r="T24" i="1"/>
  <c r="R24" i="1"/>
  <c r="S24" i="1" s="1"/>
  <c r="Q24" i="1"/>
  <c r="P24" i="1"/>
  <c r="T23" i="1"/>
  <c r="R23" i="1"/>
  <c r="S23" i="1" s="1"/>
  <c r="Q23" i="1"/>
  <c r="P23" i="1"/>
  <c r="T22" i="1"/>
  <c r="R22" i="1"/>
  <c r="S22" i="1" s="1"/>
  <c r="Q22" i="1"/>
  <c r="P22" i="1"/>
  <c r="T21" i="1"/>
  <c r="R21" i="1"/>
  <c r="S21" i="1" s="1"/>
  <c r="Q21" i="1"/>
  <c r="P21" i="1"/>
  <c r="T20" i="1"/>
  <c r="R20" i="1"/>
  <c r="S20" i="1" s="1"/>
  <c r="Q20" i="1"/>
  <c r="P20" i="1"/>
  <c r="T19" i="1"/>
  <c r="R19" i="1"/>
  <c r="S19" i="1" s="1"/>
  <c r="Q19" i="1"/>
  <c r="P19" i="1"/>
  <c r="T18" i="1"/>
  <c r="R18" i="1"/>
  <c r="S18" i="1" s="1"/>
  <c r="Q18" i="1"/>
  <c r="P18" i="1"/>
  <c r="T17" i="1"/>
  <c r="R17" i="1"/>
  <c r="S17" i="1" s="1"/>
  <c r="Q17" i="1"/>
  <c r="P17" i="1"/>
  <c r="T16" i="1"/>
  <c r="R16" i="1"/>
  <c r="S16" i="1" s="1"/>
  <c r="Q16" i="1"/>
  <c r="P16" i="1"/>
  <c r="T15" i="1"/>
  <c r="R15" i="1"/>
  <c r="S15" i="1" s="1"/>
  <c r="Q15" i="1"/>
  <c r="P15" i="1"/>
  <c r="T14" i="1"/>
  <c r="R14" i="1"/>
  <c r="S14" i="1" s="1"/>
  <c r="Q14" i="1"/>
  <c r="P14" i="1"/>
  <c r="T13" i="1"/>
  <c r="R13" i="1"/>
  <c r="S13" i="1" s="1"/>
  <c r="Q13" i="1"/>
  <c r="P13" i="1"/>
  <c r="T12" i="1"/>
  <c r="R12" i="1"/>
  <c r="S12" i="1" s="1"/>
  <c r="Q12" i="1"/>
  <c r="P12" i="1"/>
  <c r="T11" i="1"/>
  <c r="R11" i="1"/>
  <c r="S11" i="1" s="1"/>
  <c r="Q11" i="1"/>
  <c r="P11" i="1"/>
  <c r="T10" i="1"/>
  <c r="R10" i="1"/>
  <c r="S10" i="1" s="1"/>
  <c r="Q10" i="1"/>
  <c r="P10" i="1"/>
  <c r="T9" i="1"/>
  <c r="R9" i="1"/>
  <c r="S9" i="1" s="1"/>
  <c r="Q9" i="1"/>
  <c r="P9" i="1"/>
  <c r="T8" i="1"/>
  <c r="R8" i="1"/>
  <c r="S8" i="1" s="1"/>
  <c r="Q8" i="1"/>
  <c r="P8" i="1"/>
  <c r="T7" i="1"/>
  <c r="R7" i="1"/>
  <c r="S7" i="1" s="1"/>
  <c r="Q7" i="1"/>
  <c r="P7" i="1"/>
  <c r="T6" i="1"/>
  <c r="R6" i="1"/>
  <c r="S6" i="1" s="1"/>
  <c r="Q6" i="1"/>
  <c r="P6" i="1"/>
  <c r="T5" i="1"/>
  <c r="R5" i="1"/>
  <c r="S5" i="1" s="1"/>
  <c r="Q5" i="1"/>
  <c r="P5" i="1"/>
  <c r="J44" i="1"/>
  <c r="I44" i="1"/>
  <c r="H44" i="1"/>
  <c r="G44" i="1"/>
  <c r="N44" i="1" s="1"/>
  <c r="F44" i="1"/>
  <c r="E44" i="1"/>
  <c r="E41" i="272" s="1"/>
  <c r="D44" i="1"/>
  <c r="C44" i="1"/>
  <c r="J43" i="1"/>
  <c r="I43" i="1"/>
  <c r="H43" i="1"/>
  <c r="G43" i="1"/>
  <c r="N43" i="1" s="1"/>
  <c r="F43" i="1"/>
  <c r="E43" i="1"/>
  <c r="E40" i="272" s="1"/>
  <c r="D43" i="1"/>
  <c r="C43" i="1"/>
  <c r="J42" i="1"/>
  <c r="I42" i="1"/>
  <c r="H42" i="1"/>
  <c r="G42" i="1"/>
  <c r="N42" i="1" s="1"/>
  <c r="F42" i="1"/>
  <c r="E42" i="1"/>
  <c r="E39" i="272" s="1"/>
  <c r="D42" i="1"/>
  <c r="C42" i="1"/>
  <c r="J41" i="1"/>
  <c r="I41" i="1"/>
  <c r="H41" i="1"/>
  <c r="G41" i="1"/>
  <c r="N41" i="1" s="1"/>
  <c r="F41" i="1"/>
  <c r="E41" i="1"/>
  <c r="E38" i="272" s="1"/>
  <c r="D41" i="1"/>
  <c r="C41" i="1"/>
  <c r="J40" i="1"/>
  <c r="I40" i="1"/>
  <c r="H40" i="1"/>
  <c r="G40" i="1"/>
  <c r="N40" i="1" s="1"/>
  <c r="F40" i="1"/>
  <c r="E40" i="1"/>
  <c r="E37" i="272" s="1"/>
  <c r="D40" i="1"/>
  <c r="C40" i="1"/>
  <c r="J39" i="1"/>
  <c r="I39" i="1"/>
  <c r="H39" i="1"/>
  <c r="G39" i="1"/>
  <c r="N39" i="1" s="1"/>
  <c r="F39" i="1"/>
  <c r="E39" i="1"/>
  <c r="E36" i="272" s="1"/>
  <c r="D39" i="1"/>
  <c r="C39" i="1"/>
  <c r="J38" i="1"/>
  <c r="I38" i="1"/>
  <c r="H38" i="1"/>
  <c r="G38" i="1"/>
  <c r="N38" i="1" s="1"/>
  <c r="F38" i="1"/>
  <c r="E38" i="1"/>
  <c r="E35" i="272" s="1"/>
  <c r="D38" i="1"/>
  <c r="C38" i="1"/>
  <c r="J37" i="1"/>
  <c r="I37" i="1"/>
  <c r="H37" i="1"/>
  <c r="G37" i="1"/>
  <c r="N37" i="1" s="1"/>
  <c r="F37" i="1"/>
  <c r="E37" i="1"/>
  <c r="E34" i="272" s="1"/>
  <c r="D37" i="1"/>
  <c r="C37" i="1"/>
  <c r="J36" i="1"/>
  <c r="I36" i="1"/>
  <c r="H36" i="1"/>
  <c r="G36" i="1"/>
  <c r="F36" i="1"/>
  <c r="E36" i="1"/>
  <c r="E33" i="272" s="1"/>
  <c r="D36" i="1"/>
  <c r="C36" i="1"/>
  <c r="J35" i="1"/>
  <c r="I35" i="1"/>
  <c r="H35" i="1"/>
  <c r="G35" i="1"/>
  <c r="N35" i="1" s="1"/>
  <c r="F35" i="1"/>
  <c r="E35" i="1"/>
  <c r="E32" i="272" s="1"/>
  <c r="D35" i="1"/>
  <c r="C35" i="1"/>
  <c r="J34" i="1"/>
  <c r="I34" i="1"/>
  <c r="H34" i="1"/>
  <c r="G34" i="1"/>
  <c r="N34" i="1" s="1"/>
  <c r="F34" i="1"/>
  <c r="E34" i="1"/>
  <c r="E31" i="272" s="1"/>
  <c r="D34" i="1"/>
  <c r="C34" i="1"/>
  <c r="J33" i="1"/>
  <c r="I33" i="1"/>
  <c r="H33" i="1"/>
  <c r="G33" i="1"/>
  <c r="N33" i="1" s="1"/>
  <c r="F33" i="1"/>
  <c r="E33" i="1"/>
  <c r="E30" i="272" s="1"/>
  <c r="D33" i="1"/>
  <c r="C33" i="1"/>
  <c r="J32" i="1"/>
  <c r="I32" i="1"/>
  <c r="H32" i="1"/>
  <c r="G32" i="1"/>
  <c r="N32" i="1" s="1"/>
  <c r="F32" i="1"/>
  <c r="E32" i="1"/>
  <c r="E29" i="272" s="1"/>
  <c r="D32" i="1"/>
  <c r="C32" i="1"/>
  <c r="J31" i="1"/>
  <c r="I31" i="1"/>
  <c r="H31" i="1"/>
  <c r="G31" i="1"/>
  <c r="N31" i="1" s="1"/>
  <c r="F31" i="1"/>
  <c r="E31" i="1"/>
  <c r="E28" i="272" s="1"/>
  <c r="D31" i="1"/>
  <c r="C31" i="1"/>
  <c r="J30" i="1"/>
  <c r="I30" i="1"/>
  <c r="H30" i="1"/>
  <c r="G30" i="1"/>
  <c r="F30" i="1"/>
  <c r="E30" i="1"/>
  <c r="E27" i="272" s="1"/>
  <c r="D30" i="1"/>
  <c r="C30" i="1"/>
  <c r="J29" i="1"/>
  <c r="I29" i="1"/>
  <c r="H29" i="1"/>
  <c r="G29" i="1"/>
  <c r="N29" i="1" s="1"/>
  <c r="F29" i="1"/>
  <c r="E29" i="1"/>
  <c r="E26" i="272" s="1"/>
  <c r="D29" i="1"/>
  <c r="C29" i="1"/>
  <c r="J28" i="1"/>
  <c r="I28" i="1"/>
  <c r="H28" i="1"/>
  <c r="G28" i="1"/>
  <c r="N28" i="1" s="1"/>
  <c r="F28" i="1"/>
  <c r="E28" i="1"/>
  <c r="E25" i="272" s="1"/>
  <c r="D28" i="1"/>
  <c r="C28" i="1"/>
  <c r="J27" i="1"/>
  <c r="I27" i="1"/>
  <c r="H27" i="1"/>
  <c r="G27" i="1"/>
  <c r="N27" i="1" s="1"/>
  <c r="F27" i="1"/>
  <c r="E27" i="1"/>
  <c r="E24" i="272" s="1"/>
  <c r="D27" i="1"/>
  <c r="C27" i="1"/>
  <c r="J26" i="1"/>
  <c r="I26" i="1"/>
  <c r="H26" i="1"/>
  <c r="G26" i="1"/>
  <c r="N26" i="1" s="1"/>
  <c r="F26" i="1"/>
  <c r="E26" i="1"/>
  <c r="E23" i="272" s="1"/>
  <c r="D26" i="1"/>
  <c r="C26" i="1"/>
  <c r="J25" i="1"/>
  <c r="I25" i="1"/>
  <c r="H25" i="1"/>
  <c r="G25" i="1"/>
  <c r="F25" i="1"/>
  <c r="E25" i="1"/>
  <c r="E22" i="272" s="1"/>
  <c r="D25" i="1"/>
  <c r="C25" i="1"/>
  <c r="J24" i="1"/>
  <c r="I24" i="1"/>
  <c r="H24" i="1"/>
  <c r="G24" i="1"/>
  <c r="N24" i="1" s="1"/>
  <c r="F24" i="1"/>
  <c r="E24" i="1"/>
  <c r="E21" i="272" s="1"/>
  <c r="D24" i="1"/>
  <c r="C24" i="1"/>
  <c r="J23" i="1"/>
  <c r="I23" i="1"/>
  <c r="H23" i="1"/>
  <c r="G23" i="1"/>
  <c r="N23" i="1" s="1"/>
  <c r="F23" i="1"/>
  <c r="E23" i="1"/>
  <c r="E20" i="272" s="1"/>
  <c r="D23" i="1"/>
  <c r="C23" i="1"/>
  <c r="J22" i="1"/>
  <c r="I22" i="1"/>
  <c r="H22" i="1"/>
  <c r="G22" i="1"/>
  <c r="N22" i="1" s="1"/>
  <c r="F22" i="1"/>
  <c r="E22" i="1"/>
  <c r="E19" i="272" s="1"/>
  <c r="D22" i="1"/>
  <c r="C22" i="1"/>
  <c r="J21" i="1"/>
  <c r="I21" i="1"/>
  <c r="H21" i="1"/>
  <c r="G21" i="1"/>
  <c r="N21" i="1" s="1"/>
  <c r="F21" i="1"/>
  <c r="E21" i="1"/>
  <c r="E18" i="272" s="1"/>
  <c r="D21" i="1"/>
  <c r="C21" i="1"/>
  <c r="J20" i="1"/>
  <c r="I20" i="1"/>
  <c r="H20" i="1"/>
  <c r="G20" i="1"/>
  <c r="N20" i="1" s="1"/>
  <c r="F20" i="1"/>
  <c r="E20" i="1"/>
  <c r="E17" i="272" s="1"/>
  <c r="D20" i="1"/>
  <c r="C20" i="1"/>
  <c r="J19" i="1"/>
  <c r="I19" i="1"/>
  <c r="H19" i="1"/>
  <c r="G19" i="1"/>
  <c r="N19" i="1" s="1"/>
  <c r="F19" i="1"/>
  <c r="E19" i="1"/>
  <c r="E16" i="272" s="1"/>
  <c r="D19" i="1"/>
  <c r="C19" i="1"/>
  <c r="J18" i="1"/>
  <c r="I18" i="1"/>
  <c r="H18" i="1"/>
  <c r="G18" i="1"/>
  <c r="N18" i="1" s="1"/>
  <c r="F18" i="1"/>
  <c r="E18" i="1"/>
  <c r="E15" i="272" s="1"/>
  <c r="D18" i="1"/>
  <c r="C18" i="1"/>
  <c r="J17" i="1"/>
  <c r="I17" i="1"/>
  <c r="H17" i="1"/>
  <c r="G17" i="1"/>
  <c r="N17" i="1" s="1"/>
  <c r="F17" i="1"/>
  <c r="E17" i="1"/>
  <c r="E14" i="272" s="1"/>
  <c r="D17" i="1"/>
  <c r="C17" i="1"/>
  <c r="J16" i="1"/>
  <c r="I16" i="1"/>
  <c r="H16" i="1"/>
  <c r="G16" i="1"/>
  <c r="F16" i="1"/>
  <c r="E16" i="1"/>
  <c r="E13" i="272" s="1"/>
  <c r="D16" i="1"/>
  <c r="C16" i="1"/>
  <c r="J15" i="1"/>
  <c r="I15" i="1"/>
  <c r="H15" i="1"/>
  <c r="G15" i="1"/>
  <c r="N15" i="1" s="1"/>
  <c r="F15" i="1"/>
  <c r="E15" i="1"/>
  <c r="E12" i="272" s="1"/>
  <c r="D15" i="1"/>
  <c r="C15" i="1"/>
  <c r="J14" i="1"/>
  <c r="I14" i="1"/>
  <c r="H14" i="1"/>
  <c r="G14" i="1"/>
  <c r="N14" i="1" s="1"/>
  <c r="F14" i="1"/>
  <c r="E14" i="1"/>
  <c r="E11" i="272" s="1"/>
  <c r="D14" i="1"/>
  <c r="C14" i="1"/>
  <c r="J13" i="1"/>
  <c r="I13" i="1"/>
  <c r="H13" i="1"/>
  <c r="G13" i="1"/>
  <c r="N13" i="1" s="1"/>
  <c r="F13" i="1"/>
  <c r="E13" i="1"/>
  <c r="E10" i="272" s="1"/>
  <c r="D13" i="1"/>
  <c r="C13" i="1"/>
  <c r="J12" i="1"/>
  <c r="I12" i="1"/>
  <c r="H12" i="1"/>
  <c r="G12" i="1"/>
  <c r="F12" i="1"/>
  <c r="E12" i="1"/>
  <c r="E9" i="272" s="1"/>
  <c r="D12" i="1"/>
  <c r="C12" i="1"/>
  <c r="J11" i="1"/>
  <c r="I11" i="1"/>
  <c r="H11" i="1"/>
  <c r="G11" i="1"/>
  <c r="N11" i="1" s="1"/>
  <c r="F11" i="1"/>
  <c r="E11" i="1"/>
  <c r="E8" i="272" s="1"/>
  <c r="D11" i="1"/>
  <c r="C11" i="1"/>
  <c r="J10" i="1"/>
  <c r="I10" i="1"/>
  <c r="H10" i="1"/>
  <c r="G10" i="1"/>
  <c r="N10" i="1" s="1"/>
  <c r="F10" i="1"/>
  <c r="E10" i="1"/>
  <c r="E7" i="272" s="1"/>
  <c r="D10" i="1"/>
  <c r="C10" i="1"/>
  <c r="J9" i="1"/>
  <c r="I9" i="1"/>
  <c r="H9" i="1"/>
  <c r="G9" i="1"/>
  <c r="N9" i="1" s="1"/>
  <c r="F9" i="1"/>
  <c r="E9" i="1"/>
  <c r="E6" i="272" s="1"/>
  <c r="D9" i="1"/>
  <c r="C9" i="1"/>
  <c r="J8" i="1"/>
  <c r="I8" i="1"/>
  <c r="H8" i="1"/>
  <c r="G8" i="1"/>
  <c r="N8" i="1" s="1"/>
  <c r="F8" i="1"/>
  <c r="E8" i="1"/>
  <c r="E5" i="272" s="1"/>
  <c r="D8" i="1"/>
  <c r="C8" i="1"/>
  <c r="J7" i="1"/>
  <c r="I7" i="1"/>
  <c r="H7" i="1"/>
  <c r="G7" i="1"/>
  <c r="N7" i="1" s="1"/>
  <c r="F7" i="1"/>
  <c r="D7" i="1"/>
  <c r="C7" i="1"/>
  <c r="J6" i="1"/>
  <c r="I6" i="1"/>
  <c r="H6" i="1"/>
  <c r="G6" i="1"/>
  <c r="N6" i="1" s="1"/>
  <c r="F6" i="1"/>
  <c r="D6" i="1"/>
  <c r="C6" i="1"/>
  <c r="J5" i="1"/>
  <c r="I5" i="1"/>
  <c r="H5" i="1"/>
  <c r="G5" i="1"/>
  <c r="F5" i="1"/>
  <c r="E5" i="1"/>
  <c r="E2" i="272" s="1"/>
  <c r="D5" i="1"/>
  <c r="C5" i="1"/>
  <c r="Y44" i="235"/>
  <c r="Y43" i="235"/>
  <c r="Y42" i="235"/>
  <c r="Y41" i="235"/>
  <c r="Y40" i="235"/>
  <c r="Y39" i="235"/>
  <c r="Y38" i="235"/>
  <c r="Y37" i="235"/>
  <c r="Y36" i="235"/>
  <c r="Y35" i="235"/>
  <c r="Y34" i="235"/>
  <c r="Y33" i="235"/>
  <c r="Y32" i="235"/>
  <c r="Y31" i="235"/>
  <c r="Y30" i="235"/>
  <c r="Y29" i="235"/>
  <c r="Y28" i="235"/>
  <c r="Y27" i="235"/>
  <c r="Y26" i="235"/>
  <c r="Y25" i="235"/>
  <c r="Y24" i="235"/>
  <c r="Y23" i="235"/>
  <c r="Y22" i="235"/>
  <c r="Y21" i="235"/>
  <c r="Y20" i="235"/>
  <c r="Y19" i="235"/>
  <c r="Y18" i="235"/>
  <c r="Y17" i="235"/>
  <c r="Y16" i="235"/>
  <c r="Y15" i="235"/>
  <c r="Y14" i="235"/>
  <c r="Y13" i="235"/>
  <c r="Y12" i="235"/>
  <c r="Y11" i="235"/>
  <c r="Y10" i="235"/>
  <c r="Y9" i="235"/>
  <c r="Y8" i="235"/>
  <c r="Y7" i="235"/>
  <c r="Y6" i="235"/>
  <c r="Y5" i="235"/>
  <c r="E44" i="235"/>
  <c r="E43" i="235"/>
  <c r="E42" i="235"/>
  <c r="E41" i="235"/>
  <c r="E40" i="235"/>
  <c r="E39" i="235"/>
  <c r="E38" i="235"/>
  <c r="E37" i="235"/>
  <c r="E36" i="235"/>
  <c r="E35" i="235"/>
  <c r="E34" i="235"/>
  <c r="E33" i="235"/>
  <c r="E32" i="235"/>
  <c r="E31" i="235"/>
  <c r="E30" i="235"/>
  <c r="E29" i="235"/>
  <c r="E28" i="235"/>
  <c r="E27" i="235"/>
  <c r="E26" i="235"/>
  <c r="E25" i="235"/>
  <c r="E24" i="235"/>
  <c r="E23" i="235"/>
  <c r="E22" i="235"/>
  <c r="E21" i="235"/>
  <c r="E20" i="235"/>
  <c r="E19" i="235"/>
  <c r="E18" i="235"/>
  <c r="E17" i="235"/>
  <c r="E16" i="235"/>
  <c r="E15" i="235"/>
  <c r="E14" i="235"/>
  <c r="E13" i="235"/>
  <c r="E12" i="235"/>
  <c r="E11" i="235"/>
  <c r="E10" i="235"/>
  <c r="E9" i="235"/>
  <c r="E8" i="235"/>
  <c r="E7" i="235"/>
  <c r="E6" i="235"/>
  <c r="E5" i="235"/>
  <c r="G44" i="235"/>
  <c r="G43" i="235"/>
  <c r="G42" i="235"/>
  <c r="G41" i="235"/>
  <c r="G40" i="235"/>
  <c r="G39" i="235"/>
  <c r="G38" i="235"/>
  <c r="G37" i="235"/>
  <c r="G36" i="235"/>
  <c r="G35" i="235"/>
  <c r="G34" i="235"/>
  <c r="G33" i="235"/>
  <c r="G32" i="235"/>
  <c r="G31" i="235"/>
  <c r="G30" i="235"/>
  <c r="G29" i="235"/>
  <c r="G28" i="235"/>
  <c r="G27" i="235"/>
  <c r="G24" i="235"/>
  <c r="G23" i="235"/>
  <c r="G22" i="235"/>
  <c r="G21" i="235"/>
  <c r="G20" i="235"/>
  <c r="G19" i="235"/>
  <c r="G18" i="235"/>
  <c r="G16" i="235"/>
  <c r="G15" i="235"/>
  <c r="G14" i="235"/>
  <c r="G13" i="235"/>
  <c r="G12" i="235"/>
  <c r="G11" i="235"/>
  <c r="G10" i="235"/>
  <c r="G9" i="235"/>
  <c r="G8" i="235"/>
  <c r="G7" i="235"/>
  <c r="S26" i="1"/>
  <c r="C15" i="252" l="1"/>
  <c r="D15" i="252"/>
  <c r="N16" i="1"/>
  <c r="F14" i="252"/>
  <c r="E14" i="252"/>
  <c r="N25" i="1"/>
  <c r="H14" i="252"/>
  <c r="G14" i="252"/>
  <c r="N36" i="1"/>
  <c r="J14" i="252"/>
  <c r="I14" i="252"/>
  <c r="D14" i="252"/>
  <c r="C14" i="252"/>
  <c r="F15" i="252"/>
  <c r="E15" i="252"/>
  <c r="G15" i="252"/>
  <c r="H15" i="252"/>
  <c r="J15" i="252"/>
  <c r="I15" i="252"/>
  <c r="BB6" i="235"/>
  <c r="BB5" i="235"/>
  <c r="BB7" i="235"/>
  <c r="BB8" i="235"/>
  <c r="BB9" i="235"/>
  <c r="BB10" i="235"/>
  <c r="BB11" i="235"/>
  <c r="BB12" i="235"/>
  <c r="BB13" i="235"/>
  <c r="BB14" i="235"/>
  <c r="BB15" i="235"/>
  <c r="BB16" i="235"/>
  <c r="BB17" i="235"/>
  <c r="BB18" i="235"/>
  <c r="BB19" i="235"/>
  <c r="BB20" i="235"/>
  <c r="BB21" i="235"/>
  <c r="BB22" i="235"/>
  <c r="BB23" i="235"/>
  <c r="BB24" i="235"/>
  <c r="BB25" i="235"/>
  <c r="BB26" i="235"/>
  <c r="BB27" i="235"/>
  <c r="BB28" i="235"/>
  <c r="BB29" i="235"/>
  <c r="BB30" i="235"/>
  <c r="BB31" i="235"/>
  <c r="BB32" i="235"/>
  <c r="BB33" i="235"/>
  <c r="BB34" i="235"/>
  <c r="BB35" i="235"/>
  <c r="BB36" i="235"/>
  <c r="BB37" i="235"/>
  <c r="BB38" i="235"/>
  <c r="BB39" i="235"/>
  <c r="BB40" i="235"/>
  <c r="BB41" i="235"/>
  <c r="BB42" i="235"/>
  <c r="BB43" i="235"/>
  <c r="BB44" i="235"/>
  <c r="V26" i="1"/>
  <c r="U26" i="1"/>
  <c r="U27" i="1"/>
  <c r="U28" i="1"/>
  <c r="V29" i="1"/>
  <c r="U29" i="1"/>
  <c r="V30" i="1"/>
  <c r="U30" i="1"/>
  <c r="U31" i="1"/>
  <c r="U32" i="1"/>
  <c r="U33" i="1"/>
  <c r="U34" i="1"/>
  <c r="V34" i="1"/>
  <c r="U35" i="1"/>
  <c r="U36" i="1"/>
  <c r="U37" i="1"/>
  <c r="U38" i="1"/>
  <c r="U39" i="1"/>
  <c r="U40" i="1"/>
  <c r="U41" i="1"/>
  <c r="V41" i="1"/>
  <c r="U42" i="1"/>
  <c r="U43" i="1"/>
  <c r="V44" i="1"/>
  <c r="U44" i="1"/>
  <c r="U25" i="1"/>
  <c r="W41" i="1" l="1"/>
  <c r="W37" i="1"/>
  <c r="W42" i="1"/>
  <c r="W33" i="1"/>
  <c r="W38" i="1"/>
  <c r="W29" i="1"/>
  <c r="W34" i="1"/>
  <c r="W30" i="1"/>
  <c r="V36" i="1"/>
  <c r="V37" i="1"/>
  <c r="W26" i="1"/>
  <c r="V28" i="1"/>
  <c r="W27" i="1"/>
  <c r="V38" i="1"/>
  <c r="V35" i="1"/>
  <c r="V32" i="1"/>
  <c r="V42" i="1"/>
  <c r="V39" i="1"/>
  <c r="V33" i="1"/>
  <c r="V40" i="1"/>
  <c r="W43" i="1"/>
  <c r="W31" i="1"/>
  <c r="W35" i="1"/>
  <c r="V43" i="1"/>
  <c r="V31" i="1"/>
  <c r="V27" i="1"/>
  <c r="W39" i="1"/>
  <c r="W44" i="1"/>
  <c r="W40" i="1"/>
  <c r="W36" i="1"/>
  <c r="W32" i="1"/>
  <c r="W28" i="1"/>
  <c r="W25" i="1"/>
  <c r="V25" i="1"/>
  <c r="AO5" i="235" l="1"/>
  <c r="AO6" i="235"/>
  <c r="AO7" i="235"/>
  <c r="AO8" i="235"/>
  <c r="AO9" i="235"/>
  <c r="AO10" i="235"/>
  <c r="AO11" i="235"/>
  <c r="AO12" i="235"/>
  <c r="AO13" i="235"/>
  <c r="AO14" i="235"/>
  <c r="AO15" i="235"/>
  <c r="AO16" i="235"/>
  <c r="AO17" i="235"/>
  <c r="AO18" i="235"/>
  <c r="AO19" i="235"/>
  <c r="AO20" i="235"/>
  <c r="AO21" i="235"/>
  <c r="AO22" i="235"/>
  <c r="AO23" i="235"/>
  <c r="AO24" i="235"/>
  <c r="AO25" i="235"/>
  <c r="AO26" i="235"/>
  <c r="AO27" i="235"/>
  <c r="AO28" i="235"/>
  <c r="AO29" i="235"/>
  <c r="AO30" i="235"/>
  <c r="AO31" i="235"/>
  <c r="AO32" i="235"/>
  <c r="AO33" i="235"/>
  <c r="AO34" i="235"/>
  <c r="AO35" i="235"/>
  <c r="AO36" i="235"/>
  <c r="AO37" i="235"/>
  <c r="AO38" i="235"/>
  <c r="AO39" i="235"/>
  <c r="AO40" i="235"/>
  <c r="AO41" i="235"/>
  <c r="AO42" i="235"/>
  <c r="AO43" i="235"/>
  <c r="AO44" i="235"/>
  <c r="AO45" i="235"/>
  <c r="AV25" i="1"/>
  <c r="AV26" i="1"/>
  <c r="AV27" i="1"/>
  <c r="AV28" i="1"/>
  <c r="AV29" i="1"/>
  <c r="AV30" i="1"/>
  <c r="AV31" i="1"/>
  <c r="AV32" i="1"/>
  <c r="AV33" i="1"/>
  <c r="AV34" i="1"/>
  <c r="AV35" i="1"/>
  <c r="AV36" i="1"/>
  <c r="AV37" i="1"/>
  <c r="AV38" i="1"/>
  <c r="AV39" i="1"/>
  <c r="AV40" i="1"/>
  <c r="AV41" i="1"/>
  <c r="AV42" i="1"/>
  <c r="AV43" i="1"/>
  <c r="AV44" i="1"/>
  <c r="AY45" i="235" l="1"/>
  <c r="AX45" i="235"/>
  <c r="AW45" i="235"/>
  <c r="AV45" i="235"/>
  <c r="AU45" i="235"/>
  <c r="AT45" i="235"/>
  <c r="AS45" i="235"/>
  <c r="AR45" i="235"/>
  <c r="AQ45" i="235"/>
  <c r="AP45" i="235"/>
  <c r="AN45" i="235"/>
  <c r="AM45" i="235"/>
  <c r="AL45" i="235"/>
  <c r="AK45" i="235"/>
  <c r="AJ45" i="235"/>
  <c r="AI45" i="235"/>
  <c r="AH45" i="235"/>
  <c r="AG45" i="235"/>
  <c r="AF45" i="235"/>
  <c r="AE45" i="235"/>
  <c r="AD45" i="235"/>
  <c r="AC45" i="235"/>
  <c r="AB45" i="235"/>
  <c r="AA45" i="235"/>
  <c r="Z45" i="235"/>
  <c r="X45" i="235"/>
  <c r="W45" i="235"/>
  <c r="V45" i="235"/>
  <c r="I45" i="235"/>
  <c r="H45" i="235"/>
  <c r="U45" i="235"/>
  <c r="T45" i="235"/>
  <c r="S45" i="235"/>
  <c r="R45" i="235"/>
  <c r="Q45" i="235"/>
  <c r="P45" i="235"/>
  <c r="O45" i="235"/>
  <c r="N45" i="235"/>
  <c r="M45" i="235"/>
  <c r="L45" i="235"/>
  <c r="K45" i="235"/>
  <c r="J45" i="235"/>
  <c r="G45" i="235"/>
  <c r="F45" i="235"/>
  <c r="E45" i="235"/>
  <c r="D45" i="235"/>
  <c r="C45" i="235"/>
  <c r="B45" i="235"/>
  <c r="A45" i="235"/>
  <c r="AW45" i="1"/>
  <c r="AV45" i="1"/>
  <c r="AU45" i="1"/>
  <c r="AT45" i="1"/>
  <c r="AS45" i="1"/>
  <c r="AR45" i="1"/>
  <c r="AQ45" i="1"/>
  <c r="AP45" i="1"/>
  <c r="AO45" i="1"/>
  <c r="AN45" i="1"/>
  <c r="AM45" i="1"/>
  <c r="AL45" i="1"/>
  <c r="AK45" i="1"/>
  <c r="AJ45" i="1"/>
  <c r="AI45" i="1"/>
  <c r="AH45" i="1"/>
  <c r="AG45" i="1"/>
  <c r="AF45" i="1"/>
  <c r="AE45" i="1"/>
  <c r="AD45" i="1"/>
  <c r="AC45" i="1"/>
  <c r="Y45" i="1"/>
  <c r="X45" i="1"/>
  <c r="W45" i="1"/>
  <c r="V45" i="1"/>
  <c r="U45" i="1"/>
  <c r="T45" i="1"/>
  <c r="S45" i="1"/>
  <c r="R45" i="1"/>
  <c r="Q45" i="1"/>
  <c r="P45" i="1"/>
  <c r="O45" i="1"/>
  <c r="N45" i="1"/>
  <c r="M45" i="1"/>
  <c r="L45" i="1"/>
  <c r="K45" i="1"/>
  <c r="J45" i="1"/>
  <c r="I45" i="1"/>
  <c r="H45" i="1"/>
  <c r="G45" i="1"/>
  <c r="F45" i="1"/>
  <c r="E45" i="1"/>
  <c r="D45" i="1"/>
  <c r="C45" i="1"/>
  <c r="B45" i="1"/>
  <c r="A45" i="1"/>
  <c r="G26" i="235" l="1"/>
  <c r="G25" i="235"/>
  <c r="G17" i="235"/>
  <c r="G6" i="235"/>
  <c r="G5" i="235"/>
  <c r="A46" i="268" l="1"/>
  <c r="A45" i="268"/>
  <c r="A44" i="268"/>
  <c r="A43" i="268"/>
  <c r="A42" i="268"/>
  <c r="A41" i="268"/>
  <c r="A40" i="268"/>
  <c r="A39" i="268"/>
  <c r="A38" i="268"/>
  <c r="A37" i="268"/>
  <c r="A36" i="268"/>
  <c r="A35" i="268"/>
  <c r="A34" i="268"/>
  <c r="A33" i="268"/>
  <c r="A32" i="268"/>
  <c r="A31" i="268"/>
  <c r="A30" i="268"/>
  <c r="A29" i="268"/>
  <c r="A28" i="268"/>
  <c r="A27" i="268"/>
  <c r="A26" i="268"/>
  <c r="A25" i="268"/>
  <c r="A24" i="268"/>
  <c r="A23" i="268"/>
  <c r="A22" i="268"/>
  <c r="A21" i="268"/>
  <c r="A20" i="268"/>
  <c r="A19" i="268"/>
  <c r="A18" i="268"/>
  <c r="A17" i="268"/>
  <c r="A16" i="268"/>
  <c r="A15" i="268"/>
  <c r="A14" i="268"/>
  <c r="A13" i="268"/>
  <c r="A12" i="268"/>
  <c r="A11" i="268"/>
  <c r="A10" i="268"/>
  <c r="A9" i="268"/>
  <c r="A8" i="268"/>
  <c r="A7" i="268"/>
  <c r="B4" i="268"/>
  <c r="B3" i="268"/>
  <c r="AT173" i="20" l="1"/>
  <c r="AS173" i="20"/>
  <c r="AT172" i="20"/>
  <c r="AS172" i="20"/>
  <c r="AT171" i="20"/>
  <c r="AS171" i="20"/>
  <c r="AT170" i="20"/>
  <c r="AS170" i="20"/>
  <c r="AT169" i="20"/>
  <c r="AS169" i="20"/>
  <c r="AT168" i="20"/>
  <c r="AS168" i="20"/>
  <c r="AT167" i="20"/>
  <c r="AS167" i="20"/>
  <c r="AT166" i="20"/>
  <c r="AS166" i="20"/>
  <c r="AT165" i="20"/>
  <c r="AS165" i="20"/>
  <c r="AT164" i="20"/>
  <c r="AS164" i="20"/>
  <c r="AT163" i="20"/>
  <c r="AS163" i="20"/>
  <c r="AT162" i="20"/>
  <c r="AS162" i="20"/>
  <c r="AT161" i="20"/>
  <c r="AS161" i="20"/>
  <c r="AT160" i="20"/>
  <c r="AS160" i="20"/>
  <c r="AT159" i="20"/>
  <c r="AS159" i="20"/>
  <c r="AT158" i="20"/>
  <c r="AS158" i="20"/>
  <c r="AT157" i="20"/>
  <c r="AS157" i="20"/>
  <c r="AT156" i="20"/>
  <c r="AS156" i="20"/>
  <c r="AT155" i="20"/>
  <c r="AS155" i="20"/>
  <c r="AT154" i="20"/>
  <c r="AS154" i="20"/>
  <c r="AT153" i="20"/>
  <c r="AS153" i="20"/>
  <c r="AT152" i="20"/>
  <c r="AS152" i="20"/>
  <c r="AT151" i="20"/>
  <c r="AS151" i="20"/>
  <c r="AT150" i="20"/>
  <c r="AS150" i="20"/>
  <c r="AT149" i="20"/>
  <c r="AS149" i="20"/>
  <c r="AT148" i="20"/>
  <c r="AS148" i="20"/>
  <c r="AT147" i="20"/>
  <c r="AS147" i="20"/>
  <c r="AT146" i="20"/>
  <c r="AS146" i="20"/>
  <c r="AT145" i="20"/>
  <c r="AS145" i="20"/>
  <c r="AT144" i="20"/>
  <c r="AS144" i="20"/>
  <c r="AT143" i="20"/>
  <c r="AS143" i="20"/>
  <c r="AT142" i="20"/>
  <c r="AS142" i="20"/>
  <c r="AT141" i="20"/>
  <c r="AS141" i="20"/>
  <c r="AT140" i="20"/>
  <c r="AS140" i="20"/>
  <c r="AT139" i="20"/>
  <c r="AS139" i="20"/>
  <c r="AT138" i="20"/>
  <c r="AS138" i="20"/>
  <c r="AT137" i="20"/>
  <c r="AS137" i="20"/>
  <c r="AT136" i="20"/>
  <c r="AS136" i="20"/>
  <c r="AT135" i="20"/>
  <c r="AS135" i="20"/>
  <c r="AT134" i="20"/>
  <c r="AS134" i="20"/>
  <c r="AT133" i="20"/>
  <c r="AS133" i="20"/>
  <c r="AT132" i="20"/>
  <c r="AS132" i="20"/>
  <c r="AT131" i="20"/>
  <c r="AS131" i="20"/>
  <c r="AT130" i="20"/>
  <c r="AS130" i="20"/>
  <c r="AT129" i="20"/>
  <c r="AS129" i="20"/>
  <c r="AT128" i="20"/>
  <c r="AS128" i="20"/>
  <c r="AT127" i="20"/>
  <c r="AS127" i="20"/>
  <c r="AT126" i="20"/>
  <c r="AS126" i="20"/>
  <c r="AT125" i="20"/>
  <c r="AS125" i="20"/>
  <c r="AT124" i="20"/>
  <c r="AS124" i="20"/>
  <c r="AT123" i="20"/>
  <c r="AS123" i="20"/>
  <c r="AT122" i="20"/>
  <c r="AS122" i="20"/>
  <c r="AT121" i="20"/>
  <c r="AS121" i="20"/>
  <c r="AT120" i="20"/>
  <c r="AS120" i="20"/>
  <c r="AT119" i="20"/>
  <c r="AS119" i="20"/>
  <c r="AT118" i="20"/>
  <c r="AS118" i="20"/>
  <c r="AT117" i="20"/>
  <c r="AS117" i="20"/>
  <c r="AT116" i="20"/>
  <c r="AS116" i="20"/>
  <c r="AT115" i="20"/>
  <c r="AS115" i="20"/>
  <c r="AT114" i="20"/>
  <c r="AS114" i="20"/>
  <c r="AT113" i="20"/>
  <c r="AS113" i="20"/>
  <c r="AT112" i="20"/>
  <c r="AS112" i="20"/>
  <c r="AT111" i="20"/>
  <c r="AS111" i="20"/>
  <c r="AT110" i="20"/>
  <c r="AS110" i="20"/>
  <c r="AT109" i="20"/>
  <c r="AS109" i="20"/>
  <c r="AT108" i="20"/>
  <c r="AS108" i="20"/>
  <c r="AT107" i="20"/>
  <c r="AS107" i="20"/>
  <c r="AT106" i="20"/>
  <c r="AS106" i="20"/>
  <c r="AT105" i="20"/>
  <c r="AS105" i="20"/>
  <c r="AT104" i="20"/>
  <c r="AS104" i="20"/>
  <c r="AT103" i="20"/>
  <c r="AS103" i="20"/>
  <c r="AT102" i="20"/>
  <c r="AS102" i="20"/>
  <c r="AT101" i="20"/>
  <c r="AS101" i="20"/>
  <c r="AT100" i="20"/>
  <c r="AS100" i="20"/>
  <c r="AT99" i="20"/>
  <c r="AS99" i="20"/>
  <c r="AT98" i="20"/>
  <c r="AS98" i="20"/>
  <c r="AT97" i="20"/>
  <c r="AS97" i="20"/>
  <c r="AT96" i="20"/>
  <c r="AS96" i="20"/>
  <c r="AT81" i="20"/>
  <c r="AS81" i="20"/>
  <c r="AT80" i="20"/>
  <c r="AS80" i="20"/>
  <c r="AT79" i="20"/>
  <c r="AS79" i="20"/>
  <c r="AT78" i="20"/>
  <c r="AS78" i="20"/>
  <c r="AT77" i="20"/>
  <c r="AS77" i="20"/>
  <c r="AT76" i="20"/>
  <c r="AS76" i="20"/>
  <c r="AT75" i="20"/>
  <c r="AS75" i="20"/>
  <c r="AT74" i="20"/>
  <c r="AS74" i="20"/>
  <c r="AT73" i="20"/>
  <c r="AS73" i="20"/>
  <c r="AT72" i="20"/>
  <c r="AS72" i="20"/>
  <c r="AT71" i="20"/>
  <c r="AS71" i="20"/>
  <c r="AT70" i="20"/>
  <c r="AS70" i="20"/>
  <c r="AT69" i="20"/>
  <c r="AS69" i="20"/>
  <c r="AT68" i="20"/>
  <c r="AS68" i="20"/>
  <c r="AT67" i="20"/>
  <c r="AS67" i="20"/>
  <c r="AT66" i="20"/>
  <c r="AS66" i="20"/>
  <c r="AT65" i="20"/>
  <c r="AS65" i="20"/>
  <c r="AT64" i="20"/>
  <c r="AS64" i="20"/>
  <c r="AT63" i="20"/>
  <c r="AS63" i="20"/>
  <c r="AT62" i="20"/>
  <c r="AS62" i="20"/>
  <c r="AT61" i="20"/>
  <c r="AS61" i="20"/>
  <c r="AT60" i="20"/>
  <c r="AS60" i="20"/>
  <c r="AT59" i="20"/>
  <c r="AS59" i="20"/>
  <c r="AT58" i="20"/>
  <c r="AS58" i="20"/>
  <c r="AT57" i="20"/>
  <c r="AS57" i="20"/>
  <c r="AT56" i="20"/>
  <c r="AS56" i="20"/>
  <c r="AT55" i="20"/>
  <c r="AS55" i="20"/>
  <c r="AT54" i="20"/>
  <c r="AS54" i="20"/>
  <c r="AT53" i="20"/>
  <c r="AS53" i="20"/>
  <c r="AT52" i="20"/>
  <c r="AS52" i="20"/>
  <c r="AT51" i="20"/>
  <c r="AS51" i="20"/>
  <c r="AT50" i="20"/>
  <c r="AS50" i="20"/>
  <c r="AT49" i="20"/>
  <c r="AS49" i="20"/>
  <c r="AT48" i="20"/>
  <c r="AS48" i="20"/>
  <c r="AT47" i="20"/>
  <c r="AS47" i="20"/>
  <c r="AT46" i="20"/>
  <c r="AS46" i="20"/>
  <c r="AT45" i="20"/>
  <c r="AS45" i="20"/>
  <c r="AT44" i="20"/>
  <c r="AS44" i="20"/>
  <c r="AT43" i="20"/>
  <c r="AS43" i="20"/>
  <c r="AT42" i="20"/>
  <c r="AS42" i="20"/>
  <c r="AT41" i="20"/>
  <c r="AS41" i="20"/>
  <c r="AT40" i="20"/>
  <c r="AS40" i="20"/>
  <c r="AT39" i="20"/>
  <c r="AS39" i="20"/>
  <c r="AT38" i="20"/>
  <c r="AS38" i="20"/>
  <c r="AT37" i="20"/>
  <c r="AS37" i="20"/>
  <c r="AT36" i="20"/>
  <c r="AS36" i="20"/>
  <c r="AT35" i="20"/>
  <c r="AS35" i="20"/>
  <c r="AT34" i="20"/>
  <c r="AS34" i="20"/>
  <c r="AT33" i="20"/>
  <c r="AS33" i="20"/>
  <c r="AT32" i="20"/>
  <c r="AS32" i="20"/>
  <c r="AT31" i="20"/>
  <c r="AS31" i="20"/>
  <c r="AT30" i="20"/>
  <c r="AS30" i="20"/>
  <c r="AT29" i="20"/>
  <c r="AS29" i="20"/>
  <c r="AT28" i="20"/>
  <c r="AS28" i="20"/>
  <c r="AT27" i="20"/>
  <c r="AS27" i="20"/>
  <c r="AT26" i="20"/>
  <c r="AS26" i="20"/>
  <c r="AT25" i="20"/>
  <c r="AS25" i="20"/>
  <c r="AT24" i="20"/>
  <c r="AS24" i="20"/>
  <c r="AT23" i="20"/>
  <c r="AS23" i="20"/>
  <c r="AT22" i="20"/>
  <c r="AS22" i="20"/>
  <c r="AT21" i="20"/>
  <c r="AS21" i="20"/>
  <c r="AT20" i="20"/>
  <c r="AS20" i="20"/>
  <c r="AT19" i="20"/>
  <c r="AS19" i="20"/>
  <c r="AT18" i="20"/>
  <c r="AS18" i="20"/>
  <c r="AT17" i="20"/>
  <c r="AS17" i="20"/>
  <c r="AT16" i="20"/>
  <c r="AS16" i="20"/>
  <c r="AT15" i="20"/>
  <c r="AS15" i="20"/>
  <c r="AT14" i="20"/>
  <c r="AS14" i="20"/>
  <c r="AT13" i="20"/>
  <c r="AS13" i="20"/>
  <c r="AT12" i="20"/>
  <c r="AS12" i="20"/>
  <c r="AT11" i="20"/>
  <c r="AS11" i="20"/>
  <c r="AT10" i="20"/>
  <c r="AS10" i="20"/>
  <c r="AT9" i="20"/>
  <c r="AS9" i="20"/>
  <c r="AT8" i="20"/>
  <c r="AS8" i="20"/>
  <c r="AT7" i="20"/>
  <c r="AS7" i="20"/>
  <c r="AT6" i="20"/>
  <c r="AS6" i="20"/>
  <c r="AK173" i="4" l="1"/>
  <c r="AL173" i="4" s="1"/>
  <c r="AK172" i="4"/>
  <c r="AL172" i="4" s="1"/>
  <c r="AK171" i="4"/>
  <c r="AL171" i="4" s="1"/>
  <c r="AK170" i="4"/>
  <c r="AL170" i="4" s="1"/>
  <c r="AK169" i="4"/>
  <c r="AL169" i="4" s="1"/>
  <c r="AK168" i="4"/>
  <c r="AL168" i="4" s="1"/>
  <c r="AK167" i="4"/>
  <c r="AL167" i="4" s="1"/>
  <c r="AK166" i="4"/>
  <c r="AL166" i="4" s="1"/>
  <c r="AK165" i="4"/>
  <c r="AL165" i="4" s="1"/>
  <c r="AK164" i="4"/>
  <c r="AL164" i="4" s="1"/>
  <c r="AK163" i="4"/>
  <c r="AL163" i="4" s="1"/>
  <c r="AK162" i="4"/>
  <c r="AL162" i="4" s="1"/>
  <c r="AK161" i="4"/>
  <c r="AL161" i="4" s="1"/>
  <c r="AK160" i="4"/>
  <c r="AL160" i="4" s="1"/>
  <c r="AK159" i="4"/>
  <c r="AL159" i="4" s="1"/>
  <c r="AK158" i="4"/>
  <c r="AL158" i="4" s="1"/>
  <c r="AK157" i="4"/>
  <c r="AL157" i="4" s="1"/>
  <c r="AK156" i="4"/>
  <c r="AL156" i="4" s="1"/>
  <c r="AK155" i="4"/>
  <c r="AL155" i="4" s="1"/>
  <c r="AK154" i="4"/>
  <c r="AL154" i="4" s="1"/>
  <c r="AK153" i="4"/>
  <c r="AL153" i="4" s="1"/>
  <c r="AK152" i="4"/>
  <c r="AL152" i="4" s="1"/>
  <c r="AK151" i="4"/>
  <c r="AL151" i="4" s="1"/>
  <c r="AK150" i="4"/>
  <c r="AL150" i="4" s="1"/>
  <c r="AK149" i="4"/>
  <c r="AL149" i="4" s="1"/>
  <c r="AK148" i="4"/>
  <c r="AL148" i="4" s="1"/>
  <c r="AK147" i="4"/>
  <c r="AL147" i="4" s="1"/>
  <c r="AK146" i="4"/>
  <c r="AL146" i="4" s="1"/>
  <c r="AK145" i="4"/>
  <c r="AL145" i="4" s="1"/>
  <c r="AK144" i="4"/>
  <c r="AL144" i="4" s="1"/>
  <c r="AK143" i="4"/>
  <c r="AL143" i="4" s="1"/>
  <c r="AK142" i="4"/>
  <c r="AL142" i="4" s="1"/>
  <c r="AK141" i="4"/>
  <c r="AL141" i="4" s="1"/>
  <c r="AK140" i="4"/>
  <c r="AL140" i="4" s="1"/>
  <c r="AK139" i="4"/>
  <c r="AL139" i="4" s="1"/>
  <c r="AK138" i="4"/>
  <c r="AL138" i="4" s="1"/>
  <c r="AK137" i="4"/>
  <c r="AL137" i="4" s="1"/>
  <c r="AK136" i="4"/>
  <c r="AL136" i="4" s="1"/>
  <c r="AK135" i="4"/>
  <c r="AL135" i="4" s="1"/>
  <c r="AK134" i="4"/>
  <c r="AL134" i="4" s="1"/>
  <c r="AK133" i="4"/>
  <c r="AL133" i="4" s="1"/>
  <c r="AK132" i="4"/>
  <c r="AL132" i="4" s="1"/>
  <c r="AK131" i="4"/>
  <c r="AL131" i="4" s="1"/>
  <c r="AK130" i="4"/>
  <c r="AL130" i="4" s="1"/>
  <c r="AK129" i="4"/>
  <c r="AL129" i="4" s="1"/>
  <c r="AK128" i="4"/>
  <c r="AL128" i="4" s="1"/>
  <c r="AK127" i="4"/>
  <c r="AL127" i="4" s="1"/>
  <c r="AK126" i="4"/>
  <c r="AL126" i="4" s="1"/>
  <c r="AK125" i="4"/>
  <c r="AL125" i="4" s="1"/>
  <c r="AK124" i="4"/>
  <c r="AL124" i="4" s="1"/>
  <c r="AK123" i="4"/>
  <c r="AL123" i="4" s="1"/>
  <c r="AK122" i="4"/>
  <c r="AL122" i="4" s="1"/>
  <c r="AK121" i="4"/>
  <c r="AL121" i="4" s="1"/>
  <c r="AK120" i="4"/>
  <c r="AL120" i="4" s="1"/>
  <c r="AK119" i="4"/>
  <c r="AL119" i="4" s="1"/>
  <c r="AK118" i="4"/>
  <c r="AL118" i="4" s="1"/>
  <c r="AK117" i="4"/>
  <c r="AL117" i="4" s="1"/>
  <c r="AK116" i="4"/>
  <c r="AL116" i="4" s="1"/>
  <c r="AK115" i="4"/>
  <c r="AL115" i="4" s="1"/>
  <c r="AK114" i="4"/>
  <c r="AL114" i="4" s="1"/>
  <c r="AK113" i="4"/>
  <c r="AL113" i="4" s="1"/>
  <c r="AK112" i="4"/>
  <c r="AL112" i="4" s="1"/>
  <c r="AK111" i="4"/>
  <c r="AL111" i="4" s="1"/>
  <c r="AK110" i="4"/>
  <c r="AL110" i="4" s="1"/>
  <c r="AK109" i="4"/>
  <c r="AL109" i="4" s="1"/>
  <c r="AK108" i="4"/>
  <c r="AL108" i="4" s="1"/>
  <c r="AK107" i="4"/>
  <c r="AL107" i="4" s="1"/>
  <c r="AK106" i="4"/>
  <c r="AL106" i="4" s="1"/>
  <c r="AK105" i="4"/>
  <c r="AL105" i="4" s="1"/>
  <c r="AK104" i="4"/>
  <c r="AL104" i="4" s="1"/>
  <c r="AK103" i="4"/>
  <c r="AL103" i="4" s="1"/>
  <c r="AK102" i="4"/>
  <c r="AL102" i="4" s="1"/>
  <c r="AK101" i="4"/>
  <c r="AL101" i="4" s="1"/>
  <c r="AK100" i="4"/>
  <c r="AL100" i="4" s="1"/>
  <c r="AK99" i="4"/>
  <c r="AL99" i="4" s="1"/>
  <c r="AK98" i="4"/>
  <c r="AL98" i="4" s="1"/>
  <c r="AK97" i="4"/>
  <c r="AL97" i="4" s="1"/>
  <c r="AK96" i="4"/>
  <c r="AL96" i="4" s="1"/>
  <c r="AK81" i="4"/>
  <c r="AL81" i="4" s="1"/>
  <c r="AK80" i="4"/>
  <c r="AL80" i="4" s="1"/>
  <c r="AK79" i="4"/>
  <c r="AL79" i="4" s="1"/>
  <c r="AK78" i="4"/>
  <c r="AL78" i="4" s="1"/>
  <c r="AK77" i="4"/>
  <c r="AL77" i="4" s="1"/>
  <c r="AK76" i="4"/>
  <c r="AL76" i="4" s="1"/>
  <c r="AK75" i="4"/>
  <c r="AL75" i="4" s="1"/>
  <c r="AK74" i="4"/>
  <c r="AL74" i="4" s="1"/>
  <c r="AK73" i="4"/>
  <c r="AL73" i="4" s="1"/>
  <c r="AK72" i="4"/>
  <c r="AL72" i="4" s="1"/>
  <c r="AK71" i="4"/>
  <c r="AL71" i="4" s="1"/>
  <c r="AK70" i="4"/>
  <c r="AL70" i="4" s="1"/>
  <c r="AK69" i="4"/>
  <c r="AL69" i="4" s="1"/>
  <c r="AK68" i="4"/>
  <c r="AL68" i="4" s="1"/>
  <c r="AK67" i="4"/>
  <c r="AL67" i="4" s="1"/>
  <c r="AK66" i="4"/>
  <c r="AL66" i="4" s="1"/>
  <c r="AK65" i="4"/>
  <c r="AL65" i="4" s="1"/>
  <c r="AK64" i="4"/>
  <c r="AL64" i="4" s="1"/>
  <c r="AK63" i="4"/>
  <c r="AL63" i="4" s="1"/>
  <c r="AK62" i="4"/>
  <c r="AL62" i="4" s="1"/>
  <c r="AK61" i="4"/>
  <c r="AL61" i="4" s="1"/>
  <c r="AK60" i="4"/>
  <c r="AL60" i="4" s="1"/>
  <c r="AK59" i="4"/>
  <c r="AL59" i="4" s="1"/>
  <c r="AK58" i="4"/>
  <c r="AL58" i="4" s="1"/>
  <c r="AK57" i="4"/>
  <c r="AL57" i="4" s="1"/>
  <c r="AK56" i="4"/>
  <c r="AL56" i="4" s="1"/>
  <c r="AK55" i="4"/>
  <c r="AL55" i="4" s="1"/>
  <c r="AK54" i="4"/>
  <c r="AL54" i="4" s="1"/>
  <c r="AK53" i="4"/>
  <c r="AL53" i="4" s="1"/>
  <c r="AK52" i="4"/>
  <c r="AL52" i="4" s="1"/>
  <c r="AK51" i="4"/>
  <c r="AL51" i="4" s="1"/>
  <c r="AK50" i="4"/>
  <c r="AL50" i="4" s="1"/>
  <c r="AK49" i="4"/>
  <c r="AL49" i="4" s="1"/>
  <c r="AK48" i="4"/>
  <c r="AL48" i="4" s="1"/>
  <c r="AK47" i="4"/>
  <c r="AL47" i="4" s="1"/>
  <c r="AK46" i="4"/>
  <c r="AL46" i="4" s="1"/>
  <c r="AK45" i="4"/>
  <c r="AL45" i="4" s="1"/>
  <c r="AK44" i="4"/>
  <c r="AL44" i="4" s="1"/>
  <c r="AK43" i="4"/>
  <c r="AL43" i="4" s="1"/>
  <c r="AK42" i="4"/>
  <c r="AL42" i="4" s="1"/>
  <c r="AK41" i="4"/>
  <c r="AL41" i="4" s="1"/>
  <c r="AK40" i="4"/>
  <c r="AL40" i="4" s="1"/>
  <c r="AK39" i="4"/>
  <c r="AL39" i="4" s="1"/>
  <c r="AK38" i="4"/>
  <c r="AL38" i="4" s="1"/>
  <c r="AK37" i="4"/>
  <c r="AL37" i="4" s="1"/>
  <c r="AK36" i="4"/>
  <c r="AL36" i="4" s="1"/>
  <c r="AK35" i="4"/>
  <c r="AL35" i="4" s="1"/>
  <c r="AK34" i="4"/>
  <c r="AL34" i="4" s="1"/>
  <c r="AK33" i="4"/>
  <c r="AL33" i="4" s="1"/>
  <c r="AK32" i="4"/>
  <c r="AL32" i="4" s="1"/>
  <c r="AK31" i="4"/>
  <c r="AL31" i="4" s="1"/>
  <c r="AK30" i="4"/>
  <c r="AL30" i="4" s="1"/>
  <c r="AK29" i="4"/>
  <c r="AL29" i="4" s="1"/>
  <c r="AK28" i="4"/>
  <c r="AL28" i="4" s="1"/>
  <c r="AK27" i="4"/>
  <c r="AL27" i="4" s="1"/>
  <c r="AK26" i="4"/>
  <c r="AL26" i="4" s="1"/>
  <c r="AK25" i="4"/>
  <c r="AL25" i="4" s="1"/>
  <c r="AK24" i="4"/>
  <c r="AL24" i="4" s="1"/>
  <c r="AK23" i="4"/>
  <c r="AL23" i="4" s="1"/>
  <c r="AK22" i="4"/>
  <c r="AL22" i="4" s="1"/>
  <c r="AK21" i="4"/>
  <c r="AL21" i="4" s="1"/>
  <c r="AK20" i="4"/>
  <c r="AL20" i="4" s="1"/>
  <c r="AK19" i="4"/>
  <c r="AL19" i="4" s="1"/>
  <c r="AK18" i="4"/>
  <c r="AL18" i="4" s="1"/>
  <c r="AK17" i="4"/>
  <c r="AL17" i="4" s="1"/>
  <c r="AK16" i="4"/>
  <c r="AL16" i="4" s="1"/>
  <c r="AK15" i="4"/>
  <c r="AL15" i="4" s="1"/>
  <c r="AK14" i="4"/>
  <c r="AL14" i="4" s="1"/>
  <c r="AK13" i="4"/>
  <c r="AL13" i="4" s="1"/>
  <c r="AK12" i="4"/>
  <c r="AL12" i="4" s="1"/>
  <c r="AK11" i="4"/>
  <c r="AL11" i="4" s="1"/>
  <c r="AK10" i="4"/>
  <c r="AL10" i="4" s="1"/>
  <c r="AK9" i="4"/>
  <c r="AL9" i="4" s="1"/>
  <c r="AK8" i="4"/>
  <c r="AL8" i="4" s="1"/>
  <c r="AK7" i="4"/>
  <c r="AL7" i="4" s="1"/>
  <c r="AK6" i="4"/>
  <c r="AL6" i="4" s="1"/>
  <c r="AJ96" i="4"/>
  <c r="AJ78" i="4"/>
  <c r="AJ74" i="4"/>
  <c r="AJ66"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81" i="4"/>
  <c r="AJ80" i="4"/>
  <c r="AJ79" i="4"/>
  <c r="AJ77" i="4"/>
  <c r="AJ76" i="4"/>
  <c r="AJ75" i="4"/>
  <c r="AJ73" i="4"/>
  <c r="AJ71" i="4"/>
  <c r="AJ69" i="4"/>
  <c r="AJ68" i="4"/>
  <c r="AJ67"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70" i="4" l="1"/>
  <c r="AJ72" i="4"/>
  <c r="F25" i="266" l="1"/>
  <c r="F13" i="266"/>
  <c r="E13" i="266"/>
  <c r="B29" i="268" l="1"/>
  <c r="B30" i="268"/>
  <c r="B31" i="268"/>
  <c r="B32" i="268"/>
  <c r="B33" i="268"/>
  <c r="B34" i="268"/>
  <c r="B35" i="268"/>
  <c r="B36" i="268"/>
  <c r="B37" i="268"/>
  <c r="B38" i="268"/>
  <c r="B39" i="268"/>
  <c r="B40" i="268"/>
  <c r="B41" i="268"/>
  <c r="B42" i="268"/>
  <c r="B43" i="268"/>
  <c r="B44" i="268"/>
  <c r="B45" i="268"/>
  <c r="B46" i="268"/>
  <c r="B6" i="266" l="1"/>
  <c r="B7" i="266"/>
  <c r="B8" i="266"/>
  <c r="B9" i="266"/>
  <c r="B10" i="266"/>
  <c r="B11" i="266"/>
  <c r="W8" i="266" l="1"/>
  <c r="R8" i="266"/>
  <c r="V8" i="266"/>
  <c r="U8" i="266"/>
  <c r="S8" i="266"/>
  <c r="T8" i="266"/>
  <c r="Q8" i="266"/>
  <c r="Q6" i="266"/>
  <c r="R6" i="266"/>
  <c r="S6" i="266"/>
  <c r="T6" i="266"/>
  <c r="U6" i="266"/>
  <c r="V6" i="266"/>
  <c r="W6" i="266"/>
  <c r="P10" i="266"/>
  <c r="P11" i="266" s="1"/>
  <c r="P12" i="266" s="1"/>
  <c r="P13" i="266" s="1"/>
  <c r="P14" i="266" s="1"/>
  <c r="P15" i="266" s="1"/>
  <c r="P16" i="266" s="1"/>
  <c r="P17" i="266" s="1"/>
  <c r="P18" i="266" s="1"/>
  <c r="P19" i="266" s="1"/>
  <c r="P20" i="266" s="1"/>
  <c r="P21" i="266" s="1"/>
  <c r="P22" i="266" s="1"/>
  <c r="P23" i="266" s="1"/>
  <c r="P24" i="266" s="1"/>
  <c r="P25" i="266" s="1"/>
  <c r="P26" i="266" s="1"/>
  <c r="P27" i="266" s="1"/>
  <c r="P28" i="266" s="1"/>
  <c r="P29" i="266" s="1"/>
  <c r="P30" i="266" s="1"/>
  <c r="P31" i="266" s="1"/>
  <c r="P32" i="266" s="1"/>
  <c r="P33" i="266" s="1"/>
  <c r="P34" i="266" s="1"/>
  <c r="P35" i="266" s="1"/>
  <c r="P36" i="266" s="1"/>
  <c r="P37" i="266" s="1"/>
  <c r="P38" i="266" s="1"/>
  <c r="P39" i="266" s="1"/>
  <c r="P40" i="266" s="1"/>
  <c r="P41" i="266" s="1"/>
  <c r="P42" i="266" s="1"/>
  <c r="P43" i="266" s="1"/>
  <c r="P44" i="266" s="1"/>
  <c r="P45" i="266" s="1"/>
  <c r="P46" i="266" s="1"/>
  <c r="P47" i="266" s="1"/>
  <c r="P48" i="266" s="1"/>
  <c r="P49" i="266" s="1"/>
  <c r="P50" i="266" s="1"/>
  <c r="P51" i="266" s="1"/>
  <c r="P52" i="266" s="1"/>
  <c r="P53" i="266" s="1"/>
  <c r="P54" i="266" s="1"/>
  <c r="P55" i="266" s="1"/>
  <c r="P56" i="266" s="1"/>
  <c r="P57" i="266" s="1"/>
  <c r="P58" i="266" s="1"/>
  <c r="P59" i="266" s="1"/>
  <c r="P60" i="266" s="1"/>
  <c r="P61" i="266" s="1"/>
  <c r="P62" i="266" s="1"/>
  <c r="P63" i="266" s="1"/>
  <c r="P64" i="266" s="1"/>
  <c r="P65" i="266" s="1"/>
  <c r="P66" i="266" s="1"/>
  <c r="P67" i="266" s="1"/>
  <c r="P68" i="266" s="1"/>
  <c r="Z12" i="266"/>
  <c r="Z11" i="266"/>
  <c r="Z10" i="266"/>
  <c r="Z9" i="266"/>
  <c r="Z8" i="266"/>
  <c r="Z7" i="266"/>
  <c r="Z6" i="266"/>
  <c r="Z5" i="266"/>
  <c r="AA5" i="266"/>
  <c r="AA12" i="266"/>
  <c r="AA11" i="266"/>
  <c r="AA10" i="266"/>
  <c r="AA9" i="266"/>
  <c r="AA8" i="266"/>
  <c r="AA7" i="266"/>
  <c r="AA6" i="266"/>
  <c r="C27" i="268" l="1"/>
  <c r="A3" i="69" l="1"/>
  <c r="A4" i="69"/>
  <c r="A5" i="69"/>
  <c r="A6" i="69"/>
  <c r="A8" i="69"/>
  <c r="A9" i="69"/>
  <c r="A10" i="69"/>
  <c r="A11" i="69"/>
  <c r="A12" i="69"/>
  <c r="A13" i="69"/>
  <c r="A14" i="69"/>
  <c r="A15" i="69"/>
  <c r="A16" i="69"/>
  <c r="I10" i="256" l="1"/>
  <c r="H10" i="256"/>
  <c r="G10" i="256"/>
  <c r="F10" i="256"/>
  <c r="J10" i="256" s="1"/>
  <c r="I14" i="256"/>
  <c r="H14" i="256"/>
  <c r="G14" i="256"/>
  <c r="F14" i="256"/>
  <c r="I6" i="256"/>
  <c r="H6" i="256"/>
  <c r="G6" i="256"/>
  <c r="F6" i="256"/>
  <c r="J6" i="256" s="1"/>
  <c r="S176" i="20"/>
  <c r="S175" i="20"/>
  <c r="S174" i="20"/>
  <c r="S173" i="20"/>
  <c r="S172" i="20"/>
  <c r="S171" i="20"/>
  <c r="S170" i="20"/>
  <c r="S169" i="20"/>
  <c r="S168" i="20"/>
  <c r="S167" i="20"/>
  <c r="S166" i="20"/>
  <c r="S165" i="20"/>
  <c r="S164" i="20"/>
  <c r="S163" i="20"/>
  <c r="S162" i="20"/>
  <c r="S161" i="20"/>
  <c r="S160" i="20"/>
  <c r="S159" i="20"/>
  <c r="S158" i="20"/>
  <c r="S157" i="20"/>
  <c r="S156" i="20"/>
  <c r="S155" i="20"/>
  <c r="S154" i="20"/>
  <c r="S153" i="20"/>
  <c r="S152" i="20"/>
  <c r="S151" i="20"/>
  <c r="S150" i="20"/>
  <c r="S149" i="20"/>
  <c r="S148" i="20"/>
  <c r="S147" i="20"/>
  <c r="S146" i="20"/>
  <c r="S145" i="20"/>
  <c r="S144" i="20"/>
  <c r="S143" i="20"/>
  <c r="S142" i="20"/>
  <c r="S141" i="20"/>
  <c r="S140" i="20"/>
  <c r="S139" i="20"/>
  <c r="S138" i="20"/>
  <c r="S137" i="20"/>
  <c r="S136" i="20"/>
  <c r="S135" i="20"/>
  <c r="S134" i="20"/>
  <c r="S133" i="20"/>
  <c r="S132" i="20"/>
  <c r="S131" i="20"/>
  <c r="S130" i="20"/>
  <c r="S129" i="20"/>
  <c r="S128" i="20"/>
  <c r="S127" i="20"/>
  <c r="S126" i="20"/>
  <c r="S125" i="20"/>
  <c r="S124" i="20"/>
  <c r="S123" i="20"/>
  <c r="S122" i="20"/>
  <c r="S121" i="20"/>
  <c r="S120" i="20"/>
  <c r="S119" i="20"/>
  <c r="S118" i="20"/>
  <c r="S117" i="20"/>
  <c r="S116" i="20"/>
  <c r="S115" i="20"/>
  <c r="S114" i="20"/>
  <c r="S113" i="20"/>
  <c r="S112" i="20"/>
  <c r="S111" i="20"/>
  <c r="S110" i="20"/>
  <c r="S109" i="20"/>
  <c r="S108" i="20"/>
  <c r="S107" i="20"/>
  <c r="S106" i="20"/>
  <c r="S105" i="20"/>
  <c r="S104" i="20"/>
  <c r="S103" i="20"/>
  <c r="S102" i="20"/>
  <c r="S101" i="20"/>
  <c r="S100" i="20"/>
  <c r="S99" i="20"/>
  <c r="S98" i="20"/>
  <c r="S97" i="20"/>
  <c r="S96" i="20"/>
  <c r="S95" i="20"/>
  <c r="S94" i="20"/>
  <c r="S93" i="20"/>
  <c r="S83" i="20"/>
  <c r="S82" i="20"/>
  <c r="S81" i="20"/>
  <c r="S80" i="20"/>
  <c r="S79" i="20"/>
  <c r="S78" i="20"/>
  <c r="S77" i="20"/>
  <c r="S76" i="20"/>
  <c r="S75" i="20"/>
  <c r="S74" i="20"/>
  <c r="S73" i="20"/>
  <c r="S72" i="20"/>
  <c r="S71" i="20"/>
  <c r="S70" i="20"/>
  <c r="S69" i="20"/>
  <c r="S68" i="20"/>
  <c r="S67" i="20"/>
  <c r="S66" i="20"/>
  <c r="S65" i="20"/>
  <c r="S64" i="20"/>
  <c r="S63" i="20"/>
  <c r="S62" i="20"/>
  <c r="S61" i="20"/>
  <c r="S60" i="20"/>
  <c r="S59" i="20"/>
  <c r="S58" i="20"/>
  <c r="S57" i="20"/>
  <c r="S56" i="20"/>
  <c r="S55" i="20"/>
  <c r="S54" i="20"/>
  <c r="S53" i="20"/>
  <c r="S52" i="20"/>
  <c r="S51" i="20"/>
  <c r="S50" i="20"/>
  <c r="S49" i="20"/>
  <c r="S48" i="20"/>
  <c r="S47" i="20"/>
  <c r="S46" i="20"/>
  <c r="S45" i="20"/>
  <c r="S44" i="20"/>
  <c r="S43" i="20"/>
  <c r="S42" i="20"/>
  <c r="S41" i="20"/>
  <c r="S40" i="20"/>
  <c r="S39" i="20"/>
  <c r="S38" i="20"/>
  <c r="S37" i="20"/>
  <c r="S36" i="20"/>
  <c r="S35" i="20"/>
  <c r="S34" i="20"/>
  <c r="S33" i="20"/>
  <c r="S32" i="20"/>
  <c r="S31" i="20"/>
  <c r="S30" i="20"/>
  <c r="S29" i="20"/>
  <c r="S28" i="20"/>
  <c r="S27" i="20"/>
  <c r="S26" i="20"/>
  <c r="S25" i="20"/>
  <c r="S24" i="20"/>
  <c r="S23" i="20"/>
  <c r="S22" i="20"/>
  <c r="S21" i="20"/>
  <c r="S20" i="20"/>
  <c r="S19" i="20"/>
  <c r="S18" i="20"/>
  <c r="S17" i="20"/>
  <c r="S16" i="20"/>
  <c r="S15" i="20"/>
  <c r="S14" i="20"/>
  <c r="S13" i="20"/>
  <c r="S12" i="20"/>
  <c r="S11" i="20"/>
  <c r="S10" i="20"/>
  <c r="S9" i="20"/>
  <c r="S8" i="20"/>
  <c r="S7" i="20"/>
  <c r="S6" i="20"/>
  <c r="S5" i="20"/>
  <c r="S4" i="20"/>
  <c r="S3" i="20"/>
  <c r="R198" i="4"/>
  <c r="R195" i="4" s="1"/>
  <c r="Q198" i="4"/>
  <c r="Q195" i="4" s="1"/>
  <c r="P198" i="4"/>
  <c r="P195" i="4" s="1"/>
  <c r="R197" i="4"/>
  <c r="Q197" i="4"/>
  <c r="P197" i="4"/>
  <c r="R196" i="4"/>
  <c r="Q196" i="4"/>
  <c r="P196" i="4"/>
  <c r="R194" i="4"/>
  <c r="Q194" i="4"/>
  <c r="P194" i="4"/>
  <c r="R191" i="4"/>
  <c r="R188" i="4" s="1"/>
  <c r="E14" i="256" s="1"/>
  <c r="Q191" i="4"/>
  <c r="Q188" i="4" s="1"/>
  <c r="E10" i="256" s="1"/>
  <c r="P191" i="4"/>
  <c r="P188" i="4" s="1"/>
  <c r="E6" i="256" s="1"/>
  <c r="R190" i="4"/>
  <c r="Q190" i="4"/>
  <c r="P190" i="4"/>
  <c r="R189" i="4"/>
  <c r="Q189" i="4"/>
  <c r="P189" i="4"/>
  <c r="R187" i="4"/>
  <c r="D14" i="256" s="1"/>
  <c r="Q187" i="4"/>
  <c r="D10" i="256" s="1"/>
  <c r="P187" i="4"/>
  <c r="D6" i="256" s="1"/>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S4" i="4"/>
  <c r="R184" i="4"/>
  <c r="R181" i="4" s="1"/>
  <c r="C14" i="256" s="1"/>
  <c r="Q184" i="4"/>
  <c r="Q181" i="4" s="1"/>
  <c r="C10" i="256" s="1"/>
  <c r="P184" i="4"/>
  <c r="P181" i="4" s="1"/>
  <c r="C6" i="256" s="1"/>
  <c r="R183" i="4"/>
  <c r="Q183" i="4"/>
  <c r="P183" i="4"/>
  <c r="R182" i="4"/>
  <c r="Q182" i="4"/>
  <c r="P182" i="4"/>
  <c r="R180" i="4"/>
  <c r="B14" i="256" s="1"/>
  <c r="Q180" i="4"/>
  <c r="B10" i="256" s="1"/>
  <c r="P180" i="4"/>
  <c r="B6" i="256" s="1"/>
  <c r="S188" i="20" l="1"/>
  <c r="S189" i="20"/>
  <c r="S191" i="20"/>
  <c r="S190" i="20"/>
  <c r="S187" i="20"/>
  <c r="S198" i="20"/>
  <c r="S194" i="20"/>
  <c r="S182" i="20"/>
  <c r="S197" i="20"/>
  <c r="S195" i="20"/>
  <c r="S183" i="20"/>
  <c r="S180" i="20"/>
  <c r="F18" i="256" s="1"/>
  <c r="S196" i="20"/>
  <c r="S184" i="20"/>
  <c r="S181" i="20" s="1"/>
  <c r="G18" i="256" s="1"/>
  <c r="S187" i="4"/>
  <c r="D18" i="256" s="1"/>
  <c r="S194" i="4"/>
  <c r="S180" i="4"/>
  <c r="B18" i="256" s="1"/>
  <c r="S197" i="4"/>
  <c r="S190" i="4"/>
  <c r="I18" i="256"/>
  <c r="H18" i="256"/>
  <c r="S182" i="4"/>
  <c r="S189" i="4"/>
  <c r="S196" i="4"/>
  <c r="S183" i="4"/>
  <c r="S184" i="4"/>
  <c r="S181" i="4" s="1"/>
  <c r="C18" i="256" s="1"/>
  <c r="S191" i="4"/>
  <c r="S188" i="4" s="1"/>
  <c r="E18" i="256" s="1"/>
  <c r="S198" i="4"/>
  <c r="S195" i="4" s="1"/>
  <c r="D24" i="256" l="1"/>
  <c r="C24" i="256"/>
  <c r="E24" i="256"/>
  <c r="H7" i="252"/>
  <c r="H9" i="252"/>
  <c r="H10" i="252"/>
  <c r="F8" i="252"/>
  <c r="D8" i="252"/>
  <c r="J9" i="252"/>
  <c r="F9" i="252"/>
  <c r="D9" i="252"/>
  <c r="J7" i="252"/>
  <c r="F7" i="252"/>
  <c r="D7" i="252"/>
  <c r="J11" i="252"/>
  <c r="I11" i="252"/>
  <c r="F11" i="252"/>
  <c r="E11" i="252"/>
  <c r="J10" i="252"/>
  <c r="I10" i="252"/>
  <c r="G10" i="252"/>
  <c r="F10" i="252"/>
  <c r="E10" i="252"/>
  <c r="D10" i="252"/>
  <c r="C10" i="252"/>
  <c r="I9" i="252"/>
  <c r="G9" i="252"/>
  <c r="E9" i="252"/>
  <c r="C9" i="252"/>
  <c r="I7" i="252"/>
  <c r="G7" i="252"/>
  <c r="E7" i="252"/>
  <c r="C7" i="252"/>
  <c r="AE176" i="20" l="1"/>
  <c r="AE175" i="20"/>
  <c r="AE174" i="20"/>
  <c r="AE173" i="20"/>
  <c r="AE172" i="20"/>
  <c r="AE171" i="20"/>
  <c r="AE170" i="20"/>
  <c r="AE169" i="20"/>
  <c r="AE168" i="20"/>
  <c r="AE167" i="20"/>
  <c r="AE166" i="20"/>
  <c r="AE165" i="20"/>
  <c r="AE164" i="20"/>
  <c r="AE163" i="20"/>
  <c r="AE162" i="20"/>
  <c r="AE161" i="20"/>
  <c r="AE160" i="20"/>
  <c r="AE159" i="20"/>
  <c r="AE158" i="20"/>
  <c r="AE157" i="20"/>
  <c r="AE156" i="20"/>
  <c r="AE155" i="20"/>
  <c r="AE154" i="20"/>
  <c r="AE153" i="20"/>
  <c r="AE152" i="20"/>
  <c r="AE151" i="20"/>
  <c r="AE150" i="20"/>
  <c r="AE149" i="20"/>
  <c r="AE148" i="20"/>
  <c r="AE147" i="20"/>
  <c r="AE146" i="20"/>
  <c r="AE145" i="20"/>
  <c r="AE144" i="20"/>
  <c r="AE143" i="20"/>
  <c r="AE142" i="20"/>
  <c r="AE141" i="20"/>
  <c r="AE140" i="20"/>
  <c r="AE139" i="20"/>
  <c r="AE138" i="20"/>
  <c r="AE137" i="20"/>
  <c r="AE136" i="20"/>
  <c r="AE135" i="20"/>
  <c r="AE134" i="20"/>
  <c r="AE133" i="20"/>
  <c r="AE132" i="20"/>
  <c r="AE131" i="20"/>
  <c r="AE130" i="20"/>
  <c r="AE129" i="20"/>
  <c r="AE128" i="20"/>
  <c r="AE127" i="20"/>
  <c r="AE126" i="20"/>
  <c r="AE125" i="20"/>
  <c r="AE124" i="20"/>
  <c r="AE123" i="20"/>
  <c r="AE122" i="20"/>
  <c r="AE121" i="20"/>
  <c r="AE120" i="20"/>
  <c r="AE119" i="20"/>
  <c r="AE118" i="20"/>
  <c r="AE117" i="20"/>
  <c r="AE116" i="20"/>
  <c r="AE115" i="20"/>
  <c r="AE114" i="20"/>
  <c r="AE113" i="20"/>
  <c r="AE112" i="20"/>
  <c r="AE111" i="20"/>
  <c r="AE110" i="20"/>
  <c r="AE109" i="20"/>
  <c r="AE108" i="20"/>
  <c r="AE107" i="20"/>
  <c r="AE106" i="20"/>
  <c r="AE105" i="20"/>
  <c r="AE104" i="20"/>
  <c r="AE103" i="20"/>
  <c r="AE102" i="20"/>
  <c r="AE101" i="20"/>
  <c r="AE100" i="20"/>
  <c r="AE99" i="20"/>
  <c r="AE98" i="20"/>
  <c r="AE97" i="20"/>
  <c r="AE96" i="20"/>
  <c r="AE95" i="20"/>
  <c r="AE94" i="20"/>
  <c r="AE93" i="20"/>
  <c r="AE83" i="20"/>
  <c r="AE82" i="20"/>
  <c r="AE81" i="20"/>
  <c r="AE80" i="20"/>
  <c r="AE79" i="20"/>
  <c r="AE78" i="20"/>
  <c r="AE77" i="20"/>
  <c r="AE76" i="20"/>
  <c r="AE75" i="20"/>
  <c r="AE74" i="20"/>
  <c r="AE73" i="20"/>
  <c r="AE72" i="20"/>
  <c r="AE71" i="20"/>
  <c r="AE70" i="20"/>
  <c r="AE69" i="20"/>
  <c r="AE68" i="20"/>
  <c r="AE67" i="20"/>
  <c r="AE66" i="20"/>
  <c r="AE65" i="20"/>
  <c r="AE64" i="20"/>
  <c r="AE63" i="20"/>
  <c r="AE62" i="20"/>
  <c r="AE61" i="20"/>
  <c r="AE60" i="20"/>
  <c r="AE59" i="20"/>
  <c r="AE58" i="20"/>
  <c r="AE57" i="20"/>
  <c r="AE56" i="20"/>
  <c r="AE55" i="20"/>
  <c r="AE54" i="20"/>
  <c r="AE53" i="20"/>
  <c r="AE52" i="20"/>
  <c r="AE51" i="20"/>
  <c r="AE50" i="20"/>
  <c r="AE49" i="20"/>
  <c r="AE48" i="20"/>
  <c r="AE47" i="20"/>
  <c r="AE46" i="20"/>
  <c r="AE45" i="20"/>
  <c r="AE44" i="20"/>
  <c r="AE43" i="20"/>
  <c r="AE42" i="20"/>
  <c r="AE41" i="20"/>
  <c r="AE40" i="20"/>
  <c r="AE39" i="20"/>
  <c r="AE38" i="20"/>
  <c r="AE37" i="20"/>
  <c r="AE36" i="20"/>
  <c r="AE35" i="20"/>
  <c r="AE34" i="20"/>
  <c r="AE33" i="20"/>
  <c r="AE32" i="20"/>
  <c r="AE31" i="20"/>
  <c r="AE30" i="20"/>
  <c r="AE29" i="20"/>
  <c r="AE28" i="20"/>
  <c r="AE27" i="20"/>
  <c r="AE26" i="20"/>
  <c r="AE25" i="20"/>
  <c r="AE24" i="20"/>
  <c r="AE23" i="20"/>
  <c r="AE22" i="20"/>
  <c r="AE21" i="20"/>
  <c r="AE20" i="20"/>
  <c r="AE19" i="20"/>
  <c r="AE18" i="20"/>
  <c r="AE17" i="20"/>
  <c r="AE16" i="20"/>
  <c r="AE15" i="20"/>
  <c r="AE14" i="20"/>
  <c r="AE13" i="20"/>
  <c r="AE12" i="20"/>
  <c r="AE11" i="20"/>
  <c r="AE10" i="20"/>
  <c r="AE9" i="20"/>
  <c r="AE8" i="20"/>
  <c r="AE7" i="20"/>
  <c r="AE6" i="20"/>
  <c r="AE5" i="20"/>
  <c r="AE4" i="20"/>
  <c r="AE3" i="20"/>
  <c r="AF176" i="4"/>
  <c r="AF175" i="4"/>
  <c r="AF174" i="4"/>
  <c r="AF173" i="4"/>
  <c r="AF172" i="4"/>
  <c r="AF171" i="4"/>
  <c r="AF170" i="4"/>
  <c r="AF169" i="4"/>
  <c r="AF168" i="4"/>
  <c r="AF167" i="4"/>
  <c r="AF166" i="4"/>
  <c r="AF165" i="4"/>
  <c r="AF164" i="4"/>
  <c r="AF163" i="4"/>
  <c r="AF162" i="4"/>
  <c r="AF161" i="4"/>
  <c r="AF160" i="4"/>
  <c r="AF159" i="4"/>
  <c r="AF158" i="4"/>
  <c r="AF157" i="4"/>
  <c r="AF156" i="4"/>
  <c r="AF155" i="4"/>
  <c r="AF154" i="4"/>
  <c r="AF153" i="4"/>
  <c r="AF152" i="4"/>
  <c r="AF151" i="4"/>
  <c r="AF150" i="4"/>
  <c r="AF149" i="4"/>
  <c r="AF148" i="4"/>
  <c r="AF147" i="4"/>
  <c r="AF146" i="4"/>
  <c r="AF145" i="4"/>
  <c r="AF144" i="4"/>
  <c r="AF143" i="4"/>
  <c r="AF142" i="4"/>
  <c r="AF141" i="4"/>
  <c r="AF140" i="4"/>
  <c r="AF139" i="4"/>
  <c r="AF138" i="4"/>
  <c r="AF137" i="4"/>
  <c r="AF136" i="4"/>
  <c r="AF135" i="4"/>
  <c r="AF134" i="4"/>
  <c r="AF133" i="4"/>
  <c r="AF132" i="4"/>
  <c r="AF131" i="4"/>
  <c r="AF130" i="4"/>
  <c r="AF129" i="4"/>
  <c r="AF128" i="4"/>
  <c r="AF127" i="4"/>
  <c r="AF126" i="4"/>
  <c r="AF125" i="4"/>
  <c r="AF124" i="4"/>
  <c r="AF123" i="4"/>
  <c r="AF122" i="4"/>
  <c r="AF121" i="4"/>
  <c r="AF120" i="4"/>
  <c r="AF119" i="4"/>
  <c r="AF118" i="4"/>
  <c r="AF117" i="4"/>
  <c r="AF116" i="4"/>
  <c r="AF115" i="4"/>
  <c r="AF114" i="4"/>
  <c r="AF113" i="4"/>
  <c r="AF112" i="4"/>
  <c r="AF111" i="4"/>
  <c r="AF110" i="4"/>
  <c r="AF109" i="4"/>
  <c r="AF108" i="4"/>
  <c r="AF107" i="4"/>
  <c r="AF106" i="4"/>
  <c r="AF105" i="4"/>
  <c r="AF104" i="4"/>
  <c r="AF103" i="4"/>
  <c r="AF102" i="4"/>
  <c r="AF101" i="4"/>
  <c r="AF100" i="4"/>
  <c r="AF99" i="4"/>
  <c r="AF98" i="4"/>
  <c r="AF97" i="4"/>
  <c r="AF96" i="4"/>
  <c r="AF95" i="4"/>
  <c r="AF94" i="4"/>
  <c r="AF93" i="4"/>
  <c r="AF83" i="4"/>
  <c r="AF82" i="4"/>
  <c r="AF81" i="4"/>
  <c r="AF80" i="4"/>
  <c r="AF79" i="4"/>
  <c r="AF78" i="4"/>
  <c r="AF77" i="4"/>
  <c r="AF76" i="4"/>
  <c r="AF75" i="4"/>
  <c r="AF74" i="4"/>
  <c r="AF73" i="4"/>
  <c r="AF72" i="4"/>
  <c r="AF71" i="4"/>
  <c r="AF70" i="4"/>
  <c r="AF69" i="4"/>
  <c r="AF68" i="4"/>
  <c r="AF67" i="4"/>
  <c r="AF66" i="4"/>
  <c r="AF65" i="4"/>
  <c r="AF64" i="4"/>
  <c r="AF63" i="4"/>
  <c r="AF62" i="4"/>
  <c r="AF61" i="4"/>
  <c r="AF60" i="4"/>
  <c r="AF59" i="4"/>
  <c r="AF58" i="4"/>
  <c r="AF57" i="4"/>
  <c r="AF56" i="4"/>
  <c r="AF55" i="4"/>
  <c r="AF54" i="4"/>
  <c r="AF53" i="4"/>
  <c r="AF52" i="4"/>
  <c r="AF51" i="4"/>
  <c r="AF50" i="4"/>
  <c r="AF49" i="4"/>
  <c r="AF48" i="4"/>
  <c r="AF47" i="4"/>
  <c r="AF46" i="4"/>
  <c r="AF45" i="4"/>
  <c r="AF44" i="4"/>
  <c r="AF43" i="4"/>
  <c r="AF42" i="4"/>
  <c r="AF41" i="4"/>
  <c r="AF40" i="4"/>
  <c r="AF39" i="4"/>
  <c r="AF38" i="4"/>
  <c r="AF37" i="4"/>
  <c r="AF36" i="4"/>
  <c r="AF35" i="4"/>
  <c r="AF34" i="4"/>
  <c r="AF33" i="4"/>
  <c r="AF32" i="4"/>
  <c r="AF31" i="4"/>
  <c r="AF30" i="4"/>
  <c r="AF29" i="4"/>
  <c r="AF28" i="4"/>
  <c r="AF27" i="4"/>
  <c r="AF26" i="4"/>
  <c r="AF25" i="4"/>
  <c r="AF24" i="4"/>
  <c r="AF23" i="4"/>
  <c r="AF22" i="4"/>
  <c r="AF21" i="4"/>
  <c r="AF20" i="4"/>
  <c r="AF19" i="4"/>
  <c r="AF18" i="4"/>
  <c r="AF17" i="4"/>
  <c r="AF16" i="4"/>
  <c r="AF15" i="4"/>
  <c r="AF14" i="4"/>
  <c r="AF13" i="4"/>
  <c r="AF12" i="4"/>
  <c r="AF11" i="4"/>
  <c r="AF10" i="4"/>
  <c r="AF9" i="4"/>
  <c r="AF8" i="4"/>
  <c r="AF7" i="4"/>
  <c r="AF6" i="4"/>
  <c r="AF5" i="4"/>
  <c r="AF4" i="4"/>
  <c r="AF3" i="4"/>
  <c r="H42" i="251"/>
  <c r="H41" i="251"/>
  <c r="H39" i="251"/>
  <c r="H38" i="251"/>
  <c r="H37" i="251"/>
  <c r="H36" i="251"/>
  <c r="H35" i="251"/>
  <c r="H34" i="251"/>
  <c r="H33" i="251"/>
  <c r="H32" i="251"/>
  <c r="H31" i="251"/>
  <c r="H30" i="251"/>
  <c r="H29" i="251"/>
  <c r="H27" i="251"/>
  <c r="H26" i="251"/>
  <c r="H25" i="251"/>
  <c r="H24" i="251"/>
  <c r="H23" i="251"/>
  <c r="H22" i="251"/>
  <c r="H21" i="251"/>
  <c r="H19" i="251"/>
  <c r="H18" i="251"/>
  <c r="H17" i="251"/>
  <c r="H16" i="251"/>
  <c r="H15" i="251"/>
  <c r="H14" i="251"/>
  <c r="H13" i="251"/>
  <c r="H12" i="251"/>
  <c r="H11" i="251"/>
  <c r="H9" i="251"/>
  <c r="H8" i="251"/>
  <c r="H7" i="251"/>
  <c r="H6" i="251"/>
  <c r="H5" i="251"/>
  <c r="H4" i="251"/>
  <c r="H3" i="251"/>
  <c r="D42" i="251"/>
  <c r="C42" i="251"/>
  <c r="B42" i="251"/>
  <c r="A42" i="251"/>
  <c r="D41" i="251"/>
  <c r="C41" i="251"/>
  <c r="B41" i="251"/>
  <c r="A41" i="251"/>
  <c r="D40" i="251"/>
  <c r="C40" i="251"/>
  <c r="B40" i="251"/>
  <c r="A40" i="251"/>
  <c r="D39" i="251"/>
  <c r="C39" i="251"/>
  <c r="B39" i="251"/>
  <c r="A39" i="251"/>
  <c r="D38" i="251"/>
  <c r="C38" i="251"/>
  <c r="B38" i="251"/>
  <c r="A38" i="251"/>
  <c r="D37" i="251"/>
  <c r="C37" i="251"/>
  <c r="B37" i="251"/>
  <c r="A37" i="251"/>
  <c r="D36" i="251"/>
  <c r="C36" i="251"/>
  <c r="B36" i="251"/>
  <c r="A36" i="251"/>
  <c r="D35" i="251"/>
  <c r="C35" i="251"/>
  <c r="B35" i="251"/>
  <c r="A35" i="251"/>
  <c r="D34" i="251"/>
  <c r="C34" i="251"/>
  <c r="B34" i="251"/>
  <c r="A34" i="251"/>
  <c r="B33" i="251"/>
  <c r="A33" i="251"/>
  <c r="D32" i="251"/>
  <c r="C32" i="251"/>
  <c r="B32" i="251"/>
  <c r="A32" i="251"/>
  <c r="D31" i="251"/>
  <c r="C31" i="251"/>
  <c r="B31" i="251"/>
  <c r="A31" i="251"/>
  <c r="D30" i="251"/>
  <c r="C30" i="251"/>
  <c r="B30" i="251"/>
  <c r="A30" i="251"/>
  <c r="D29" i="251"/>
  <c r="C29" i="251"/>
  <c r="B29" i="251"/>
  <c r="A29" i="251"/>
  <c r="D28" i="251"/>
  <c r="B28" i="251"/>
  <c r="A28" i="251"/>
  <c r="D27" i="251"/>
  <c r="C27" i="251"/>
  <c r="B27" i="251"/>
  <c r="A27" i="251"/>
  <c r="D26" i="251"/>
  <c r="C26" i="251"/>
  <c r="B26" i="251"/>
  <c r="A26" i="251"/>
  <c r="D25" i="251"/>
  <c r="C25" i="251"/>
  <c r="B25" i="251"/>
  <c r="A25" i="251"/>
  <c r="C24" i="251"/>
  <c r="B24" i="251"/>
  <c r="A24" i="251"/>
  <c r="C23" i="251"/>
  <c r="B23" i="251"/>
  <c r="A23" i="251"/>
  <c r="D22" i="251"/>
  <c r="C22" i="251"/>
  <c r="B22" i="251"/>
  <c r="A22" i="251"/>
  <c r="D21" i="251"/>
  <c r="C21" i="251"/>
  <c r="B21" i="251"/>
  <c r="A21" i="251"/>
  <c r="D20" i="251"/>
  <c r="C20" i="251"/>
  <c r="B20" i="251"/>
  <c r="A20" i="251"/>
  <c r="D19" i="251"/>
  <c r="C19" i="251"/>
  <c r="B19" i="251"/>
  <c r="A19" i="251"/>
  <c r="D18" i="251"/>
  <c r="C18" i="251"/>
  <c r="B18" i="251"/>
  <c r="A18" i="251"/>
  <c r="D17" i="251"/>
  <c r="C17" i="251"/>
  <c r="B17" i="251"/>
  <c r="A17" i="251"/>
  <c r="D16" i="251"/>
  <c r="C16" i="251"/>
  <c r="B16" i="251"/>
  <c r="A16" i="251"/>
  <c r="B15" i="251"/>
  <c r="A15" i="251"/>
  <c r="D14" i="251"/>
  <c r="C14" i="251"/>
  <c r="B14" i="251"/>
  <c r="A14" i="251"/>
  <c r="D13" i="251"/>
  <c r="C13" i="251"/>
  <c r="B13" i="251"/>
  <c r="A13" i="251"/>
  <c r="D12" i="251"/>
  <c r="C12" i="251"/>
  <c r="B12" i="251"/>
  <c r="A12" i="251"/>
  <c r="D11" i="251"/>
  <c r="C11" i="251"/>
  <c r="B11" i="251"/>
  <c r="A11" i="251"/>
  <c r="D10" i="251"/>
  <c r="B10" i="251"/>
  <c r="A10" i="251"/>
  <c r="D9" i="251"/>
  <c r="C9" i="251"/>
  <c r="B9" i="251"/>
  <c r="A9" i="251"/>
  <c r="D8" i="251"/>
  <c r="C8" i="251"/>
  <c r="B8" i="251"/>
  <c r="A8" i="251"/>
  <c r="D7" i="251"/>
  <c r="C7" i="251"/>
  <c r="B7" i="251"/>
  <c r="A7" i="251"/>
  <c r="D6" i="251"/>
  <c r="C6" i="251"/>
  <c r="B6" i="251"/>
  <c r="A6" i="251"/>
  <c r="D5" i="251"/>
  <c r="C5" i="251"/>
  <c r="B5" i="251"/>
  <c r="A5" i="251"/>
  <c r="B4" i="251"/>
  <c r="A4" i="251"/>
  <c r="B3" i="251"/>
  <c r="A3" i="251"/>
  <c r="I2" i="251"/>
  <c r="D2" i="251"/>
  <c r="C2" i="251"/>
  <c r="H2" i="251" s="1"/>
  <c r="B2" i="251"/>
  <c r="A2" i="251"/>
  <c r="J9" i="96" l="1"/>
  <c r="J8" i="96"/>
  <c r="J7" i="96"/>
  <c r="X6" i="4"/>
  <c r="Y6" i="4"/>
  <c r="Z6" i="4"/>
  <c r="X7" i="4"/>
  <c r="Y7" i="4"/>
  <c r="AA7" i="4" s="1"/>
  <c r="Z7" i="4"/>
  <c r="X8" i="4"/>
  <c r="AC5" i="1" s="1"/>
  <c r="Y8" i="4"/>
  <c r="Z8" i="4"/>
  <c r="X9" i="4"/>
  <c r="Y9" i="4"/>
  <c r="AA9" i="4" s="1"/>
  <c r="Z9" i="4"/>
  <c r="X10" i="4"/>
  <c r="Y10" i="4"/>
  <c r="AA10" i="4" s="1"/>
  <c r="Z10" i="4"/>
  <c r="X11" i="4"/>
  <c r="Y11" i="4"/>
  <c r="AA11" i="4" s="1"/>
  <c r="Z11" i="4"/>
  <c r="X12" i="4"/>
  <c r="Y12" i="4"/>
  <c r="AA12" i="4" s="1"/>
  <c r="Z12" i="4"/>
  <c r="X13" i="4"/>
  <c r="Y13" i="4"/>
  <c r="AA13" i="4" s="1"/>
  <c r="Z13" i="4"/>
  <c r="X14" i="4"/>
  <c r="Y14" i="4"/>
  <c r="AA14" i="4" s="1"/>
  <c r="Z14" i="4"/>
  <c r="X15" i="4"/>
  <c r="Y15" i="4"/>
  <c r="Z15" i="4"/>
  <c r="X16" i="4"/>
  <c r="Y16" i="4"/>
  <c r="AA16" i="4" s="1"/>
  <c r="Z16" i="4"/>
  <c r="X17" i="4"/>
  <c r="Y17" i="4"/>
  <c r="AA17" i="4" s="1"/>
  <c r="Z17" i="4"/>
  <c r="X18" i="4"/>
  <c r="Y18" i="4"/>
  <c r="AA18" i="4" s="1"/>
  <c r="Z18" i="4"/>
  <c r="X19" i="4"/>
  <c r="Y19" i="4"/>
  <c r="AA19" i="4" s="1"/>
  <c r="Z19" i="4"/>
  <c r="X20" i="4"/>
  <c r="Y20" i="4"/>
  <c r="AA20" i="4" s="1"/>
  <c r="Z20" i="4"/>
  <c r="X21" i="4"/>
  <c r="Y21" i="4"/>
  <c r="AA21" i="4" s="1"/>
  <c r="Z21" i="4"/>
  <c r="X22" i="4"/>
  <c r="AC7" i="1" s="1"/>
  <c r="Y22" i="4"/>
  <c r="Z22" i="4"/>
  <c r="X23" i="4"/>
  <c r="Y23" i="4"/>
  <c r="AA23" i="4" s="1"/>
  <c r="Z23" i="4"/>
  <c r="X24" i="4"/>
  <c r="Y24" i="4"/>
  <c r="AA24" i="4" s="1"/>
  <c r="Z24" i="4"/>
  <c r="X25" i="4"/>
  <c r="Y25" i="4"/>
  <c r="AA25" i="4" s="1"/>
  <c r="Z25" i="4"/>
  <c r="X26" i="4"/>
  <c r="Y26" i="4"/>
  <c r="AA26" i="4" s="1"/>
  <c r="Z26" i="4"/>
  <c r="X27" i="4"/>
  <c r="Y27" i="4"/>
  <c r="AA27" i="4" s="1"/>
  <c r="Z27" i="4"/>
  <c r="X28" i="4"/>
  <c r="Y28" i="4"/>
  <c r="AA28" i="4" s="1"/>
  <c r="Z28" i="4"/>
  <c r="X29" i="4"/>
  <c r="Y29" i="4"/>
  <c r="AA29" i="4" s="1"/>
  <c r="Z29" i="4"/>
  <c r="X30" i="4"/>
  <c r="AC8" i="1" s="1"/>
  <c r="Y30" i="4"/>
  <c r="Z30" i="4"/>
  <c r="X31" i="4"/>
  <c r="Y31" i="4"/>
  <c r="AA31" i="4" s="1"/>
  <c r="Z31" i="4"/>
  <c r="X32" i="4"/>
  <c r="Y32" i="4"/>
  <c r="AA32" i="4" s="1"/>
  <c r="Z32" i="4"/>
  <c r="X33" i="4"/>
  <c r="Y33" i="4"/>
  <c r="AA33" i="4" s="1"/>
  <c r="Z33" i="4"/>
  <c r="X34" i="4"/>
  <c r="Y34" i="4"/>
  <c r="AA34" i="4" s="1"/>
  <c r="Z34" i="4"/>
  <c r="X35" i="4"/>
  <c r="Y35" i="4"/>
  <c r="AA35" i="4" s="1"/>
  <c r="Z35" i="4"/>
  <c r="X36" i="4"/>
  <c r="AC9" i="1" s="1"/>
  <c r="Y36" i="4"/>
  <c r="Z36" i="4"/>
  <c r="X37" i="4"/>
  <c r="Y37" i="4"/>
  <c r="AA37" i="4" s="1"/>
  <c r="Z37" i="4"/>
  <c r="X38" i="4"/>
  <c r="Y38" i="4"/>
  <c r="AA38" i="4" s="1"/>
  <c r="Z38" i="4"/>
  <c r="X39" i="4"/>
  <c r="Y39" i="4"/>
  <c r="AA39" i="4" s="1"/>
  <c r="Z39" i="4"/>
  <c r="X40" i="4"/>
  <c r="Y40" i="4"/>
  <c r="AA40" i="4" s="1"/>
  <c r="Z40" i="4"/>
  <c r="X41" i="4"/>
  <c r="Y41" i="4"/>
  <c r="AA41" i="4" s="1"/>
  <c r="Z41" i="4"/>
  <c r="X42" i="4"/>
  <c r="Y42" i="4"/>
  <c r="AA42" i="4" s="1"/>
  <c r="Z42" i="4"/>
  <c r="X43" i="4"/>
  <c r="Y43" i="4"/>
  <c r="Z43" i="4"/>
  <c r="X44" i="4"/>
  <c r="Y44" i="4"/>
  <c r="AA44" i="4" s="1"/>
  <c r="Z44" i="4"/>
  <c r="X45" i="4"/>
  <c r="Y45" i="4"/>
  <c r="AA45" i="4" s="1"/>
  <c r="Z45" i="4"/>
  <c r="X46" i="4"/>
  <c r="Y46" i="4"/>
  <c r="AA46" i="4" s="1"/>
  <c r="Z46" i="4"/>
  <c r="X47" i="4"/>
  <c r="Y47" i="4"/>
  <c r="AA47" i="4" s="1"/>
  <c r="Z47" i="4"/>
  <c r="X48" i="4"/>
  <c r="Y48" i="4"/>
  <c r="AA48" i="4" s="1"/>
  <c r="Z48" i="4"/>
  <c r="X49" i="4"/>
  <c r="Y49" i="4"/>
  <c r="AA49" i="4" s="1"/>
  <c r="Z49" i="4"/>
  <c r="X50" i="4"/>
  <c r="AC11" i="1" s="1"/>
  <c r="Y50" i="4"/>
  <c r="Z50" i="4"/>
  <c r="X51" i="4"/>
  <c r="Y51" i="4"/>
  <c r="AA51" i="4" s="1"/>
  <c r="Z51" i="4"/>
  <c r="X52" i="4"/>
  <c r="Y52" i="4"/>
  <c r="AA52" i="4" s="1"/>
  <c r="Z52" i="4"/>
  <c r="X53" i="4"/>
  <c r="Y53" i="4"/>
  <c r="AA53" i="4" s="1"/>
  <c r="Z53" i="4"/>
  <c r="X54" i="4"/>
  <c r="Y54" i="4"/>
  <c r="AA54" i="4" s="1"/>
  <c r="Z54" i="4"/>
  <c r="X55" i="4"/>
  <c r="Y55" i="4"/>
  <c r="AA55" i="4" s="1"/>
  <c r="Z55" i="4"/>
  <c r="X56" i="4"/>
  <c r="Y56" i="4"/>
  <c r="AA56" i="4" s="1"/>
  <c r="Z56" i="4"/>
  <c r="X57" i="4"/>
  <c r="Y57" i="4"/>
  <c r="Z57" i="4"/>
  <c r="X58" i="4"/>
  <c r="Y58" i="4"/>
  <c r="AA58" i="4" s="1"/>
  <c r="Z58" i="4"/>
  <c r="X59" i="4"/>
  <c r="Y59" i="4"/>
  <c r="AA59" i="4" s="1"/>
  <c r="Z59" i="4"/>
  <c r="X60" i="4"/>
  <c r="Y60" i="4"/>
  <c r="AA60" i="4" s="1"/>
  <c r="Z60" i="4"/>
  <c r="X61" i="4"/>
  <c r="Y61" i="4"/>
  <c r="AA61" i="4" s="1"/>
  <c r="Z61" i="4"/>
  <c r="X62" i="4"/>
  <c r="Y62" i="4"/>
  <c r="AA62" i="4" s="1"/>
  <c r="Z62" i="4"/>
  <c r="X63" i="4"/>
  <c r="Y63" i="4"/>
  <c r="AA63" i="4" s="1"/>
  <c r="Z63" i="4"/>
  <c r="X64" i="4"/>
  <c r="Y64" i="4"/>
  <c r="Z64" i="4"/>
  <c r="X65" i="4"/>
  <c r="Y65" i="4"/>
  <c r="AA65" i="4" s="1"/>
  <c r="Z65" i="4"/>
  <c r="X66" i="4"/>
  <c r="Y66" i="4"/>
  <c r="AA66" i="4" s="1"/>
  <c r="Z66" i="4"/>
  <c r="X67" i="4"/>
  <c r="Y67" i="4"/>
  <c r="AA67" i="4" s="1"/>
  <c r="Z67" i="4"/>
  <c r="X68" i="4"/>
  <c r="Y68" i="4"/>
  <c r="AA68" i="4" s="1"/>
  <c r="Z68" i="4"/>
  <c r="X69" i="4"/>
  <c r="Y69" i="4"/>
  <c r="AA69" i="4" s="1"/>
  <c r="Z69" i="4"/>
  <c r="X70" i="4"/>
  <c r="Y70" i="4"/>
  <c r="AA70" i="4" s="1"/>
  <c r="Z70" i="4"/>
  <c r="X71" i="4"/>
  <c r="Y71" i="4"/>
  <c r="Z71" i="4"/>
  <c r="X72" i="4"/>
  <c r="Y72" i="4"/>
  <c r="AA72" i="4" s="1"/>
  <c r="Z72" i="4"/>
  <c r="X73" i="4"/>
  <c r="Y73" i="4"/>
  <c r="AA73" i="4" s="1"/>
  <c r="Z73" i="4"/>
  <c r="X74" i="4"/>
  <c r="Y74" i="4"/>
  <c r="AA74" i="4" s="1"/>
  <c r="Z74" i="4"/>
  <c r="X75" i="4"/>
  <c r="Y75" i="4"/>
  <c r="AA75" i="4" s="1"/>
  <c r="Z75" i="4"/>
  <c r="X76" i="4"/>
  <c r="Y76" i="4"/>
  <c r="AA76" i="4" s="1"/>
  <c r="Z76" i="4"/>
  <c r="X77" i="4"/>
  <c r="Y77" i="4"/>
  <c r="AA77" i="4" s="1"/>
  <c r="Z77" i="4"/>
  <c r="X78" i="4"/>
  <c r="Y78" i="4"/>
  <c r="Z78" i="4"/>
  <c r="X79" i="4"/>
  <c r="Y79" i="4"/>
  <c r="AA79" i="4" s="1"/>
  <c r="Z79" i="4"/>
  <c r="X80" i="4"/>
  <c r="Y80" i="4"/>
  <c r="AA80" i="4" s="1"/>
  <c r="Z80" i="4"/>
  <c r="X96" i="4"/>
  <c r="Y96" i="4"/>
  <c r="Z96" i="4"/>
  <c r="X97" i="4"/>
  <c r="Y97" i="4"/>
  <c r="AA97" i="4" s="1"/>
  <c r="Z97" i="4"/>
  <c r="X98" i="4"/>
  <c r="Y98" i="4"/>
  <c r="AA98" i="4" s="1"/>
  <c r="Z98" i="4"/>
  <c r="X99" i="4"/>
  <c r="AC16" i="1" s="1"/>
  <c r="Y99" i="4"/>
  <c r="Z99" i="4"/>
  <c r="X100" i="4"/>
  <c r="Y100" i="4"/>
  <c r="AA100" i="4" s="1"/>
  <c r="Z100" i="4"/>
  <c r="X101" i="4"/>
  <c r="Y101" i="4"/>
  <c r="AA101" i="4" s="1"/>
  <c r="Z101" i="4"/>
  <c r="X102" i="4"/>
  <c r="Y102" i="4"/>
  <c r="AA102" i="4" s="1"/>
  <c r="Z102" i="4"/>
  <c r="X103" i="4"/>
  <c r="Y103" i="4"/>
  <c r="AA103" i="4" s="1"/>
  <c r="Z103" i="4"/>
  <c r="X104" i="4"/>
  <c r="Y104" i="4"/>
  <c r="AA104" i="4" s="1"/>
  <c r="Z104" i="4"/>
  <c r="X105" i="4"/>
  <c r="Y105" i="4"/>
  <c r="AA105" i="4" s="1"/>
  <c r="Z105" i="4"/>
  <c r="X106" i="4"/>
  <c r="Y106" i="4"/>
  <c r="Z106" i="4"/>
  <c r="X107" i="4"/>
  <c r="Y107" i="4"/>
  <c r="AA107" i="4" s="1"/>
  <c r="Z107" i="4"/>
  <c r="X108" i="4"/>
  <c r="Y108" i="4"/>
  <c r="AA108" i="4" s="1"/>
  <c r="Z108" i="4"/>
  <c r="X109" i="4"/>
  <c r="Y109" i="4"/>
  <c r="AA109" i="4" s="1"/>
  <c r="Z109" i="4"/>
  <c r="X110" i="4"/>
  <c r="Y110" i="4"/>
  <c r="AA110" i="4" s="1"/>
  <c r="Z110" i="4"/>
  <c r="X111" i="4"/>
  <c r="Y111" i="4"/>
  <c r="AA111" i="4" s="1"/>
  <c r="Z111" i="4"/>
  <c r="X112" i="4"/>
  <c r="Y112" i="4"/>
  <c r="AA112" i="4" s="1"/>
  <c r="Z112" i="4"/>
  <c r="X113" i="4"/>
  <c r="AC18" i="1" s="1"/>
  <c r="Y113" i="4"/>
  <c r="Z113" i="4"/>
  <c r="X114" i="4"/>
  <c r="Y114" i="4"/>
  <c r="AA114" i="4" s="1"/>
  <c r="Z114" i="4"/>
  <c r="X115" i="4"/>
  <c r="Y115" i="4"/>
  <c r="AA115" i="4" s="1"/>
  <c r="Z115" i="4"/>
  <c r="X116" i="4"/>
  <c r="Y116" i="4"/>
  <c r="AA116" i="4" s="1"/>
  <c r="Z116" i="4"/>
  <c r="X117" i="4"/>
  <c r="Y117" i="4"/>
  <c r="AA117" i="4" s="1"/>
  <c r="Z117" i="4"/>
  <c r="X118" i="4"/>
  <c r="Y118" i="4"/>
  <c r="AA118" i="4" s="1"/>
  <c r="Z118" i="4"/>
  <c r="X119" i="4"/>
  <c r="Y119" i="4"/>
  <c r="AA119" i="4" s="1"/>
  <c r="Z119" i="4"/>
  <c r="X120" i="4"/>
  <c r="Y120" i="4"/>
  <c r="Z120" i="4"/>
  <c r="X121" i="4"/>
  <c r="Y121" i="4"/>
  <c r="AA121" i="4" s="1"/>
  <c r="Z121" i="4"/>
  <c r="X122" i="4"/>
  <c r="Y122" i="4"/>
  <c r="AA122" i="4" s="1"/>
  <c r="Z122" i="4"/>
  <c r="X123" i="4"/>
  <c r="Y123" i="4"/>
  <c r="AA123" i="4" s="1"/>
  <c r="Z123" i="4"/>
  <c r="X124" i="4"/>
  <c r="Y124" i="4"/>
  <c r="AA124" i="4" s="1"/>
  <c r="Z124" i="4"/>
  <c r="X125" i="4"/>
  <c r="Y125" i="4"/>
  <c r="AA125" i="4" s="1"/>
  <c r="Z125" i="4"/>
  <c r="X126" i="4"/>
  <c r="Y126" i="4"/>
  <c r="AA126" i="4" s="1"/>
  <c r="Z126" i="4"/>
  <c r="X127" i="4"/>
  <c r="AC20" i="1" s="1"/>
  <c r="Y127" i="4"/>
  <c r="Z127" i="4"/>
  <c r="X128" i="4"/>
  <c r="Y128" i="4"/>
  <c r="AA128" i="4" s="1"/>
  <c r="Z128" i="4"/>
  <c r="X129" i="4"/>
  <c r="Y129" i="4"/>
  <c r="AA129" i="4" s="1"/>
  <c r="Z129" i="4"/>
  <c r="X130" i="4"/>
  <c r="Y130" i="4"/>
  <c r="AA130" i="4" s="1"/>
  <c r="Z130" i="4"/>
  <c r="X131" i="4"/>
  <c r="Y131" i="4"/>
  <c r="AA131" i="4" s="1"/>
  <c r="Z131" i="4"/>
  <c r="X132" i="4"/>
  <c r="Y132" i="4"/>
  <c r="AA132" i="4" s="1"/>
  <c r="Z132" i="4"/>
  <c r="X133" i="4"/>
  <c r="Y133" i="4"/>
  <c r="AA133" i="4" s="1"/>
  <c r="Z133" i="4"/>
  <c r="X134" i="4"/>
  <c r="Y134" i="4"/>
  <c r="Z134" i="4"/>
  <c r="X135" i="4"/>
  <c r="Y135" i="4"/>
  <c r="AA135" i="4" s="1"/>
  <c r="Z135" i="4"/>
  <c r="X136" i="4"/>
  <c r="Y136" i="4"/>
  <c r="AA136" i="4" s="1"/>
  <c r="Z136" i="4"/>
  <c r="X137" i="4"/>
  <c r="Y137" i="4"/>
  <c r="AA137" i="4" s="1"/>
  <c r="Z137" i="4"/>
  <c r="X138" i="4"/>
  <c r="Y138" i="4"/>
  <c r="AA138" i="4" s="1"/>
  <c r="Z138" i="4"/>
  <c r="X139" i="4"/>
  <c r="Y139" i="4"/>
  <c r="AA139" i="4" s="1"/>
  <c r="Z139" i="4"/>
  <c r="X140" i="4"/>
  <c r="Y140" i="4"/>
  <c r="AA140" i="4" s="1"/>
  <c r="Z140" i="4"/>
  <c r="X141" i="4"/>
  <c r="Y141" i="4"/>
  <c r="AA141" i="4" s="1"/>
  <c r="Z141" i="4"/>
  <c r="X142" i="4"/>
  <c r="Y142" i="4"/>
  <c r="AA142" i="4" s="1"/>
  <c r="Z142" i="4"/>
  <c r="X143" i="4"/>
  <c r="Y143" i="4"/>
  <c r="AA143" i="4" s="1"/>
  <c r="Z143" i="4"/>
  <c r="X144" i="4"/>
  <c r="Y144" i="4"/>
  <c r="AA144" i="4" s="1"/>
  <c r="Z144" i="4"/>
  <c r="X145" i="4"/>
  <c r="Y145" i="4"/>
  <c r="AA145" i="4" s="1"/>
  <c r="Z145" i="4"/>
  <c r="X146" i="4"/>
  <c r="Y146" i="4"/>
  <c r="AA146" i="4" s="1"/>
  <c r="Z146" i="4"/>
  <c r="X147" i="4"/>
  <c r="Y147" i="4"/>
  <c r="AA147" i="4" s="1"/>
  <c r="Z147" i="4"/>
  <c r="X148" i="4"/>
  <c r="Y148" i="4"/>
  <c r="Z148" i="4"/>
  <c r="X149" i="4"/>
  <c r="Y149" i="4"/>
  <c r="AA149" i="4" s="1"/>
  <c r="Z149" i="4"/>
  <c r="X150" i="4"/>
  <c r="Y150" i="4"/>
  <c r="AA150" i="4" s="1"/>
  <c r="Z150" i="4"/>
  <c r="X151" i="4"/>
  <c r="Y151" i="4"/>
  <c r="AA151" i="4" s="1"/>
  <c r="Z151" i="4"/>
  <c r="X152" i="4"/>
  <c r="Y152" i="4"/>
  <c r="AA152" i="4" s="1"/>
  <c r="Z152" i="4"/>
  <c r="X153" i="4"/>
  <c r="Y153" i="4"/>
  <c r="AA153" i="4" s="1"/>
  <c r="Z153" i="4"/>
  <c r="X154" i="4"/>
  <c r="Y154" i="4"/>
  <c r="AA154" i="4" s="1"/>
  <c r="Z154" i="4"/>
  <c r="X155" i="4"/>
  <c r="AC23" i="1" s="1"/>
  <c r="Y155" i="4"/>
  <c r="Z155" i="4"/>
  <c r="X156" i="4"/>
  <c r="Y156" i="4"/>
  <c r="AA156" i="4" s="1"/>
  <c r="Z156" i="4"/>
  <c r="X157" i="4"/>
  <c r="Y157" i="4"/>
  <c r="AA157" i="4" s="1"/>
  <c r="Z157" i="4"/>
  <c r="X158" i="4"/>
  <c r="Y158" i="4"/>
  <c r="AA158" i="4" s="1"/>
  <c r="Z158" i="4"/>
  <c r="X159" i="4"/>
  <c r="Y159" i="4"/>
  <c r="AA159" i="4" s="1"/>
  <c r="Z159" i="4"/>
  <c r="X160" i="4"/>
  <c r="Y160" i="4"/>
  <c r="AA160" i="4" s="1"/>
  <c r="Z160" i="4"/>
  <c r="X161" i="4"/>
  <c r="Y161" i="4"/>
  <c r="AA161" i="4" s="1"/>
  <c r="Z161" i="4"/>
  <c r="X162" i="4"/>
  <c r="Y162" i="4"/>
  <c r="AA162" i="4" s="1"/>
  <c r="Z162" i="4"/>
  <c r="X163" i="4"/>
  <c r="Y163" i="4"/>
  <c r="AA163" i="4" s="1"/>
  <c r="Z163" i="4"/>
  <c r="X164" i="4"/>
  <c r="Y164" i="4"/>
  <c r="AA164" i="4" s="1"/>
  <c r="Z164" i="4"/>
  <c r="X165" i="4"/>
  <c r="Y165" i="4"/>
  <c r="AA165" i="4" s="1"/>
  <c r="Z165" i="4"/>
  <c r="X166" i="4"/>
  <c r="Y166" i="4"/>
  <c r="AA166" i="4" s="1"/>
  <c r="Z166" i="4"/>
  <c r="X167" i="4"/>
  <c r="Y167" i="4"/>
  <c r="AA167" i="4" s="1"/>
  <c r="Z167" i="4"/>
  <c r="X168" i="4"/>
  <c r="Y168" i="4"/>
  <c r="AA168" i="4" s="1"/>
  <c r="Z168" i="4"/>
  <c r="X169" i="4"/>
  <c r="AC24" i="1" s="1"/>
  <c r="Y169" i="4"/>
  <c r="Z169" i="4"/>
  <c r="X170" i="4"/>
  <c r="Y170" i="4"/>
  <c r="AA170" i="4" s="1"/>
  <c r="Z170" i="4"/>
  <c r="X171" i="4"/>
  <c r="Y171" i="4"/>
  <c r="AA171" i="4" s="1"/>
  <c r="Z171" i="4"/>
  <c r="X172" i="4"/>
  <c r="Y172" i="4"/>
  <c r="AA172" i="4" s="1"/>
  <c r="Z172" i="4"/>
  <c r="X173" i="4"/>
  <c r="Y173" i="4"/>
  <c r="AA173" i="4" s="1"/>
  <c r="Z173" i="4"/>
  <c r="X6" i="20"/>
  <c r="Y6" i="20"/>
  <c r="Z6" i="20"/>
  <c r="X7" i="20"/>
  <c r="Y7" i="20"/>
  <c r="AA7" i="20" s="1"/>
  <c r="Z7" i="20"/>
  <c r="X8" i="20"/>
  <c r="Y8" i="20"/>
  <c r="Z8" i="20"/>
  <c r="X9" i="20"/>
  <c r="Y9" i="20"/>
  <c r="AA9" i="20" s="1"/>
  <c r="Z9" i="20"/>
  <c r="X10" i="20"/>
  <c r="Y10" i="20"/>
  <c r="AA10" i="20" s="1"/>
  <c r="Z10" i="20"/>
  <c r="X11" i="20"/>
  <c r="Y11" i="20"/>
  <c r="AA11" i="20" s="1"/>
  <c r="Z11" i="20"/>
  <c r="X12" i="20"/>
  <c r="Y12" i="20"/>
  <c r="AA12" i="20" s="1"/>
  <c r="Z12" i="20"/>
  <c r="X13" i="20"/>
  <c r="Y13" i="20"/>
  <c r="AA13" i="20" s="1"/>
  <c r="Z13" i="20"/>
  <c r="X14" i="20"/>
  <c r="Y14" i="20"/>
  <c r="AA14" i="20" s="1"/>
  <c r="Z14" i="20"/>
  <c r="X15" i="20"/>
  <c r="Y15" i="20"/>
  <c r="Z15" i="20"/>
  <c r="X16" i="20"/>
  <c r="Y16" i="20"/>
  <c r="AA16" i="20" s="1"/>
  <c r="Z16" i="20"/>
  <c r="X17" i="20"/>
  <c r="Y17" i="20"/>
  <c r="AA17" i="20" s="1"/>
  <c r="Z17" i="20"/>
  <c r="X18" i="20"/>
  <c r="Y18" i="20"/>
  <c r="AA18" i="20" s="1"/>
  <c r="Z18" i="20"/>
  <c r="X19" i="20"/>
  <c r="Y19" i="20"/>
  <c r="AA19" i="20" s="1"/>
  <c r="Z19" i="20"/>
  <c r="X20" i="20"/>
  <c r="Y20" i="20"/>
  <c r="AA20" i="20" s="1"/>
  <c r="Z20" i="20"/>
  <c r="X21" i="20"/>
  <c r="Y21" i="20"/>
  <c r="AA21" i="20" s="1"/>
  <c r="Z21" i="20"/>
  <c r="X22" i="20"/>
  <c r="Y22" i="20"/>
  <c r="Z22" i="20"/>
  <c r="X23" i="20"/>
  <c r="Y23" i="20"/>
  <c r="AA23" i="20" s="1"/>
  <c r="Z23" i="20"/>
  <c r="X24" i="20"/>
  <c r="Y24" i="20"/>
  <c r="AA24" i="20" s="1"/>
  <c r="Z24" i="20"/>
  <c r="X25" i="20"/>
  <c r="Y25" i="20"/>
  <c r="AA25" i="20" s="1"/>
  <c r="Z25" i="20"/>
  <c r="X26" i="20"/>
  <c r="Y26" i="20"/>
  <c r="AA26" i="20" s="1"/>
  <c r="Z26" i="20"/>
  <c r="X27" i="20"/>
  <c r="Y27" i="20"/>
  <c r="AA27" i="20" s="1"/>
  <c r="Z27" i="20"/>
  <c r="X28" i="20"/>
  <c r="Y28" i="20"/>
  <c r="AA28" i="20" s="1"/>
  <c r="Z28" i="20"/>
  <c r="X29" i="20"/>
  <c r="Y29" i="20"/>
  <c r="AA29" i="20" s="1"/>
  <c r="Z29" i="20"/>
  <c r="X30" i="20"/>
  <c r="Y30" i="20"/>
  <c r="Z30" i="20"/>
  <c r="X31" i="20"/>
  <c r="Y31" i="20"/>
  <c r="AA31" i="20" s="1"/>
  <c r="Z31" i="20"/>
  <c r="X32" i="20"/>
  <c r="Y32" i="20"/>
  <c r="AA32" i="20" s="1"/>
  <c r="Z32" i="20"/>
  <c r="X33" i="20"/>
  <c r="Y33" i="20"/>
  <c r="AA33" i="20" s="1"/>
  <c r="Z33" i="20"/>
  <c r="X34" i="20"/>
  <c r="Y34" i="20"/>
  <c r="AA34" i="20" s="1"/>
  <c r="Z34" i="20"/>
  <c r="X35" i="20"/>
  <c r="Y35" i="20"/>
  <c r="AA35" i="20" s="1"/>
  <c r="Z35" i="20"/>
  <c r="X36" i="20"/>
  <c r="Y36" i="20"/>
  <c r="Z36" i="20"/>
  <c r="X37" i="20"/>
  <c r="Y37" i="20"/>
  <c r="AA37" i="20" s="1"/>
  <c r="Z37" i="20"/>
  <c r="X38" i="20"/>
  <c r="Y38" i="20"/>
  <c r="AA38" i="20" s="1"/>
  <c r="Z38" i="20"/>
  <c r="X39" i="20"/>
  <c r="Y39" i="20"/>
  <c r="AA39" i="20" s="1"/>
  <c r="Z39" i="20"/>
  <c r="X40" i="20"/>
  <c r="Y40" i="20"/>
  <c r="AA40" i="20" s="1"/>
  <c r="Z40" i="20"/>
  <c r="X41" i="20"/>
  <c r="Y41" i="20"/>
  <c r="AA41" i="20" s="1"/>
  <c r="Z41" i="20"/>
  <c r="X42" i="20"/>
  <c r="Y42" i="20"/>
  <c r="AA42" i="20" s="1"/>
  <c r="Z42" i="20"/>
  <c r="X43" i="20"/>
  <c r="Y43" i="20"/>
  <c r="Z43" i="20"/>
  <c r="X44" i="20"/>
  <c r="Y44" i="20"/>
  <c r="AA44" i="20" s="1"/>
  <c r="Z44" i="20"/>
  <c r="X45" i="20"/>
  <c r="Y45" i="20"/>
  <c r="AA45" i="20" s="1"/>
  <c r="Z45" i="20"/>
  <c r="X46" i="20"/>
  <c r="Y46" i="20"/>
  <c r="AA46" i="20" s="1"/>
  <c r="Z46" i="20"/>
  <c r="X47" i="20"/>
  <c r="Y47" i="20"/>
  <c r="AA47" i="20" s="1"/>
  <c r="Z47" i="20"/>
  <c r="X48" i="20"/>
  <c r="Y48" i="20"/>
  <c r="AA48" i="20" s="1"/>
  <c r="Z48" i="20"/>
  <c r="X49" i="20"/>
  <c r="Y49" i="20"/>
  <c r="AA49" i="20" s="1"/>
  <c r="Z49" i="20"/>
  <c r="X50" i="20"/>
  <c r="Y50" i="20"/>
  <c r="Z50" i="20"/>
  <c r="X51" i="20"/>
  <c r="Y51" i="20"/>
  <c r="AA51" i="20" s="1"/>
  <c r="Z51" i="20"/>
  <c r="X52" i="20"/>
  <c r="Y52" i="20"/>
  <c r="AA52" i="20" s="1"/>
  <c r="Z52" i="20"/>
  <c r="X53" i="20"/>
  <c r="Y53" i="20"/>
  <c r="AA53" i="20" s="1"/>
  <c r="Z53" i="20"/>
  <c r="X54" i="20"/>
  <c r="Y54" i="20"/>
  <c r="AA54" i="20" s="1"/>
  <c r="Z54" i="20"/>
  <c r="X55" i="20"/>
  <c r="Y55" i="20"/>
  <c r="AA55" i="20" s="1"/>
  <c r="Z55" i="20"/>
  <c r="X56" i="20"/>
  <c r="Y56" i="20"/>
  <c r="AA56" i="20" s="1"/>
  <c r="Z56" i="20"/>
  <c r="X57" i="20"/>
  <c r="Y57" i="20"/>
  <c r="Z57" i="20"/>
  <c r="X58" i="20"/>
  <c r="Y58" i="20"/>
  <c r="AA58" i="20" s="1"/>
  <c r="Z58" i="20"/>
  <c r="X59" i="20"/>
  <c r="Y59" i="20"/>
  <c r="AA59" i="20" s="1"/>
  <c r="Z59" i="20"/>
  <c r="X60" i="20"/>
  <c r="Y60" i="20"/>
  <c r="AA60" i="20" s="1"/>
  <c r="Z60" i="20"/>
  <c r="X61" i="20"/>
  <c r="Y61" i="20"/>
  <c r="AA61" i="20" s="1"/>
  <c r="Z61" i="20"/>
  <c r="X62" i="20"/>
  <c r="Y62" i="20"/>
  <c r="AA62" i="20" s="1"/>
  <c r="Z62" i="20"/>
  <c r="X63" i="20"/>
  <c r="Y63" i="20"/>
  <c r="AA63" i="20" s="1"/>
  <c r="Z63" i="20"/>
  <c r="X64" i="20"/>
  <c r="Y64" i="20"/>
  <c r="Z64" i="20"/>
  <c r="X65" i="20"/>
  <c r="Y65" i="20"/>
  <c r="AA65" i="20" s="1"/>
  <c r="Z65" i="20"/>
  <c r="X66" i="20"/>
  <c r="Y66" i="20"/>
  <c r="AA66" i="20" s="1"/>
  <c r="Z66" i="20"/>
  <c r="X67" i="20"/>
  <c r="Y67" i="20"/>
  <c r="AA67" i="20" s="1"/>
  <c r="Z67" i="20"/>
  <c r="X68" i="20"/>
  <c r="Y68" i="20"/>
  <c r="AA68" i="20" s="1"/>
  <c r="Z68" i="20"/>
  <c r="X69" i="20"/>
  <c r="Y69" i="20"/>
  <c r="AA69" i="20" s="1"/>
  <c r="Z69" i="20"/>
  <c r="X70" i="20"/>
  <c r="Y70" i="20"/>
  <c r="AA70" i="20" s="1"/>
  <c r="Z70" i="20"/>
  <c r="X71" i="20"/>
  <c r="Y71" i="20"/>
  <c r="Z71" i="20"/>
  <c r="X72" i="20"/>
  <c r="Y72" i="20"/>
  <c r="AA72" i="20" s="1"/>
  <c r="Z72" i="20"/>
  <c r="X73" i="20"/>
  <c r="Y73" i="20"/>
  <c r="AA73" i="20" s="1"/>
  <c r="Z73" i="20"/>
  <c r="X74" i="20"/>
  <c r="Y74" i="20"/>
  <c r="AA74" i="20" s="1"/>
  <c r="Z74" i="20"/>
  <c r="X75" i="20"/>
  <c r="Y75" i="20"/>
  <c r="AA75" i="20" s="1"/>
  <c r="Z75" i="20"/>
  <c r="X76" i="20"/>
  <c r="Y76" i="20"/>
  <c r="AA76" i="20" s="1"/>
  <c r="Z76" i="20"/>
  <c r="X77" i="20"/>
  <c r="Y77" i="20"/>
  <c r="AA77" i="20" s="1"/>
  <c r="Z77" i="20"/>
  <c r="X78" i="20"/>
  <c r="Y78" i="20"/>
  <c r="Z78" i="20"/>
  <c r="X79" i="20"/>
  <c r="Y79" i="20"/>
  <c r="AA79" i="20" s="1"/>
  <c r="Z79" i="20"/>
  <c r="X80" i="20"/>
  <c r="Y80" i="20"/>
  <c r="AA80" i="20" s="1"/>
  <c r="Z80" i="20"/>
  <c r="X96" i="20"/>
  <c r="Y96" i="20"/>
  <c r="Z96" i="20"/>
  <c r="X97" i="20"/>
  <c r="Y97" i="20"/>
  <c r="AA97" i="20" s="1"/>
  <c r="Z97" i="20"/>
  <c r="X98" i="20"/>
  <c r="Y98" i="20"/>
  <c r="AA98" i="20" s="1"/>
  <c r="Z98" i="20"/>
  <c r="X99" i="20"/>
  <c r="Y99" i="20"/>
  <c r="Z99" i="20"/>
  <c r="X100" i="20"/>
  <c r="Y100" i="20"/>
  <c r="AA100" i="20" s="1"/>
  <c r="Z100" i="20"/>
  <c r="X101" i="20"/>
  <c r="Y101" i="20"/>
  <c r="AA101" i="20" s="1"/>
  <c r="Z101" i="20"/>
  <c r="X102" i="20"/>
  <c r="Y102" i="20"/>
  <c r="AA102" i="20" s="1"/>
  <c r="Z102" i="20"/>
  <c r="X103" i="20"/>
  <c r="Y103" i="20"/>
  <c r="AA103" i="20" s="1"/>
  <c r="Z103" i="20"/>
  <c r="X104" i="20"/>
  <c r="Y104" i="20"/>
  <c r="AA104" i="20" s="1"/>
  <c r="Z104" i="20"/>
  <c r="X105" i="20"/>
  <c r="Y105" i="20"/>
  <c r="AA105" i="20" s="1"/>
  <c r="Z105" i="20"/>
  <c r="X106" i="20"/>
  <c r="Y106" i="20"/>
  <c r="Z106" i="20"/>
  <c r="X107" i="20"/>
  <c r="Y107" i="20"/>
  <c r="AA107" i="20" s="1"/>
  <c r="Z107" i="20"/>
  <c r="X108" i="20"/>
  <c r="Y108" i="20"/>
  <c r="AA108" i="20" s="1"/>
  <c r="Z108" i="20"/>
  <c r="X109" i="20"/>
  <c r="Y109" i="20"/>
  <c r="AA109" i="20" s="1"/>
  <c r="Z109" i="20"/>
  <c r="X110" i="20"/>
  <c r="Y110" i="20"/>
  <c r="AA110" i="20" s="1"/>
  <c r="Z110" i="20"/>
  <c r="X111" i="20"/>
  <c r="Y111" i="20"/>
  <c r="AA111" i="20" s="1"/>
  <c r="Z111" i="20"/>
  <c r="X112" i="20"/>
  <c r="Y112" i="20"/>
  <c r="AA112" i="20" s="1"/>
  <c r="Z112" i="20"/>
  <c r="X113" i="20"/>
  <c r="Y113" i="20"/>
  <c r="Z113" i="20"/>
  <c r="X114" i="20"/>
  <c r="Y114" i="20"/>
  <c r="AA114" i="20" s="1"/>
  <c r="Z114" i="20"/>
  <c r="X115" i="20"/>
  <c r="Y115" i="20"/>
  <c r="AA115" i="20" s="1"/>
  <c r="Z115" i="20"/>
  <c r="X116" i="20"/>
  <c r="Y116" i="20"/>
  <c r="AA116" i="20" s="1"/>
  <c r="Z116" i="20"/>
  <c r="X117" i="20"/>
  <c r="Y117" i="20"/>
  <c r="AA117" i="20" s="1"/>
  <c r="Z117" i="20"/>
  <c r="X118" i="20"/>
  <c r="Y118" i="20"/>
  <c r="AA118" i="20" s="1"/>
  <c r="Z118" i="20"/>
  <c r="X119" i="20"/>
  <c r="Y119" i="20"/>
  <c r="AA119" i="20" s="1"/>
  <c r="Z119" i="20"/>
  <c r="X120" i="20"/>
  <c r="Y120" i="20"/>
  <c r="Z120" i="20"/>
  <c r="X121" i="20"/>
  <c r="Y121" i="20"/>
  <c r="AA121" i="20" s="1"/>
  <c r="Z121" i="20"/>
  <c r="X122" i="20"/>
  <c r="Y122" i="20"/>
  <c r="AA122" i="20" s="1"/>
  <c r="Z122" i="20"/>
  <c r="X123" i="20"/>
  <c r="Y123" i="20"/>
  <c r="AA123" i="20" s="1"/>
  <c r="Z123" i="20"/>
  <c r="X124" i="20"/>
  <c r="Y124" i="20"/>
  <c r="AA124" i="20" s="1"/>
  <c r="Z124" i="20"/>
  <c r="X125" i="20"/>
  <c r="Y125" i="20"/>
  <c r="AA125" i="20" s="1"/>
  <c r="Z125" i="20"/>
  <c r="X126" i="20"/>
  <c r="Y126" i="20"/>
  <c r="AA126" i="20" s="1"/>
  <c r="Z126" i="20"/>
  <c r="X127" i="20"/>
  <c r="Y127" i="20"/>
  <c r="Z127" i="20"/>
  <c r="X128" i="20"/>
  <c r="Y128" i="20"/>
  <c r="AA128" i="20" s="1"/>
  <c r="Z128" i="20"/>
  <c r="X129" i="20"/>
  <c r="Y129" i="20"/>
  <c r="AA129" i="20" s="1"/>
  <c r="Z129" i="20"/>
  <c r="X130" i="20"/>
  <c r="Y130" i="20"/>
  <c r="AA130" i="20" s="1"/>
  <c r="Z130" i="20"/>
  <c r="X131" i="20"/>
  <c r="Y131" i="20"/>
  <c r="AA131" i="20" s="1"/>
  <c r="Z131" i="20"/>
  <c r="X132" i="20"/>
  <c r="Y132" i="20"/>
  <c r="AA132" i="20" s="1"/>
  <c r="Z132" i="20"/>
  <c r="X133" i="20"/>
  <c r="Y133" i="20"/>
  <c r="AA133" i="20" s="1"/>
  <c r="Z133" i="20"/>
  <c r="X134" i="20"/>
  <c r="Y134" i="20"/>
  <c r="Z134" i="20"/>
  <c r="X135" i="20"/>
  <c r="Y135" i="20"/>
  <c r="AA135" i="20" s="1"/>
  <c r="Z135" i="20"/>
  <c r="X136" i="20"/>
  <c r="Y136" i="20"/>
  <c r="AA136" i="20" s="1"/>
  <c r="Z136" i="20"/>
  <c r="X137" i="20"/>
  <c r="Y137" i="20"/>
  <c r="AA137" i="20" s="1"/>
  <c r="Z137" i="20"/>
  <c r="X138" i="20"/>
  <c r="Y138" i="20"/>
  <c r="AA138" i="20" s="1"/>
  <c r="Z138" i="20"/>
  <c r="X139" i="20"/>
  <c r="Y139" i="20"/>
  <c r="AA139" i="20" s="1"/>
  <c r="Z139" i="20"/>
  <c r="X140" i="20"/>
  <c r="Y140" i="20"/>
  <c r="AA140" i="20" s="1"/>
  <c r="Z140" i="20"/>
  <c r="X141" i="20"/>
  <c r="Y141" i="20"/>
  <c r="AA141" i="20" s="1"/>
  <c r="Z141" i="20"/>
  <c r="X142" i="20"/>
  <c r="Y142" i="20"/>
  <c r="AA142" i="20" s="1"/>
  <c r="Z142" i="20"/>
  <c r="X143" i="20"/>
  <c r="Y143" i="20"/>
  <c r="AA143" i="20" s="1"/>
  <c r="Z143" i="20"/>
  <c r="X144" i="20"/>
  <c r="Y144" i="20"/>
  <c r="AA144" i="20" s="1"/>
  <c r="Z144" i="20"/>
  <c r="X145" i="20"/>
  <c r="Y145" i="20"/>
  <c r="AA145" i="20" s="1"/>
  <c r="Z145" i="20"/>
  <c r="X146" i="20"/>
  <c r="Y146" i="20"/>
  <c r="AA146" i="20" s="1"/>
  <c r="Z146" i="20"/>
  <c r="X147" i="20"/>
  <c r="Y147" i="20"/>
  <c r="AA147" i="20" s="1"/>
  <c r="Z147" i="20"/>
  <c r="X148" i="20"/>
  <c r="Y148" i="20"/>
  <c r="Z148" i="20"/>
  <c r="X149" i="20"/>
  <c r="Y149" i="20"/>
  <c r="AA149" i="20" s="1"/>
  <c r="Z149" i="20"/>
  <c r="X150" i="20"/>
  <c r="Y150" i="20"/>
  <c r="AA150" i="20" s="1"/>
  <c r="Z150" i="20"/>
  <c r="X151" i="20"/>
  <c r="Y151" i="20"/>
  <c r="AA151" i="20" s="1"/>
  <c r="Z151" i="20"/>
  <c r="X152" i="20"/>
  <c r="Y152" i="20"/>
  <c r="AA152" i="20" s="1"/>
  <c r="Z152" i="20"/>
  <c r="X153" i="20"/>
  <c r="Y153" i="20"/>
  <c r="AA153" i="20" s="1"/>
  <c r="Z153" i="20"/>
  <c r="X154" i="20"/>
  <c r="Y154" i="20"/>
  <c r="AA154" i="20" s="1"/>
  <c r="Z154" i="20"/>
  <c r="X155" i="20"/>
  <c r="Y155" i="20"/>
  <c r="Z155" i="20"/>
  <c r="X156" i="20"/>
  <c r="Y156" i="20"/>
  <c r="AA156" i="20" s="1"/>
  <c r="Z156" i="20"/>
  <c r="X157" i="20"/>
  <c r="Y157" i="20"/>
  <c r="AA157" i="20" s="1"/>
  <c r="Z157" i="20"/>
  <c r="X158" i="20"/>
  <c r="Y158" i="20"/>
  <c r="AA158" i="20" s="1"/>
  <c r="Z158" i="20"/>
  <c r="X159" i="20"/>
  <c r="Y159" i="20"/>
  <c r="AA159" i="20" s="1"/>
  <c r="Z159" i="20"/>
  <c r="X160" i="20"/>
  <c r="Y160" i="20"/>
  <c r="AA160" i="20" s="1"/>
  <c r="Z160" i="20"/>
  <c r="X161" i="20"/>
  <c r="Y161" i="20"/>
  <c r="AA161" i="20" s="1"/>
  <c r="Z161" i="20"/>
  <c r="X162" i="20"/>
  <c r="Y162" i="20"/>
  <c r="AA162" i="20" s="1"/>
  <c r="Z162" i="20"/>
  <c r="X163" i="20"/>
  <c r="Y163" i="20"/>
  <c r="AA163" i="20" s="1"/>
  <c r="Z163" i="20"/>
  <c r="X164" i="20"/>
  <c r="Y164" i="20"/>
  <c r="AA164" i="20" s="1"/>
  <c r="Z164" i="20"/>
  <c r="X165" i="20"/>
  <c r="Y165" i="20"/>
  <c r="AA165" i="20" s="1"/>
  <c r="Z165" i="20"/>
  <c r="X166" i="20"/>
  <c r="Y166" i="20"/>
  <c r="AA166" i="20" s="1"/>
  <c r="Z166" i="20"/>
  <c r="X167" i="20"/>
  <c r="Y167" i="20"/>
  <c r="AA167" i="20" s="1"/>
  <c r="Z167" i="20"/>
  <c r="X168" i="20"/>
  <c r="Y168" i="20"/>
  <c r="AA168" i="20" s="1"/>
  <c r="Z168" i="20"/>
  <c r="X169" i="20"/>
  <c r="Y169" i="20"/>
  <c r="Z169" i="20"/>
  <c r="X170" i="20"/>
  <c r="Y170" i="20"/>
  <c r="AA170" i="20" s="1"/>
  <c r="Z170" i="20"/>
  <c r="X171" i="20"/>
  <c r="Y171" i="20"/>
  <c r="AA171" i="20" s="1"/>
  <c r="Z171" i="20"/>
  <c r="X172" i="20"/>
  <c r="Y172" i="20"/>
  <c r="AA172" i="20" s="1"/>
  <c r="Z172" i="20"/>
  <c r="X173" i="20"/>
  <c r="Y173" i="20"/>
  <c r="AA173" i="20" s="1"/>
  <c r="Z173" i="20"/>
  <c r="X190" i="20" l="1"/>
  <c r="X191" i="20"/>
  <c r="X188" i="20" s="1"/>
  <c r="X189" i="20"/>
  <c r="X187" i="20"/>
  <c r="AA6" i="20"/>
  <c r="Y196" i="20"/>
  <c r="Y183" i="20"/>
  <c r="Y197" i="20"/>
  <c r="Y194" i="20"/>
  <c r="Y184" i="20"/>
  <c r="Y181" i="20" s="1"/>
  <c r="Y182" i="20"/>
  <c r="Y180" i="20"/>
  <c r="Y198" i="20"/>
  <c r="Y195" i="20" s="1"/>
  <c r="X196" i="4"/>
  <c r="X184" i="4"/>
  <c r="X181" i="4" s="1"/>
  <c r="X180" i="4"/>
  <c r="X197" i="4"/>
  <c r="X198" i="4"/>
  <c r="X195" i="4" s="1"/>
  <c r="X194" i="4"/>
  <c r="X182" i="4"/>
  <c r="X183" i="4"/>
  <c r="X197" i="20"/>
  <c r="X194" i="20"/>
  <c r="X184" i="20"/>
  <c r="X181" i="20" s="1"/>
  <c r="X182" i="20"/>
  <c r="X180" i="20"/>
  <c r="X196" i="20"/>
  <c r="X183" i="20"/>
  <c r="X198" i="20"/>
  <c r="X195" i="20" s="1"/>
  <c r="Z190" i="4"/>
  <c r="Z191" i="4"/>
  <c r="Z188" i="4" s="1"/>
  <c r="Z189" i="4"/>
  <c r="Z187" i="4"/>
  <c r="Z191" i="20"/>
  <c r="Z188" i="20" s="1"/>
  <c r="Z190" i="20"/>
  <c r="Z189" i="20"/>
  <c r="Z187" i="20"/>
  <c r="AA96" i="4"/>
  <c r="Y191" i="4"/>
  <c r="Y188" i="4" s="1"/>
  <c r="Y187" i="4"/>
  <c r="Y189" i="4"/>
  <c r="Y190" i="4"/>
  <c r="Z198" i="4"/>
  <c r="Z195" i="4" s="1"/>
  <c r="Z194" i="4"/>
  <c r="Z182" i="4"/>
  <c r="Z196" i="4"/>
  <c r="Z180" i="4"/>
  <c r="Z197" i="4"/>
  <c r="Z183" i="4"/>
  <c r="Z184" i="4"/>
  <c r="Z181" i="4" s="1"/>
  <c r="AA96" i="20"/>
  <c r="Y191" i="20"/>
  <c r="Y188" i="20" s="1"/>
  <c r="Y189" i="20"/>
  <c r="Y187" i="20"/>
  <c r="Y190" i="20"/>
  <c r="Z198" i="20"/>
  <c r="Z195" i="20" s="1"/>
  <c r="Z197" i="20"/>
  <c r="Z196" i="20"/>
  <c r="Z194" i="20"/>
  <c r="Z184" i="20"/>
  <c r="Z181" i="20" s="1"/>
  <c r="Z183" i="20"/>
  <c r="Z182" i="20"/>
  <c r="Z180" i="20"/>
  <c r="X190" i="4"/>
  <c r="X189" i="4"/>
  <c r="X191" i="4"/>
  <c r="X188" i="4" s="1"/>
  <c r="X187" i="4"/>
  <c r="AA6" i="4"/>
  <c r="Y197" i="4"/>
  <c r="Y183" i="4"/>
  <c r="Y184" i="4"/>
  <c r="Y181" i="4" s="1"/>
  <c r="Y198" i="4"/>
  <c r="Y195" i="4" s="1"/>
  <c r="Y194" i="4"/>
  <c r="Y182" i="4"/>
  <c r="Y196" i="4"/>
  <c r="Y180" i="4"/>
  <c r="AB26" i="4"/>
  <c r="AB18" i="4"/>
  <c r="AB10" i="4"/>
  <c r="AB73" i="20"/>
  <c r="AB65" i="20"/>
  <c r="AB41" i="20"/>
  <c r="AB33" i="20"/>
  <c r="AB25" i="20"/>
  <c r="AB17" i="20"/>
  <c r="AB9" i="20"/>
  <c r="AB168" i="20"/>
  <c r="AB160" i="20"/>
  <c r="AB152" i="20"/>
  <c r="AB144" i="20"/>
  <c r="AB136" i="20"/>
  <c r="AB128" i="20"/>
  <c r="AB112" i="20"/>
  <c r="AB104" i="20"/>
  <c r="AB96" i="20"/>
  <c r="AB49" i="20"/>
  <c r="AA15" i="4"/>
  <c r="AD6" i="1"/>
  <c r="AB14" i="20"/>
  <c r="AB6" i="20"/>
  <c r="AB158" i="4"/>
  <c r="AB150" i="4"/>
  <c r="AB142" i="4"/>
  <c r="AB126" i="4"/>
  <c r="AB118" i="4"/>
  <c r="AB110" i="4"/>
  <c r="AB102" i="4"/>
  <c r="AB47" i="4"/>
  <c r="AB39" i="4"/>
  <c r="AB15" i="4"/>
  <c r="AC6" i="1"/>
  <c r="AA120" i="4"/>
  <c r="AD19" i="1"/>
  <c r="AB144" i="4"/>
  <c r="AB136" i="4"/>
  <c r="AB128" i="4"/>
  <c r="AB96" i="4"/>
  <c r="AB41" i="4"/>
  <c r="AB33" i="4"/>
  <c r="AA22" i="4"/>
  <c r="AD7" i="1"/>
  <c r="AB17" i="4"/>
  <c r="AB9" i="4"/>
  <c r="AB77" i="20"/>
  <c r="AB69" i="20"/>
  <c r="AB61" i="20"/>
  <c r="AB45" i="20"/>
  <c r="AB37" i="20"/>
  <c r="AB29" i="20"/>
  <c r="AB21" i="20"/>
  <c r="AB13" i="20"/>
  <c r="AB14" i="4"/>
  <c r="AB6" i="4"/>
  <c r="AB170" i="4"/>
  <c r="AB162" i="4"/>
  <c r="AB154" i="4"/>
  <c r="AB146" i="4"/>
  <c r="AB138" i="4"/>
  <c r="AB130" i="4"/>
  <c r="AA127" i="4"/>
  <c r="AD20" i="1"/>
  <c r="AB122" i="4"/>
  <c r="AB114" i="4"/>
  <c r="AB106" i="4"/>
  <c r="AC17" i="1"/>
  <c r="AB98" i="4"/>
  <c r="AB75" i="4"/>
  <c r="AB67" i="4"/>
  <c r="AA64" i="4"/>
  <c r="AD13" i="1"/>
  <c r="AB59" i="4"/>
  <c r="AB51" i="4"/>
  <c r="AB43" i="4"/>
  <c r="AC10" i="1"/>
  <c r="AB35" i="4"/>
  <c r="AB27" i="4"/>
  <c r="AB19" i="4"/>
  <c r="AB11" i="4"/>
  <c r="AA8" i="4"/>
  <c r="AD5" i="1"/>
  <c r="AA134" i="4"/>
  <c r="AD21" i="1"/>
  <c r="AA71" i="4"/>
  <c r="AD14" i="1"/>
  <c r="AB166" i="4"/>
  <c r="AA155" i="4"/>
  <c r="AD23" i="1"/>
  <c r="AB79" i="4"/>
  <c r="AB31" i="4"/>
  <c r="AB7" i="4"/>
  <c r="AA57" i="4"/>
  <c r="AD12" i="1"/>
  <c r="AA78" i="4"/>
  <c r="AD15" i="1"/>
  <c r="AB140" i="20"/>
  <c r="AB108" i="20"/>
  <c r="AB53" i="20"/>
  <c r="AA106" i="4"/>
  <c r="AD17" i="1"/>
  <c r="AA148" i="4"/>
  <c r="AD22" i="1"/>
  <c r="AB134" i="4"/>
  <c r="AC21" i="1"/>
  <c r="AA99" i="4"/>
  <c r="AD16" i="1"/>
  <c r="AB71" i="4"/>
  <c r="AB63" i="4"/>
  <c r="AB55" i="4"/>
  <c r="AA36" i="4"/>
  <c r="AD9" i="1"/>
  <c r="AB23" i="4"/>
  <c r="AB152" i="4"/>
  <c r="AB120" i="4"/>
  <c r="AC19" i="1"/>
  <c r="AB112" i="4"/>
  <c r="AB104" i="4"/>
  <c r="AB73" i="4"/>
  <c r="AB65" i="4"/>
  <c r="AB57" i="4"/>
  <c r="AC12" i="1"/>
  <c r="AB49" i="4"/>
  <c r="AA30" i="4"/>
  <c r="AD8" i="1"/>
  <c r="AB25" i="4"/>
  <c r="AB172" i="20"/>
  <c r="AB164" i="20"/>
  <c r="AB156" i="20"/>
  <c r="AB132" i="20"/>
  <c r="AB124" i="20"/>
  <c r="AB116" i="20"/>
  <c r="AB100" i="20"/>
  <c r="AA43" i="4"/>
  <c r="AD10" i="1"/>
  <c r="AA169" i="4"/>
  <c r="AD24" i="1"/>
  <c r="AB156" i="4"/>
  <c r="AB148" i="4"/>
  <c r="AC22" i="1"/>
  <c r="AB140" i="4"/>
  <c r="AB132" i="4"/>
  <c r="AB124" i="4"/>
  <c r="AB116" i="4"/>
  <c r="AA113" i="4"/>
  <c r="AD18" i="1"/>
  <c r="AB108" i="4"/>
  <c r="AB100" i="4"/>
  <c r="AB77" i="4"/>
  <c r="AB69" i="4"/>
  <c r="AB61" i="4"/>
  <c r="AB53" i="4"/>
  <c r="AA50" i="4"/>
  <c r="AD11" i="1"/>
  <c r="AB45" i="4"/>
  <c r="AB37" i="4"/>
  <c r="AB29" i="4"/>
  <c r="AB21" i="4"/>
  <c r="AB13" i="4"/>
  <c r="AB138" i="20"/>
  <c r="AB126" i="20"/>
  <c r="AB122" i="20"/>
  <c r="AB118" i="20"/>
  <c r="AB110" i="20"/>
  <c r="AB98" i="20"/>
  <c r="AB79" i="20"/>
  <c r="AB75" i="20"/>
  <c r="AB67" i="20"/>
  <c r="AB63" i="20"/>
  <c r="AB59" i="20"/>
  <c r="AB55" i="20"/>
  <c r="AB51" i="20"/>
  <c r="AB47" i="20"/>
  <c r="AB39" i="20"/>
  <c r="AB35" i="20"/>
  <c r="AB31" i="20"/>
  <c r="AB27" i="20"/>
  <c r="AB23" i="20"/>
  <c r="AB19" i="20"/>
  <c r="AB11" i="20"/>
  <c r="AB7" i="20"/>
  <c r="AB170" i="20"/>
  <c r="AB166" i="20"/>
  <c r="AB162" i="20"/>
  <c r="AB158" i="20"/>
  <c r="AB154" i="20"/>
  <c r="AB150" i="20"/>
  <c r="AB146" i="20"/>
  <c r="AB142" i="20"/>
  <c r="AB130" i="20"/>
  <c r="AB114" i="20"/>
  <c r="AB102" i="20"/>
  <c r="AA127" i="20"/>
  <c r="AD40" i="1"/>
  <c r="AC30" i="1"/>
  <c r="AB43" i="20"/>
  <c r="AA36" i="20"/>
  <c r="AD29" i="1"/>
  <c r="AC42" i="1"/>
  <c r="AI42" i="1" s="1"/>
  <c r="AB148" i="20"/>
  <c r="AC39" i="1"/>
  <c r="AB120" i="20"/>
  <c r="AA113" i="20"/>
  <c r="AD38" i="1"/>
  <c r="AA78" i="20"/>
  <c r="AD35" i="1"/>
  <c r="AC32" i="1"/>
  <c r="AB57" i="20"/>
  <c r="AA50" i="20"/>
  <c r="AD31" i="1"/>
  <c r="AA30" i="20"/>
  <c r="AD28" i="1"/>
  <c r="AA22" i="20"/>
  <c r="AD27" i="1"/>
  <c r="AA155" i="20"/>
  <c r="AD43" i="1"/>
  <c r="AA99" i="20"/>
  <c r="AD36" i="1"/>
  <c r="AC34" i="1"/>
  <c r="AB71" i="20"/>
  <c r="AC26" i="1"/>
  <c r="AB15" i="20"/>
  <c r="AA169" i="20"/>
  <c r="AD44" i="1"/>
  <c r="AB173" i="20"/>
  <c r="AC44" i="1"/>
  <c r="AB169" i="20"/>
  <c r="AB165" i="20"/>
  <c r="AB161" i="20"/>
  <c r="AB157" i="20"/>
  <c r="AB153" i="20"/>
  <c r="AB149" i="20"/>
  <c r="AB145" i="20"/>
  <c r="AB141" i="20"/>
  <c r="AB137" i="20"/>
  <c r="AA134" i="20"/>
  <c r="AD41" i="1"/>
  <c r="AB133" i="20"/>
  <c r="AB129" i="20"/>
  <c r="AB125" i="20"/>
  <c r="AB121" i="20"/>
  <c r="AB117" i="20"/>
  <c r="AC38" i="1"/>
  <c r="AB113" i="20"/>
  <c r="AB109" i="20"/>
  <c r="AA106" i="20"/>
  <c r="AD37" i="1"/>
  <c r="AB105" i="20"/>
  <c r="AB101" i="20"/>
  <c r="AB97" i="20"/>
  <c r="AC35" i="1"/>
  <c r="AB78" i="20"/>
  <c r="AB74" i="20"/>
  <c r="AA71" i="20"/>
  <c r="AD34" i="1"/>
  <c r="AB70" i="20"/>
  <c r="AB66" i="20"/>
  <c r="AB62" i="20"/>
  <c r="AB58" i="20"/>
  <c r="AB54" i="20"/>
  <c r="AC31" i="1"/>
  <c r="AB50" i="20"/>
  <c r="AB46" i="20"/>
  <c r="AA43" i="20"/>
  <c r="AD30" i="1"/>
  <c r="AB42" i="20"/>
  <c r="AB38" i="20"/>
  <c r="AB34" i="20"/>
  <c r="AC28" i="1"/>
  <c r="AB30" i="20"/>
  <c r="AB26" i="20"/>
  <c r="AC27" i="1"/>
  <c r="AB22" i="20"/>
  <c r="AB18" i="20"/>
  <c r="AA15" i="20"/>
  <c r="AD26" i="1"/>
  <c r="AB10" i="20"/>
  <c r="AC41" i="1"/>
  <c r="AB134" i="20"/>
  <c r="AC37" i="1"/>
  <c r="AB106" i="20"/>
  <c r="AA64" i="20"/>
  <c r="AD33" i="1"/>
  <c r="AA8" i="20"/>
  <c r="AD25" i="1"/>
  <c r="AB171" i="20"/>
  <c r="AB167" i="20"/>
  <c r="AB163" i="20"/>
  <c r="AB159" i="20"/>
  <c r="AC43" i="1"/>
  <c r="AB155" i="20"/>
  <c r="AB151" i="20"/>
  <c r="AA148" i="20"/>
  <c r="AD42" i="1"/>
  <c r="AB147" i="20"/>
  <c r="AB143" i="20"/>
  <c r="AB139" i="20"/>
  <c r="AB135" i="20"/>
  <c r="AB131" i="20"/>
  <c r="AC40" i="1"/>
  <c r="AB127" i="20"/>
  <c r="AB123" i="20"/>
  <c r="AA120" i="20"/>
  <c r="AD39" i="1"/>
  <c r="AB119" i="20"/>
  <c r="AB115" i="20"/>
  <c r="AB111" i="20"/>
  <c r="AB107" i="20"/>
  <c r="AB103" i="20"/>
  <c r="AC36" i="1"/>
  <c r="AB99" i="20"/>
  <c r="AB80" i="20"/>
  <c r="AB76" i="20"/>
  <c r="AB72" i="20"/>
  <c r="AB68" i="20"/>
  <c r="AC33" i="1"/>
  <c r="AB64" i="20"/>
  <c r="AB60" i="20"/>
  <c r="AA57" i="20"/>
  <c r="AD32" i="1"/>
  <c r="AB56" i="20"/>
  <c r="AB52" i="20"/>
  <c r="AB48" i="20"/>
  <c r="AB44" i="20"/>
  <c r="AB40" i="20"/>
  <c r="AC29" i="1"/>
  <c r="AB36" i="20"/>
  <c r="AB32" i="20"/>
  <c r="AB28" i="20"/>
  <c r="AB24" i="20"/>
  <c r="AB20" i="20"/>
  <c r="AB16" i="20"/>
  <c r="AB12" i="20"/>
  <c r="AC25" i="1"/>
  <c r="AB8" i="20"/>
  <c r="AB172" i="4"/>
  <c r="AB173" i="4"/>
  <c r="AB169" i="4"/>
  <c r="AB165" i="4"/>
  <c r="AB161" i="4"/>
  <c r="AB157" i="4"/>
  <c r="AB153" i="4"/>
  <c r="AB149" i="4"/>
  <c r="AB145" i="4"/>
  <c r="AB141" i="4"/>
  <c r="AB137" i="4"/>
  <c r="AB133" i="4"/>
  <c r="AB129" i="4"/>
  <c r="AB125" i="4"/>
  <c r="AB121" i="4"/>
  <c r="AB117" i="4"/>
  <c r="AB113" i="4"/>
  <c r="AB109" i="4"/>
  <c r="AB105" i="4"/>
  <c r="AB101" i="4"/>
  <c r="AB97" i="4"/>
  <c r="AB78" i="4"/>
  <c r="AB74" i="4"/>
  <c r="AB70" i="4"/>
  <c r="AB66" i="4"/>
  <c r="AB62" i="4"/>
  <c r="AB58" i="4"/>
  <c r="AB54" i="4"/>
  <c r="AB50" i="4"/>
  <c r="AB46" i="4"/>
  <c r="AB42" i="4"/>
  <c r="AB38" i="4"/>
  <c r="AB34" i="4"/>
  <c r="AB30" i="4"/>
  <c r="AB22" i="4"/>
  <c r="AB171" i="4"/>
  <c r="AB167" i="4"/>
  <c r="AB163" i="4"/>
  <c r="AB159" i="4"/>
  <c r="AB155" i="4"/>
  <c r="AB151" i="4"/>
  <c r="AB147" i="4"/>
  <c r="AB143" i="4"/>
  <c r="AB139" i="4"/>
  <c r="AB135" i="4"/>
  <c r="AB131" i="4"/>
  <c r="AB127" i="4"/>
  <c r="AB123" i="4"/>
  <c r="AB119" i="4"/>
  <c r="AB115" i="4"/>
  <c r="AB111" i="4"/>
  <c r="AB107" i="4"/>
  <c r="AB103" i="4"/>
  <c r="AB99" i="4"/>
  <c r="AB80" i="4"/>
  <c r="AB76" i="4"/>
  <c r="AB72" i="4"/>
  <c r="AB68" i="4"/>
  <c r="AB64" i="4"/>
  <c r="AB60" i="4"/>
  <c r="AB56" i="4"/>
  <c r="AB52" i="4"/>
  <c r="AB48" i="4"/>
  <c r="AB44" i="4"/>
  <c r="AB40" i="4"/>
  <c r="AB36" i="4"/>
  <c r="AB32" i="4"/>
  <c r="AB28" i="4"/>
  <c r="AB24" i="4"/>
  <c r="AB20" i="4"/>
  <c r="AB16" i="4"/>
  <c r="AB12" i="4"/>
  <c r="AB8" i="4"/>
  <c r="AB168" i="4"/>
  <c r="AB164" i="4"/>
  <c r="AB160" i="4"/>
  <c r="D40" i="223"/>
  <c r="R34" i="248" l="1"/>
  <c r="W39" i="248"/>
  <c r="F20" i="270"/>
  <c r="L5" i="265"/>
  <c r="D20" i="270"/>
  <c r="AA198" i="20"/>
  <c r="AA195" i="20" s="1"/>
  <c r="AA197" i="20"/>
  <c r="AA196" i="20"/>
  <c r="AA194" i="20"/>
  <c r="AA184" i="20"/>
  <c r="AA181" i="20" s="1"/>
  <c r="AA183" i="20"/>
  <c r="AA182" i="20"/>
  <c r="AA180" i="20"/>
  <c r="AA191" i="20"/>
  <c r="AA188" i="20" s="1"/>
  <c r="AA190" i="20"/>
  <c r="AA189" i="20"/>
  <c r="AA187" i="20"/>
  <c r="AA198" i="4"/>
  <c r="AA195" i="4" s="1"/>
  <c r="AA184" i="4"/>
  <c r="AA181" i="4" s="1"/>
  <c r="AA196" i="4"/>
  <c r="AA182" i="4"/>
  <c r="AA197" i="4"/>
  <c r="AA183" i="4"/>
  <c r="AA194" i="4"/>
  <c r="AA180" i="4"/>
  <c r="AA191" i="4"/>
  <c r="AA188" i="4" s="1"/>
  <c r="AA187" i="4"/>
  <c r="AA190" i="4"/>
  <c r="AA189" i="4"/>
  <c r="J5" i="265"/>
  <c r="H7" i="266"/>
  <c r="AI39" i="1"/>
  <c r="AI28" i="1"/>
  <c r="AI31" i="1"/>
  <c r="AI33" i="1"/>
  <c r="H8" i="266"/>
  <c r="AI40" i="1"/>
  <c r="AI37" i="1"/>
  <c r="AI27" i="1"/>
  <c r="AI35" i="1"/>
  <c r="H6" i="266"/>
  <c r="AI38" i="1"/>
  <c r="AI34" i="1"/>
  <c r="AI32" i="1"/>
  <c r="H10" i="266"/>
  <c r="AI30" i="1"/>
  <c r="AI29" i="1"/>
  <c r="H5" i="266"/>
  <c r="AI36" i="1"/>
  <c r="H11" i="266"/>
  <c r="AI43" i="1"/>
  <c r="H9" i="266"/>
  <c r="AI41" i="1"/>
  <c r="AI44" i="1"/>
  <c r="D42" i="223"/>
  <c r="D27" i="223"/>
  <c r="D34" i="223"/>
  <c r="D29" i="223"/>
  <c r="D28" i="223"/>
  <c r="D30" i="223"/>
  <c r="D33" i="223"/>
  <c r="D36" i="223"/>
  <c r="D25" i="223"/>
  <c r="D31" i="223"/>
  <c r="D41" i="223"/>
  <c r="D32" i="223"/>
  <c r="D39" i="223"/>
  <c r="D38" i="223"/>
  <c r="D35" i="223"/>
  <c r="D37" i="223"/>
  <c r="D26" i="223"/>
  <c r="W29" i="248" l="1"/>
  <c r="R24" i="248"/>
  <c r="W32" i="248"/>
  <c r="R27" i="248"/>
  <c r="W36" i="248"/>
  <c r="R31" i="248"/>
  <c r="W41" i="248"/>
  <c r="R36" i="248"/>
  <c r="W27" i="248"/>
  <c r="R22" i="248"/>
  <c r="W35" i="248"/>
  <c r="R30" i="248"/>
  <c r="R29" i="248"/>
  <c r="W34" i="248"/>
  <c r="W28" i="248"/>
  <c r="R23" i="248"/>
  <c r="W40" i="248"/>
  <c r="R35" i="248"/>
  <c r="R21" i="248"/>
  <c r="W26" i="248"/>
  <c r="W31" i="248"/>
  <c r="R26" i="248"/>
  <c r="W24" i="248"/>
  <c r="R19" i="248"/>
  <c r="R25" i="248"/>
  <c r="W30" i="248"/>
  <c r="R33" i="248"/>
  <c r="W38" i="248"/>
  <c r="W33" i="248"/>
  <c r="R28" i="248"/>
  <c r="W37" i="248"/>
  <c r="R32" i="248"/>
  <c r="W25" i="248"/>
  <c r="R20" i="248"/>
  <c r="K9" i="266"/>
  <c r="K6" i="266"/>
  <c r="K5" i="266"/>
  <c r="K8" i="266"/>
  <c r="K7" i="266"/>
  <c r="K11" i="266"/>
  <c r="K10" i="266"/>
  <c r="D8" i="266"/>
  <c r="G8" i="266" s="1"/>
  <c r="J8" i="266" s="1"/>
  <c r="D5" i="266"/>
  <c r="G5" i="266" s="1"/>
  <c r="J5" i="266" s="1"/>
  <c r="E71" i="1"/>
  <c r="E88" i="1"/>
  <c r="E87" i="1"/>
  <c r="E74" i="1"/>
  <c r="E85" i="1"/>
  <c r="E73" i="1"/>
  <c r="E82" i="1"/>
  <c r="E79" i="1" s="1"/>
  <c r="E78" i="1"/>
  <c r="E81" i="1"/>
  <c r="E80" i="1"/>
  <c r="E58" i="1"/>
  <c r="E60" i="1"/>
  <c r="E57" i="1" s="1"/>
  <c r="E56" i="1"/>
  <c r="E59" i="1"/>
  <c r="D11" i="266"/>
  <c r="G11" i="266" s="1"/>
  <c r="J11" i="266" s="1"/>
  <c r="D7" i="266"/>
  <c r="G7" i="266" s="1"/>
  <c r="J7" i="266" s="1"/>
  <c r="D9" i="266"/>
  <c r="G9" i="266" s="1"/>
  <c r="J9" i="266" s="1"/>
  <c r="D10" i="266"/>
  <c r="G10" i="266" s="1"/>
  <c r="J10" i="266" s="1"/>
  <c r="D6" i="266"/>
  <c r="G6" i="266" s="1"/>
  <c r="J6" i="266" s="1"/>
  <c r="H13" i="266"/>
  <c r="O5" i="1"/>
  <c r="S47" i="248" l="1"/>
  <c r="U47" i="248"/>
  <c r="R47" i="248"/>
  <c r="K13" i="266"/>
  <c r="J13" i="266"/>
  <c r="D13" i="266"/>
  <c r="G13" i="266"/>
  <c r="C60" i="1"/>
  <c r="C57" i="1" s="1"/>
  <c r="C59" i="1"/>
  <c r="C58" i="1"/>
  <c r="C56" i="1"/>
  <c r="C78" i="1"/>
  <c r="C82" i="1"/>
  <c r="C79" i="1" s="1"/>
  <c r="C81" i="1"/>
  <c r="C80" i="1"/>
  <c r="T47" i="248" l="1"/>
  <c r="Y47" i="248" s="1"/>
  <c r="C92" i="1"/>
  <c r="C95" i="1"/>
  <c r="C94" i="1"/>
  <c r="C96" i="1"/>
  <c r="C93" i="1" s="1"/>
  <c r="G85" i="1"/>
  <c r="G74" i="1"/>
  <c r="G88" i="1"/>
  <c r="G87" i="1"/>
  <c r="G71" i="1"/>
  <c r="G73" i="1"/>
  <c r="C51" i="1"/>
  <c r="C49" i="1"/>
  <c r="C66" i="1"/>
  <c r="C53" i="1"/>
  <c r="C50" i="1" s="1"/>
  <c r="C52" i="1"/>
  <c r="C63" i="1"/>
  <c r="C67" i="1"/>
  <c r="C64" i="1" s="1"/>
  <c r="C65" i="1"/>
  <c r="C89" i="1"/>
  <c r="C86" i="1" s="1"/>
  <c r="C75" i="1"/>
  <c r="C72" i="1" s="1"/>
  <c r="C88" i="1"/>
  <c r="C71" i="1"/>
  <c r="C87" i="1"/>
  <c r="C74" i="1"/>
  <c r="C73" i="1"/>
  <c r="C85" i="1"/>
  <c r="X47" i="248" l="1"/>
  <c r="AP36" i="1"/>
  <c r="AR36" i="1" l="1"/>
  <c r="AT36" i="1" s="1"/>
  <c r="AW36" i="1" s="1"/>
  <c r="P73" i="1" l="1"/>
  <c r="P71" i="1"/>
  <c r="P88" i="1"/>
  <c r="P87" i="1"/>
  <c r="P74" i="1"/>
  <c r="P85" i="1"/>
  <c r="S80" i="1" l="1"/>
  <c r="S78" i="1"/>
  <c r="H5" i="256" s="1"/>
  <c r="S81" i="1"/>
  <c r="S82" i="1"/>
  <c r="S79" i="1" s="1"/>
  <c r="I5" i="256" s="1"/>
  <c r="AC6" i="235"/>
  <c r="O6" i="235" s="1"/>
  <c r="AB6" i="235"/>
  <c r="AA6" i="235"/>
  <c r="AC5" i="235"/>
  <c r="O5" i="235" s="1"/>
  <c r="AB5" i="235"/>
  <c r="AA5" i="235"/>
  <c r="AC26" i="235"/>
  <c r="O26" i="235" s="1"/>
  <c r="AC25" i="235"/>
  <c r="O25" i="235" s="1"/>
  <c r="AB26" i="235"/>
  <c r="AB25" i="235"/>
  <c r="AA26" i="235"/>
  <c r="AA25" i="235"/>
  <c r="AQ35" i="235"/>
  <c r="X26" i="235"/>
  <c r="X25" i="235"/>
  <c r="X24" i="235"/>
  <c r="X23" i="235"/>
  <c r="X22" i="235"/>
  <c r="X21" i="235"/>
  <c r="X20" i="235"/>
  <c r="X19" i="235"/>
  <c r="X18" i="235"/>
  <c r="X17" i="235"/>
  <c r="X16" i="235"/>
  <c r="X15" i="235"/>
  <c r="X14" i="235"/>
  <c r="X13" i="235"/>
  <c r="X12" i="235"/>
  <c r="X11" i="235"/>
  <c r="X10" i="235"/>
  <c r="X9" i="235"/>
  <c r="X8" i="235"/>
  <c r="X7" i="235"/>
  <c r="X6" i="235"/>
  <c r="X5" i="235"/>
  <c r="AP44" i="1"/>
  <c r="AP43" i="1"/>
  <c r="AP42" i="1"/>
  <c r="AP41" i="1"/>
  <c r="AP40" i="1"/>
  <c r="AP39" i="1"/>
  <c r="AP38" i="1"/>
  <c r="AP37" i="1"/>
  <c r="AP34" i="1"/>
  <c r="AP33" i="1"/>
  <c r="AP32" i="1"/>
  <c r="AP31" i="1"/>
  <c r="AP30" i="1"/>
  <c r="AP29" i="1"/>
  <c r="AP28" i="1"/>
  <c r="AP27" i="1"/>
  <c r="AP26" i="1"/>
  <c r="AP25" i="1"/>
  <c r="AP24" i="1"/>
  <c r="AP23" i="1"/>
  <c r="AP22" i="1"/>
  <c r="AP21" i="1"/>
  <c r="AP20" i="1"/>
  <c r="AP19" i="1"/>
  <c r="AP18" i="1"/>
  <c r="AP17" i="1"/>
  <c r="AP16" i="1"/>
  <c r="AP14" i="1"/>
  <c r="AP13" i="1"/>
  <c r="AP12" i="1"/>
  <c r="AP11" i="1"/>
  <c r="AP10" i="1"/>
  <c r="AP9" i="1"/>
  <c r="AP8" i="1"/>
  <c r="AP7" i="1"/>
  <c r="AP6" i="1"/>
  <c r="AP5" i="1"/>
  <c r="AX44" i="235"/>
  <c r="AX43" i="235"/>
  <c r="AX42" i="235"/>
  <c r="AX41" i="235"/>
  <c r="AX40" i="235"/>
  <c r="AX39" i="235"/>
  <c r="AX38" i="235"/>
  <c r="AX37" i="235"/>
  <c r="AX36" i="235"/>
  <c r="AN35" i="235"/>
  <c r="AM35" i="235"/>
  <c r="AL35" i="235"/>
  <c r="AK35" i="235"/>
  <c r="AJ35" i="235"/>
  <c r="AX35" i="235"/>
  <c r="AX24" i="235"/>
  <c r="AX23" i="235"/>
  <c r="AX22" i="235"/>
  <c r="AX21" i="235"/>
  <c r="AX20" i="235"/>
  <c r="AX19" i="235"/>
  <c r="AX18" i="235"/>
  <c r="AX17" i="235"/>
  <c r="AX8" i="235"/>
  <c r="K25" i="1"/>
  <c r="F22" i="272" s="1"/>
  <c r="K44" i="235"/>
  <c r="K43" i="235"/>
  <c r="K42" i="235"/>
  <c r="K41" i="235"/>
  <c r="K40" i="235"/>
  <c r="K39" i="235"/>
  <c r="K38" i="235"/>
  <c r="K37" i="235"/>
  <c r="K36" i="235"/>
  <c r="K35" i="235"/>
  <c r="K34" i="235"/>
  <c r="K33" i="235"/>
  <c r="K32" i="235"/>
  <c r="K31" i="235"/>
  <c r="K30" i="235"/>
  <c r="K29" i="235"/>
  <c r="K28" i="235"/>
  <c r="K27" i="235"/>
  <c r="K26" i="235"/>
  <c r="K25" i="235"/>
  <c r="AD5" i="235"/>
  <c r="AY5" i="235" s="1"/>
  <c r="AE5" i="235"/>
  <c r="AF5" i="235"/>
  <c r="I3" i="251" s="1"/>
  <c r="AG5" i="235"/>
  <c r="AH5" i="235"/>
  <c r="AD6" i="235"/>
  <c r="AY6" i="235" s="1"/>
  <c r="AE6" i="235"/>
  <c r="AF6" i="235"/>
  <c r="I4" i="251" s="1"/>
  <c r="AG6" i="235"/>
  <c r="AH6" i="235"/>
  <c r="AA7" i="235"/>
  <c r="AB7" i="235"/>
  <c r="AC7" i="235"/>
  <c r="AD7" i="235"/>
  <c r="AY7" i="235" s="1"/>
  <c r="AE7" i="235"/>
  <c r="AF7" i="235"/>
  <c r="I5" i="251" s="1"/>
  <c r="AG7" i="235"/>
  <c r="AH7" i="235"/>
  <c r="AA8" i="235"/>
  <c r="AB8" i="235"/>
  <c r="AC8" i="235"/>
  <c r="AD8" i="235"/>
  <c r="AY8" i="235" s="1"/>
  <c r="AE8" i="235"/>
  <c r="AF8" i="235"/>
  <c r="I6" i="251" s="1"/>
  <c r="AG8" i="235"/>
  <c r="AH8" i="235"/>
  <c r="AA9" i="235"/>
  <c r="AB9" i="235"/>
  <c r="AC9" i="235"/>
  <c r="AD9" i="235"/>
  <c r="AY9" i="235" s="1"/>
  <c r="AE9" i="235"/>
  <c r="AF9" i="235"/>
  <c r="I7" i="251" s="1"/>
  <c r="AG9" i="235"/>
  <c r="AH9" i="235"/>
  <c r="AA10" i="235"/>
  <c r="AB10" i="235"/>
  <c r="AC10" i="235"/>
  <c r="AD10" i="235"/>
  <c r="AY10" i="235" s="1"/>
  <c r="AE10" i="235"/>
  <c r="AF10" i="235"/>
  <c r="I8" i="251" s="1"/>
  <c r="AG10" i="235"/>
  <c r="AH10" i="235"/>
  <c r="AA11" i="235"/>
  <c r="AB11" i="235"/>
  <c r="AC11" i="235"/>
  <c r="AD11" i="235"/>
  <c r="AY11" i="235" s="1"/>
  <c r="AE11" i="235"/>
  <c r="AF11" i="235"/>
  <c r="I9" i="251" s="1"/>
  <c r="AG11" i="235"/>
  <c r="AH11" i="235"/>
  <c r="AA12" i="235"/>
  <c r="AB12" i="235"/>
  <c r="AC12" i="235"/>
  <c r="AD12" i="235"/>
  <c r="AY12" i="235" s="1"/>
  <c r="AE12" i="235"/>
  <c r="AF12" i="235"/>
  <c r="I10" i="251" s="1"/>
  <c r="AG12" i="235"/>
  <c r="AH12" i="235"/>
  <c r="AA13" i="235"/>
  <c r="AB13" i="235"/>
  <c r="AC13" i="235"/>
  <c r="AD13" i="235"/>
  <c r="AY13" i="235" s="1"/>
  <c r="AE13" i="235"/>
  <c r="AF13" i="235"/>
  <c r="I11" i="251" s="1"/>
  <c r="AG13" i="235"/>
  <c r="AH13" i="235"/>
  <c r="AA14" i="235"/>
  <c r="AB14" i="235"/>
  <c r="AC14" i="235"/>
  <c r="AD14" i="235"/>
  <c r="AY14" i="235" s="1"/>
  <c r="AE14" i="235"/>
  <c r="AF14" i="235"/>
  <c r="I12" i="251" s="1"/>
  <c r="AG14" i="235"/>
  <c r="AH14" i="235"/>
  <c r="AA15" i="235"/>
  <c r="AB15" i="235"/>
  <c r="AC15" i="235"/>
  <c r="AD15" i="235"/>
  <c r="AY15" i="235" s="1"/>
  <c r="AE15" i="235"/>
  <c r="AF15" i="235"/>
  <c r="I13" i="251" s="1"/>
  <c r="AG15" i="235"/>
  <c r="AH15" i="235"/>
  <c r="AA16" i="235"/>
  <c r="AB16" i="235"/>
  <c r="AC16" i="235"/>
  <c r="AD16" i="235"/>
  <c r="AY16" i="235" s="1"/>
  <c r="AE16" i="235"/>
  <c r="AF16" i="235"/>
  <c r="I14" i="251" s="1"/>
  <c r="AG16" i="235"/>
  <c r="AH16" i="235"/>
  <c r="AA17" i="235"/>
  <c r="AB17" i="235"/>
  <c r="AC17" i="235"/>
  <c r="AD17" i="235"/>
  <c r="AY17" i="235" s="1"/>
  <c r="AE17" i="235"/>
  <c r="AF17" i="235"/>
  <c r="I15" i="251" s="1"/>
  <c r="AG17" i="235"/>
  <c r="AH17" i="235"/>
  <c r="AA18" i="235"/>
  <c r="AB18" i="235"/>
  <c r="AC18" i="235"/>
  <c r="AD18" i="235"/>
  <c r="AY18" i="235" s="1"/>
  <c r="AE18" i="235"/>
  <c r="AF18" i="235"/>
  <c r="I16" i="251" s="1"/>
  <c r="AG18" i="235"/>
  <c r="AH18" i="235"/>
  <c r="AA19" i="235"/>
  <c r="AB19" i="235"/>
  <c r="AC19" i="235"/>
  <c r="AD19" i="235"/>
  <c r="AY19" i="235" s="1"/>
  <c r="AE19" i="235"/>
  <c r="AF19" i="235"/>
  <c r="I17" i="251" s="1"/>
  <c r="AG19" i="235"/>
  <c r="AH19" i="235"/>
  <c r="AA20" i="235"/>
  <c r="AB20" i="235"/>
  <c r="AC20" i="235"/>
  <c r="AD20" i="235"/>
  <c r="AY20" i="235" s="1"/>
  <c r="AE20" i="235"/>
  <c r="AF20" i="235"/>
  <c r="I18" i="251" s="1"/>
  <c r="AG20" i="235"/>
  <c r="AH20" i="235"/>
  <c r="AA21" i="235"/>
  <c r="AB21" i="235"/>
  <c r="AC21" i="235"/>
  <c r="AD21" i="235"/>
  <c r="AY21" i="235" s="1"/>
  <c r="AE21" i="235"/>
  <c r="AF21" i="235"/>
  <c r="I19" i="251" s="1"/>
  <c r="AG21" i="235"/>
  <c r="AH21" i="235"/>
  <c r="AA22" i="235"/>
  <c r="AB22" i="235"/>
  <c r="AC22" i="235"/>
  <c r="AD22" i="235"/>
  <c r="AY22" i="235" s="1"/>
  <c r="AE22" i="235"/>
  <c r="AG22" i="235"/>
  <c r="AH22" i="235"/>
  <c r="AA23" i="235"/>
  <c r="AB23" i="235"/>
  <c r="AC23" i="235"/>
  <c r="AD23" i="235"/>
  <c r="AY23" i="235" s="1"/>
  <c r="AE23" i="235"/>
  <c r="AF23" i="235"/>
  <c r="I21" i="251" s="1"/>
  <c r="AG23" i="235"/>
  <c r="AH23" i="235"/>
  <c r="AA24" i="235"/>
  <c r="AB24" i="235"/>
  <c r="AC24" i="235"/>
  <c r="AD24" i="235"/>
  <c r="AY24" i="235" s="1"/>
  <c r="AE24" i="235"/>
  <c r="AF24" i="235"/>
  <c r="I22" i="251" s="1"/>
  <c r="AG24" i="235"/>
  <c r="AH24" i="235"/>
  <c r="AD25" i="235"/>
  <c r="AY25" i="235" s="1"/>
  <c r="AE25" i="235"/>
  <c r="AF25" i="235"/>
  <c r="I23" i="251" s="1"/>
  <c r="AG25" i="235"/>
  <c r="AH25" i="235"/>
  <c r="AD26" i="235"/>
  <c r="AY26" i="235" s="1"/>
  <c r="AE26" i="235"/>
  <c r="AF26" i="235"/>
  <c r="I24" i="251" s="1"/>
  <c r="AG26" i="235"/>
  <c r="AH26" i="235"/>
  <c r="AA27" i="235"/>
  <c r="AB27" i="235"/>
  <c r="AC27" i="235"/>
  <c r="AD27" i="235"/>
  <c r="AY27" i="235" s="1"/>
  <c r="AE27" i="235"/>
  <c r="AF27" i="235"/>
  <c r="I25" i="251" s="1"/>
  <c r="AG27" i="235"/>
  <c r="AH27" i="235"/>
  <c r="AA28" i="235"/>
  <c r="AB28" i="235"/>
  <c r="AC28" i="235"/>
  <c r="AD28" i="235"/>
  <c r="AY28" i="235" s="1"/>
  <c r="AE28" i="235"/>
  <c r="AF28" i="235"/>
  <c r="I26" i="251" s="1"/>
  <c r="AG28" i="235"/>
  <c r="AH28" i="235"/>
  <c r="AA29" i="235"/>
  <c r="AB29" i="235"/>
  <c r="AC29" i="235"/>
  <c r="AD29" i="235"/>
  <c r="AY29" i="235" s="1"/>
  <c r="AE29" i="235"/>
  <c r="AF29" i="235"/>
  <c r="I27" i="251" s="1"/>
  <c r="AG29" i="235"/>
  <c r="AH29" i="235"/>
  <c r="AA30" i="235"/>
  <c r="AB30" i="235"/>
  <c r="AC30" i="235"/>
  <c r="AD30" i="235"/>
  <c r="AY30" i="235" s="1"/>
  <c r="AE30" i="235"/>
  <c r="AF30" i="235"/>
  <c r="I28" i="251" s="1"/>
  <c r="AG30" i="235"/>
  <c r="AH30" i="235"/>
  <c r="AA31" i="235"/>
  <c r="AB31" i="235"/>
  <c r="AC31" i="235"/>
  <c r="AD31" i="235"/>
  <c r="AY31" i="235" s="1"/>
  <c r="AE31" i="235"/>
  <c r="AF31" i="235"/>
  <c r="I29" i="251" s="1"/>
  <c r="AG31" i="235"/>
  <c r="AH31" i="235"/>
  <c r="AA32" i="235"/>
  <c r="AB32" i="235"/>
  <c r="AC32" i="235"/>
  <c r="AD32" i="235"/>
  <c r="AY32" i="235" s="1"/>
  <c r="AE32" i="235"/>
  <c r="AF32" i="235"/>
  <c r="I30" i="251" s="1"/>
  <c r="AG32" i="235"/>
  <c r="AH32" i="235"/>
  <c r="AA33" i="235"/>
  <c r="AB33" i="235"/>
  <c r="AC33" i="235"/>
  <c r="AD33" i="235"/>
  <c r="AY33" i="235" s="1"/>
  <c r="AE33" i="235"/>
  <c r="AF33" i="235"/>
  <c r="I31" i="251" s="1"/>
  <c r="AG33" i="235"/>
  <c r="AH33" i="235"/>
  <c r="AA34" i="235"/>
  <c r="AB34" i="235"/>
  <c r="AC34" i="235"/>
  <c r="AD34" i="235"/>
  <c r="AY34" i="235" s="1"/>
  <c r="AE34" i="235"/>
  <c r="AF34" i="235"/>
  <c r="I32" i="251" s="1"/>
  <c r="AG34" i="235"/>
  <c r="AH34" i="235"/>
  <c r="AA35" i="235"/>
  <c r="AB35" i="235"/>
  <c r="AC35" i="235"/>
  <c r="AD35" i="235"/>
  <c r="AY35" i="235" s="1"/>
  <c r="AE35" i="235"/>
  <c r="AF35" i="235"/>
  <c r="I33" i="251" s="1"/>
  <c r="AG35" i="235"/>
  <c r="AH35" i="235"/>
  <c r="AA36" i="235"/>
  <c r="AB36" i="235"/>
  <c r="AC36" i="235"/>
  <c r="AD36" i="235"/>
  <c r="AY36" i="235" s="1"/>
  <c r="AE36" i="235"/>
  <c r="AF36" i="235"/>
  <c r="I34" i="251" s="1"/>
  <c r="AG36" i="235"/>
  <c r="AH36" i="235"/>
  <c r="AA37" i="235"/>
  <c r="AB37" i="235"/>
  <c r="AC37" i="235"/>
  <c r="AD37" i="235"/>
  <c r="AY37" i="235" s="1"/>
  <c r="AE37" i="235"/>
  <c r="AF37" i="235"/>
  <c r="I35" i="251" s="1"/>
  <c r="AG37" i="235"/>
  <c r="AH37" i="235"/>
  <c r="AA38" i="235"/>
  <c r="AB38" i="235"/>
  <c r="AC38" i="235"/>
  <c r="AD38" i="235"/>
  <c r="AY38" i="235" s="1"/>
  <c r="AE38" i="235"/>
  <c r="AF38" i="235"/>
  <c r="I36" i="251" s="1"/>
  <c r="AG38" i="235"/>
  <c r="AH38" i="235"/>
  <c r="AA39" i="235"/>
  <c r="AB39" i="235"/>
  <c r="AC39" i="235"/>
  <c r="AD39" i="235"/>
  <c r="AY39" i="235" s="1"/>
  <c r="AE39" i="235"/>
  <c r="AF39" i="235"/>
  <c r="I37" i="251" s="1"/>
  <c r="AG39" i="235"/>
  <c r="AH39" i="235"/>
  <c r="AA40" i="235"/>
  <c r="AB40" i="235"/>
  <c r="AC40" i="235"/>
  <c r="AD40" i="235"/>
  <c r="AY40" i="235" s="1"/>
  <c r="AE40" i="235"/>
  <c r="AF40" i="235"/>
  <c r="I38" i="251" s="1"/>
  <c r="AG40" i="235"/>
  <c r="AH40" i="235"/>
  <c r="AA41" i="235"/>
  <c r="AB41" i="235"/>
  <c r="AC41" i="235"/>
  <c r="AD41" i="235"/>
  <c r="AY41" i="235" s="1"/>
  <c r="AE41" i="235"/>
  <c r="AF41" i="235"/>
  <c r="I39" i="251" s="1"/>
  <c r="AG41" i="235"/>
  <c r="AH41" i="235"/>
  <c r="AA42" i="235"/>
  <c r="AB42" i="235"/>
  <c r="AC42" i="235"/>
  <c r="AD42" i="235"/>
  <c r="AY42" i="235" s="1"/>
  <c r="AE42" i="235"/>
  <c r="AF42" i="235"/>
  <c r="AG42" i="235"/>
  <c r="AH42" i="235"/>
  <c r="AA43" i="235"/>
  <c r="AB43" i="235"/>
  <c r="AC43" i="235"/>
  <c r="AD43" i="235"/>
  <c r="AY43" i="235" s="1"/>
  <c r="AE43" i="235"/>
  <c r="AF43" i="235"/>
  <c r="I41" i="251" s="1"/>
  <c r="AG43" i="235"/>
  <c r="AH43" i="235"/>
  <c r="AA44" i="235"/>
  <c r="AB44" i="235"/>
  <c r="AC44" i="235"/>
  <c r="AD44" i="235"/>
  <c r="AY44" i="235" s="1"/>
  <c r="AE44" i="235"/>
  <c r="AF44" i="235"/>
  <c r="I42" i="251" s="1"/>
  <c r="AG44" i="235"/>
  <c r="AH44" i="235"/>
  <c r="M3" i="237"/>
  <c r="M4" i="237" s="1"/>
  <c r="M5" i="237" s="1"/>
  <c r="M6" i="237" s="1"/>
  <c r="M7" i="237" s="1"/>
  <c r="M8" i="237" s="1"/>
  <c r="M9" i="237" s="1"/>
  <c r="M10" i="237" s="1"/>
  <c r="M11" i="237" s="1"/>
  <c r="M12" i="237" s="1"/>
  <c r="M13" i="237" s="1"/>
  <c r="M14" i="237" s="1"/>
  <c r="M15" i="237" s="1"/>
  <c r="M16" i="237" s="1"/>
  <c r="M17" i="237" s="1"/>
  <c r="M18" i="237" s="1"/>
  <c r="M19" i="237" s="1"/>
  <c r="M20" i="237" s="1"/>
  <c r="M21" i="237" s="1"/>
  <c r="M22" i="237" s="1"/>
  <c r="M23" i="237" s="1"/>
  <c r="M24" i="237" s="1"/>
  <c r="M25" i="237" s="1"/>
  <c r="M26" i="237" s="1"/>
  <c r="M27" i="237" s="1"/>
  <c r="M28" i="237" s="1"/>
  <c r="M29" i="237" s="1"/>
  <c r="M30" i="237" s="1"/>
  <c r="M31" i="237" s="1"/>
  <c r="M32" i="237" s="1"/>
  <c r="M33" i="237" s="1"/>
  <c r="M34" i="237" s="1"/>
  <c r="M35" i="237" s="1"/>
  <c r="M36" i="237" s="1"/>
  <c r="M37" i="237" s="1"/>
  <c r="M38" i="237" s="1"/>
  <c r="M39" i="237" s="1"/>
  <c r="M40" i="237" s="1"/>
  <c r="M41" i="237" s="1"/>
  <c r="U41" i="235"/>
  <c r="U26" i="235"/>
  <c r="S26" i="235"/>
  <c r="Q26" i="235"/>
  <c r="P26" i="235"/>
  <c r="U25" i="235"/>
  <c r="S25" i="235"/>
  <c r="Q25" i="235"/>
  <c r="P25" i="235"/>
  <c r="U24" i="235"/>
  <c r="U23" i="235"/>
  <c r="U6" i="235"/>
  <c r="T6" i="235"/>
  <c r="S6" i="235"/>
  <c r="Q6" i="235"/>
  <c r="P6" i="235"/>
  <c r="U5" i="235"/>
  <c r="T5" i="235"/>
  <c r="S5" i="235"/>
  <c r="Q5" i="235"/>
  <c r="P5" i="235"/>
  <c r="D5" i="235"/>
  <c r="AO5" i="1" s="1"/>
  <c r="AY5" i="1" s="1"/>
  <c r="D6" i="235"/>
  <c r="AO6" i="1" s="1"/>
  <c r="AY6" i="1" s="1"/>
  <c r="AZ6" i="1" s="1"/>
  <c r="D7" i="235"/>
  <c r="AO7" i="1" s="1"/>
  <c r="AY7" i="1" s="1"/>
  <c r="AZ7" i="1" s="1"/>
  <c r="D8" i="235"/>
  <c r="AO8" i="1" s="1"/>
  <c r="AY8" i="1" s="1"/>
  <c r="AZ8" i="1" s="1"/>
  <c r="D9" i="235"/>
  <c r="AO9" i="1" s="1"/>
  <c r="AY9" i="1" s="1"/>
  <c r="AZ9" i="1" s="1"/>
  <c r="D10" i="235"/>
  <c r="AO10" i="1" s="1"/>
  <c r="AY10" i="1" s="1"/>
  <c r="AZ10" i="1" s="1"/>
  <c r="D11" i="235"/>
  <c r="AO11" i="1" s="1"/>
  <c r="AY11" i="1" s="1"/>
  <c r="AZ11" i="1" s="1"/>
  <c r="F12" i="235"/>
  <c r="N12" i="1" s="1"/>
  <c r="D12" i="235"/>
  <c r="AO12" i="1" s="1"/>
  <c r="AY12" i="1" s="1"/>
  <c r="D13" i="235"/>
  <c r="AO13" i="1" s="1"/>
  <c r="AY13" i="1" s="1"/>
  <c r="AZ13" i="1" s="1"/>
  <c r="D14" i="235"/>
  <c r="AO14" i="1" s="1"/>
  <c r="AY14" i="1" s="1"/>
  <c r="AZ14" i="1" s="1"/>
  <c r="D15" i="235"/>
  <c r="AO15" i="1" s="1"/>
  <c r="AY15" i="1" s="1"/>
  <c r="AZ15" i="1" s="1"/>
  <c r="D16" i="235"/>
  <c r="AO16" i="1" s="1"/>
  <c r="AY16" i="1" s="1"/>
  <c r="D17" i="235"/>
  <c r="AO17" i="1" s="1"/>
  <c r="AY17" i="1" s="1"/>
  <c r="AZ17" i="1" s="1"/>
  <c r="D18" i="235"/>
  <c r="AO18" i="1" s="1"/>
  <c r="AY18" i="1" s="1"/>
  <c r="AZ18" i="1" s="1"/>
  <c r="D19" i="235"/>
  <c r="AO19" i="1" s="1"/>
  <c r="AY19" i="1" s="1"/>
  <c r="D20" i="235"/>
  <c r="AO20" i="1" s="1"/>
  <c r="AY20" i="1" s="1"/>
  <c r="AZ20" i="1" s="1"/>
  <c r="D21" i="235"/>
  <c r="AO21" i="1" s="1"/>
  <c r="AY21" i="1" s="1"/>
  <c r="AZ21" i="1" s="1"/>
  <c r="D22" i="235"/>
  <c r="AO22" i="1" s="1"/>
  <c r="AY22" i="1" s="1"/>
  <c r="AZ22" i="1" s="1"/>
  <c r="D23" i="235"/>
  <c r="AO23" i="1" s="1"/>
  <c r="AY23" i="1" s="1"/>
  <c r="AZ23" i="1" s="1"/>
  <c r="D24" i="235"/>
  <c r="AO24" i="1" s="1"/>
  <c r="AY24" i="1" s="1"/>
  <c r="AZ24" i="1" s="1"/>
  <c r="F30" i="235"/>
  <c r="N30" i="1" s="1"/>
  <c r="D21" i="69"/>
  <c r="Q10" i="69"/>
  <c r="A28" i="69"/>
  <c r="Q28" i="69" s="1"/>
  <c r="A27" i="69"/>
  <c r="Q27" i="69" s="1"/>
  <c r="A7" i="69"/>
  <c r="A26" i="69" s="1"/>
  <c r="Q26" i="69" s="1"/>
  <c r="A25" i="69"/>
  <c r="Q25" i="69" s="1"/>
  <c r="AO44" i="1"/>
  <c r="AY44" i="1" s="1"/>
  <c r="AZ44" i="1" s="1"/>
  <c r="AO43" i="1"/>
  <c r="AY43" i="1" s="1"/>
  <c r="AZ43" i="1" s="1"/>
  <c r="AO42" i="1"/>
  <c r="AY42" i="1" s="1"/>
  <c r="AZ42" i="1" s="1"/>
  <c r="AO41" i="1"/>
  <c r="AY41" i="1" s="1"/>
  <c r="AO40" i="1"/>
  <c r="AY40" i="1" s="1"/>
  <c r="AZ40" i="1" s="1"/>
  <c r="AO39" i="1"/>
  <c r="AY39" i="1" s="1"/>
  <c r="AZ39" i="1" s="1"/>
  <c r="AO38" i="1"/>
  <c r="AY38" i="1" s="1"/>
  <c r="AZ38" i="1" s="1"/>
  <c r="AO37" i="1"/>
  <c r="AY37" i="1" s="1"/>
  <c r="AZ37" i="1" s="1"/>
  <c r="AO36" i="1"/>
  <c r="AY36" i="1" s="1"/>
  <c r="AO35" i="1"/>
  <c r="AY35" i="1" s="1"/>
  <c r="AZ35" i="1" s="1"/>
  <c r="AO34" i="1"/>
  <c r="AY34" i="1" s="1"/>
  <c r="AO33" i="1"/>
  <c r="AY33" i="1" s="1"/>
  <c r="AZ33" i="1" s="1"/>
  <c r="AO32" i="1"/>
  <c r="AY32" i="1" s="1"/>
  <c r="AZ32" i="1" s="1"/>
  <c r="AO31" i="1"/>
  <c r="AY31" i="1" s="1"/>
  <c r="AZ31" i="1" s="1"/>
  <c r="AO30" i="1"/>
  <c r="AY30" i="1" s="1"/>
  <c r="AZ30" i="1" s="1"/>
  <c r="AO29" i="1"/>
  <c r="AY29" i="1" s="1"/>
  <c r="AZ29" i="1" s="1"/>
  <c r="AO28" i="1"/>
  <c r="AY28" i="1" s="1"/>
  <c r="AZ28" i="1" s="1"/>
  <c r="AO27" i="1"/>
  <c r="AY27" i="1" s="1"/>
  <c r="AO26" i="1"/>
  <c r="AY26" i="1" s="1"/>
  <c r="AZ26" i="1" s="1"/>
  <c r="AO25" i="1"/>
  <c r="AY25" i="1" s="1"/>
  <c r="B21" i="69"/>
  <c r="M21" i="69"/>
  <c r="G21" i="69"/>
  <c r="AC58"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60" i="4"/>
  <c r="AC59"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V71" i="4"/>
  <c r="V78" i="4"/>
  <c r="V64" i="4"/>
  <c r="AD3" i="20"/>
  <c r="AD4" i="20"/>
  <c r="AD5" i="20"/>
  <c r="AD6" i="20"/>
  <c r="AD7" i="20"/>
  <c r="AD8" i="20"/>
  <c r="AD9" i="20"/>
  <c r="AD10" i="20"/>
  <c r="AD11" i="20"/>
  <c r="AD12" i="20"/>
  <c r="AD13" i="20"/>
  <c r="AD14" i="20"/>
  <c r="AD15" i="20"/>
  <c r="AD16" i="20"/>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C350" i="151"/>
  <c r="C349" i="151"/>
  <c r="C348" i="151"/>
  <c r="C347" i="151"/>
  <c r="C346" i="151"/>
  <c r="C345" i="151"/>
  <c r="C344" i="151"/>
  <c r="C343" i="151"/>
  <c r="C342" i="151"/>
  <c r="C341" i="151"/>
  <c r="C340" i="151"/>
  <c r="C339" i="151"/>
  <c r="C338" i="151"/>
  <c r="C337" i="151"/>
  <c r="C336" i="151"/>
  <c r="C335" i="151"/>
  <c r="C334" i="151"/>
  <c r="C333" i="151"/>
  <c r="C332" i="151"/>
  <c r="C331" i="151"/>
  <c r="C330" i="151"/>
  <c r="C329" i="151"/>
  <c r="C328" i="151"/>
  <c r="C327" i="151"/>
  <c r="C326" i="151"/>
  <c r="C325" i="151"/>
  <c r="C324" i="151"/>
  <c r="C323" i="151"/>
  <c r="C322" i="151"/>
  <c r="C321" i="151"/>
  <c r="C320" i="151"/>
  <c r="C319" i="151"/>
  <c r="C318" i="151"/>
  <c r="C317" i="151"/>
  <c r="C316" i="151"/>
  <c r="C315" i="151"/>
  <c r="C314" i="151"/>
  <c r="C313" i="151"/>
  <c r="C312" i="151"/>
  <c r="C311" i="151"/>
  <c r="C310" i="151"/>
  <c r="C309" i="151"/>
  <c r="C308" i="151"/>
  <c r="C307" i="151"/>
  <c r="C306" i="151"/>
  <c r="C305" i="151"/>
  <c r="C304" i="151"/>
  <c r="C303" i="151"/>
  <c r="C302" i="151"/>
  <c r="C301" i="151"/>
  <c r="C300" i="151"/>
  <c r="C299" i="151"/>
  <c r="C298" i="151"/>
  <c r="C297" i="151"/>
  <c r="C296" i="151"/>
  <c r="C295" i="151"/>
  <c r="C294" i="151"/>
  <c r="C293" i="151"/>
  <c r="C292" i="151"/>
  <c r="C291" i="151"/>
  <c r="C290" i="151"/>
  <c r="C289" i="151"/>
  <c r="C288" i="151"/>
  <c r="C287" i="151"/>
  <c r="C286" i="151"/>
  <c r="C285" i="151"/>
  <c r="C284" i="151"/>
  <c r="C283" i="151"/>
  <c r="C282" i="151"/>
  <c r="C281" i="151"/>
  <c r="C280" i="151"/>
  <c r="C279" i="151"/>
  <c r="C278" i="151"/>
  <c r="C277" i="151"/>
  <c r="C276" i="151"/>
  <c r="C275" i="151"/>
  <c r="C274" i="151"/>
  <c r="C273" i="151"/>
  <c r="C272" i="151"/>
  <c r="C271" i="151"/>
  <c r="C270" i="151"/>
  <c r="C269" i="151"/>
  <c r="C268" i="151"/>
  <c r="C267" i="151"/>
  <c r="C257" i="151"/>
  <c r="C256" i="151"/>
  <c r="C255" i="151"/>
  <c r="C254" i="151"/>
  <c r="C253" i="151"/>
  <c r="C252" i="151"/>
  <c r="C251" i="151"/>
  <c r="C250" i="151"/>
  <c r="C249" i="151"/>
  <c r="C248" i="151"/>
  <c r="C247" i="151"/>
  <c r="C246" i="151"/>
  <c r="C245" i="151"/>
  <c r="C244" i="151"/>
  <c r="C243" i="151"/>
  <c r="C242" i="151"/>
  <c r="C241" i="151"/>
  <c r="C240" i="151"/>
  <c r="C239" i="151"/>
  <c r="C238" i="151"/>
  <c r="C237" i="151"/>
  <c r="C236" i="151"/>
  <c r="C235" i="151"/>
  <c r="C234" i="151"/>
  <c r="C233" i="151"/>
  <c r="C232" i="151"/>
  <c r="C231" i="151"/>
  <c r="C230" i="151"/>
  <c r="C229" i="151"/>
  <c r="C228" i="151"/>
  <c r="C227" i="151"/>
  <c r="C226" i="151"/>
  <c r="C225" i="151"/>
  <c r="C224" i="151"/>
  <c r="C223" i="151"/>
  <c r="C222" i="151"/>
  <c r="C221" i="151"/>
  <c r="C220" i="151"/>
  <c r="C219" i="151"/>
  <c r="C218" i="151"/>
  <c r="C217" i="151"/>
  <c r="C216" i="151"/>
  <c r="C215" i="151"/>
  <c r="C214" i="151"/>
  <c r="C213" i="151"/>
  <c r="C212" i="151"/>
  <c r="C211" i="151"/>
  <c r="C210" i="151"/>
  <c r="C209" i="151"/>
  <c r="C208" i="151"/>
  <c r="C207" i="151"/>
  <c r="C206" i="151"/>
  <c r="C205" i="151"/>
  <c r="C204" i="151"/>
  <c r="C203" i="151"/>
  <c r="C202" i="151"/>
  <c r="C201" i="151"/>
  <c r="C200" i="151"/>
  <c r="C199" i="151"/>
  <c r="C198" i="151"/>
  <c r="C197" i="151"/>
  <c r="C196" i="151"/>
  <c r="C195" i="151"/>
  <c r="C194" i="151"/>
  <c r="C193" i="151"/>
  <c r="C192" i="151"/>
  <c r="C191" i="151"/>
  <c r="C190" i="151"/>
  <c r="C189" i="151"/>
  <c r="C188" i="151"/>
  <c r="C187" i="151"/>
  <c r="C186" i="151"/>
  <c r="C185" i="151"/>
  <c r="C184" i="151"/>
  <c r="C183" i="151"/>
  <c r="C182" i="151"/>
  <c r="C181" i="151"/>
  <c r="C180" i="151"/>
  <c r="C179" i="151"/>
  <c r="C178" i="151"/>
  <c r="C177" i="151"/>
  <c r="C176" i="151"/>
  <c r="C175" i="151"/>
  <c r="C174" i="151"/>
  <c r="C173" i="151"/>
  <c r="C172" i="151"/>
  <c r="C171" i="151"/>
  <c r="C170" i="151"/>
  <c r="C169" i="151"/>
  <c r="C168" i="151"/>
  <c r="C167" i="151"/>
  <c r="C166" i="151"/>
  <c r="C165" i="151"/>
  <c r="C164" i="151"/>
  <c r="C163" i="151"/>
  <c r="C162" i="151"/>
  <c r="C161" i="151"/>
  <c r="C160" i="151"/>
  <c r="C159" i="151"/>
  <c r="C158" i="151"/>
  <c r="C157" i="151"/>
  <c r="C156" i="151"/>
  <c r="C155" i="151"/>
  <c r="C154" i="151"/>
  <c r="C153" i="151"/>
  <c r="C152" i="151"/>
  <c r="C151" i="151"/>
  <c r="C150" i="151"/>
  <c r="C149" i="151"/>
  <c r="C148" i="151"/>
  <c r="C147" i="151"/>
  <c r="C146" i="151"/>
  <c r="C145" i="151"/>
  <c r="C144" i="151"/>
  <c r="C143" i="151"/>
  <c r="C142" i="151"/>
  <c r="C141" i="151"/>
  <c r="C140" i="151"/>
  <c r="C139" i="151"/>
  <c r="C138" i="151"/>
  <c r="C137" i="151"/>
  <c r="C136" i="151"/>
  <c r="C135" i="151"/>
  <c r="C134" i="151"/>
  <c r="C133" i="151"/>
  <c r="C132" i="151"/>
  <c r="C131" i="151"/>
  <c r="C130" i="151"/>
  <c r="C129" i="151"/>
  <c r="C128" i="151"/>
  <c r="C127" i="151"/>
  <c r="C126" i="151"/>
  <c r="C125" i="151"/>
  <c r="C124" i="151"/>
  <c r="C123" i="151"/>
  <c r="C122" i="151"/>
  <c r="C121" i="151"/>
  <c r="C120" i="151"/>
  <c r="C119" i="151"/>
  <c r="C118" i="151"/>
  <c r="C117" i="151"/>
  <c r="C116" i="151"/>
  <c r="C115" i="151"/>
  <c r="C114" i="151"/>
  <c r="C113" i="151"/>
  <c r="C112" i="151"/>
  <c r="C111" i="151"/>
  <c r="C110" i="151"/>
  <c r="C109" i="151"/>
  <c r="C108" i="151"/>
  <c r="C107" i="151"/>
  <c r="C106" i="151"/>
  <c r="C105" i="151"/>
  <c r="C104" i="151"/>
  <c r="C103" i="151"/>
  <c r="C102" i="151"/>
  <c r="C101" i="151"/>
  <c r="C100" i="151"/>
  <c r="C99" i="151"/>
  <c r="C98" i="151"/>
  <c r="C97" i="151"/>
  <c r="C96" i="151"/>
  <c r="C95" i="151"/>
  <c r="C94" i="151"/>
  <c r="C93" i="151"/>
  <c r="C83" i="151"/>
  <c r="C82" i="151"/>
  <c r="C81" i="151"/>
  <c r="C80" i="151"/>
  <c r="C79" i="151"/>
  <c r="C78" i="151"/>
  <c r="C77" i="151"/>
  <c r="C76" i="151"/>
  <c r="C75" i="151"/>
  <c r="C74" i="151"/>
  <c r="C73" i="151"/>
  <c r="C72" i="151"/>
  <c r="C71" i="151"/>
  <c r="C70" i="151"/>
  <c r="C69" i="151"/>
  <c r="C68" i="151"/>
  <c r="C67" i="151"/>
  <c r="C66" i="151"/>
  <c r="C65" i="151"/>
  <c r="C64" i="151"/>
  <c r="C63" i="151"/>
  <c r="C62" i="151"/>
  <c r="C61" i="151"/>
  <c r="C60" i="151"/>
  <c r="C59" i="151"/>
  <c r="C58" i="151"/>
  <c r="C57" i="151"/>
  <c r="C56" i="151"/>
  <c r="C55" i="151"/>
  <c r="C54" i="151"/>
  <c r="C53" i="151"/>
  <c r="C52" i="151"/>
  <c r="C51" i="151"/>
  <c r="C50" i="151"/>
  <c r="C49" i="151"/>
  <c r="C48" i="151"/>
  <c r="C47" i="151"/>
  <c r="C46" i="151"/>
  <c r="C45" i="151"/>
  <c r="C44" i="151"/>
  <c r="C43" i="151"/>
  <c r="C42" i="151"/>
  <c r="C41" i="151"/>
  <c r="C40" i="151"/>
  <c r="C39" i="151"/>
  <c r="C38" i="151"/>
  <c r="C37" i="151"/>
  <c r="C36" i="151"/>
  <c r="C35" i="151"/>
  <c r="C34" i="151"/>
  <c r="C33" i="151"/>
  <c r="C32" i="151"/>
  <c r="C31" i="151"/>
  <c r="C30" i="151"/>
  <c r="C29" i="151"/>
  <c r="C28" i="151"/>
  <c r="C27" i="151"/>
  <c r="C26" i="151"/>
  <c r="C25" i="151"/>
  <c r="C24" i="151"/>
  <c r="C23" i="151"/>
  <c r="C22" i="151"/>
  <c r="C21" i="151"/>
  <c r="C20" i="151"/>
  <c r="C19" i="151"/>
  <c r="C18" i="151"/>
  <c r="C17" i="151"/>
  <c r="C16" i="151"/>
  <c r="C15" i="151"/>
  <c r="C14" i="151"/>
  <c r="C13" i="151"/>
  <c r="C12" i="151"/>
  <c r="C11" i="151"/>
  <c r="C10" i="151"/>
  <c r="C9" i="151"/>
  <c r="C8" i="151"/>
  <c r="C7" i="151"/>
  <c r="C6" i="151"/>
  <c r="C5" i="151"/>
  <c r="C4" i="151"/>
  <c r="C3" i="151"/>
  <c r="B350" i="151"/>
  <c r="B349" i="151"/>
  <c r="B348" i="151"/>
  <c r="B347" i="151"/>
  <c r="B346" i="151"/>
  <c r="B345" i="151"/>
  <c r="B344" i="151"/>
  <c r="B343" i="151"/>
  <c r="B342" i="151"/>
  <c r="B341" i="151"/>
  <c r="B340" i="151"/>
  <c r="B339" i="151"/>
  <c r="B338" i="151"/>
  <c r="B337" i="151"/>
  <c r="B336" i="151"/>
  <c r="B335" i="151"/>
  <c r="B334" i="151"/>
  <c r="B333" i="151"/>
  <c r="B332" i="151"/>
  <c r="B331" i="151"/>
  <c r="B330" i="151"/>
  <c r="B329" i="151"/>
  <c r="B328" i="151"/>
  <c r="B327" i="151"/>
  <c r="B326" i="151"/>
  <c r="B325" i="151"/>
  <c r="B324" i="151"/>
  <c r="B323" i="151"/>
  <c r="B322" i="151"/>
  <c r="B321" i="151"/>
  <c r="B320" i="151"/>
  <c r="B319" i="151"/>
  <c r="B318" i="151"/>
  <c r="B317" i="151"/>
  <c r="B316" i="151"/>
  <c r="B315" i="151"/>
  <c r="B314" i="151"/>
  <c r="B313" i="151"/>
  <c r="B312" i="151"/>
  <c r="B311" i="151"/>
  <c r="B310" i="151"/>
  <c r="B309" i="151"/>
  <c r="B308" i="151"/>
  <c r="B307" i="151"/>
  <c r="B306" i="151"/>
  <c r="B305" i="151"/>
  <c r="B304" i="151"/>
  <c r="B303" i="151"/>
  <c r="B302" i="151"/>
  <c r="B301" i="151"/>
  <c r="B300" i="151"/>
  <c r="B299" i="151"/>
  <c r="B298" i="151"/>
  <c r="B297" i="151"/>
  <c r="B296" i="151"/>
  <c r="B295" i="151"/>
  <c r="B294" i="151"/>
  <c r="B293" i="151"/>
  <c r="B292" i="151"/>
  <c r="B291" i="151"/>
  <c r="B290" i="151"/>
  <c r="B289" i="151"/>
  <c r="B288" i="151"/>
  <c r="B287" i="151"/>
  <c r="B286" i="151"/>
  <c r="B285" i="151"/>
  <c r="B284" i="151"/>
  <c r="B283" i="151"/>
  <c r="B282" i="151"/>
  <c r="B281" i="151"/>
  <c r="B280" i="151"/>
  <c r="B279" i="151"/>
  <c r="B278" i="151"/>
  <c r="B277" i="151"/>
  <c r="B276" i="151"/>
  <c r="B275" i="151"/>
  <c r="B274" i="151"/>
  <c r="B273" i="151"/>
  <c r="B272" i="151"/>
  <c r="B271" i="151"/>
  <c r="B270" i="151"/>
  <c r="B269" i="151"/>
  <c r="B268" i="151"/>
  <c r="B267" i="151"/>
  <c r="B266" i="151"/>
  <c r="B265" i="151"/>
  <c r="B264" i="151"/>
  <c r="B263" i="151"/>
  <c r="B262" i="151"/>
  <c r="B261" i="151"/>
  <c r="B260" i="151"/>
  <c r="B259" i="151"/>
  <c r="B258" i="151"/>
  <c r="B257" i="151"/>
  <c r="B256" i="151"/>
  <c r="B255" i="151"/>
  <c r="B254" i="151"/>
  <c r="B253" i="151"/>
  <c r="B252" i="151"/>
  <c r="B251" i="151"/>
  <c r="B250" i="151"/>
  <c r="B249" i="151"/>
  <c r="B248" i="151"/>
  <c r="B247" i="151"/>
  <c r="B246" i="151"/>
  <c r="B245" i="151"/>
  <c r="B244" i="151"/>
  <c r="B243" i="151"/>
  <c r="B242" i="151"/>
  <c r="B241" i="151"/>
  <c r="B240" i="151"/>
  <c r="B239" i="151"/>
  <c r="B238" i="151"/>
  <c r="B237" i="151"/>
  <c r="B236" i="151"/>
  <c r="B235" i="151"/>
  <c r="B234" i="151"/>
  <c r="B233" i="151"/>
  <c r="B232" i="151"/>
  <c r="B231" i="151"/>
  <c r="B230" i="151"/>
  <c r="B229" i="151"/>
  <c r="B228" i="151"/>
  <c r="B227" i="151"/>
  <c r="B226" i="151"/>
  <c r="B225" i="151"/>
  <c r="B224" i="151"/>
  <c r="B223" i="151"/>
  <c r="B222" i="151"/>
  <c r="B221" i="151"/>
  <c r="B220" i="151"/>
  <c r="B219" i="151"/>
  <c r="B218" i="151"/>
  <c r="B217" i="151"/>
  <c r="B216" i="151"/>
  <c r="B215" i="151"/>
  <c r="B214" i="151"/>
  <c r="B213" i="151"/>
  <c r="B212" i="151"/>
  <c r="B211" i="151"/>
  <c r="B210" i="151"/>
  <c r="B209" i="151"/>
  <c r="B208" i="151"/>
  <c r="B207" i="151"/>
  <c r="B206" i="151"/>
  <c r="B205" i="151"/>
  <c r="B204" i="151"/>
  <c r="B203" i="151"/>
  <c r="B202" i="151"/>
  <c r="B201" i="151"/>
  <c r="B200" i="151"/>
  <c r="B199" i="151"/>
  <c r="B198" i="151"/>
  <c r="B197" i="151"/>
  <c r="B196" i="151"/>
  <c r="B195" i="151"/>
  <c r="B194" i="151"/>
  <c r="B193" i="151"/>
  <c r="B192" i="151"/>
  <c r="B191" i="151"/>
  <c r="B190" i="151"/>
  <c r="B189" i="151"/>
  <c r="B188" i="151"/>
  <c r="B187" i="151"/>
  <c r="B186" i="151"/>
  <c r="B185" i="151"/>
  <c r="B184" i="151"/>
  <c r="B183" i="151"/>
  <c r="B182" i="151"/>
  <c r="B181" i="151"/>
  <c r="B180" i="151"/>
  <c r="B179" i="151"/>
  <c r="B178" i="151"/>
  <c r="B177" i="151"/>
  <c r="B176" i="151"/>
  <c r="B175" i="151"/>
  <c r="B174" i="151"/>
  <c r="B173" i="151"/>
  <c r="B172" i="151"/>
  <c r="B171" i="151"/>
  <c r="B170" i="151"/>
  <c r="B169" i="151"/>
  <c r="B168" i="151"/>
  <c r="B167" i="151"/>
  <c r="B166" i="151"/>
  <c r="B165" i="151"/>
  <c r="B164" i="151"/>
  <c r="B163" i="151"/>
  <c r="B162" i="151"/>
  <c r="B161" i="151"/>
  <c r="B160" i="151"/>
  <c r="B159" i="151"/>
  <c r="B158" i="151"/>
  <c r="B157" i="151"/>
  <c r="B156" i="151"/>
  <c r="B155" i="151"/>
  <c r="B154" i="151"/>
  <c r="B153" i="151"/>
  <c r="B152" i="151"/>
  <c r="B151" i="151"/>
  <c r="B150" i="151"/>
  <c r="B149" i="151"/>
  <c r="B148" i="151"/>
  <c r="B147" i="151"/>
  <c r="B146" i="151"/>
  <c r="B145" i="151"/>
  <c r="B144" i="151"/>
  <c r="B143" i="151"/>
  <c r="B142" i="151"/>
  <c r="B141" i="151"/>
  <c r="B140" i="151"/>
  <c r="B139" i="151"/>
  <c r="B138" i="151"/>
  <c r="B137" i="151"/>
  <c r="B136" i="151"/>
  <c r="B135" i="151"/>
  <c r="B134" i="151"/>
  <c r="B133" i="151"/>
  <c r="B132" i="151"/>
  <c r="B131" i="151"/>
  <c r="B130" i="151"/>
  <c r="B129" i="151"/>
  <c r="B128" i="151"/>
  <c r="B127" i="151"/>
  <c r="B126" i="151"/>
  <c r="B125" i="151"/>
  <c r="B124" i="151"/>
  <c r="B123" i="151"/>
  <c r="B122" i="151"/>
  <c r="B121" i="151"/>
  <c r="B120" i="151"/>
  <c r="B119" i="151"/>
  <c r="B118" i="151"/>
  <c r="B117" i="151"/>
  <c r="B116" i="151"/>
  <c r="B115" i="151"/>
  <c r="B114" i="151"/>
  <c r="B113" i="151"/>
  <c r="B112" i="151"/>
  <c r="B111" i="151"/>
  <c r="B110" i="151"/>
  <c r="B109" i="151"/>
  <c r="B108" i="151"/>
  <c r="B107" i="151"/>
  <c r="B106" i="151"/>
  <c r="B105" i="151"/>
  <c r="B104" i="151"/>
  <c r="B103" i="151"/>
  <c r="B102" i="151"/>
  <c r="B101" i="151"/>
  <c r="B100" i="151"/>
  <c r="B99" i="151"/>
  <c r="B98" i="151"/>
  <c r="B97" i="151"/>
  <c r="B96" i="151"/>
  <c r="B95" i="151"/>
  <c r="B94" i="151"/>
  <c r="B93" i="151"/>
  <c r="B92" i="151"/>
  <c r="B91" i="151"/>
  <c r="B90" i="151"/>
  <c r="B89" i="151"/>
  <c r="B88" i="151"/>
  <c r="B87" i="151"/>
  <c r="B86" i="151"/>
  <c r="B85" i="151"/>
  <c r="B84" i="151"/>
  <c r="B83" i="151"/>
  <c r="B82" i="151"/>
  <c r="B81" i="151"/>
  <c r="B80" i="151"/>
  <c r="B79" i="151"/>
  <c r="B78" i="151"/>
  <c r="B77" i="151"/>
  <c r="B76" i="151"/>
  <c r="B75" i="151"/>
  <c r="B74" i="151"/>
  <c r="B73" i="151"/>
  <c r="B72" i="151"/>
  <c r="B71" i="151"/>
  <c r="B70" i="151"/>
  <c r="B69" i="151"/>
  <c r="B68" i="151"/>
  <c r="B67" i="151"/>
  <c r="B66" i="151"/>
  <c r="B65" i="151"/>
  <c r="B64" i="151"/>
  <c r="B63" i="151"/>
  <c r="B62" i="151"/>
  <c r="B61" i="151"/>
  <c r="B60" i="151"/>
  <c r="B59" i="151"/>
  <c r="B58" i="151"/>
  <c r="B57" i="151"/>
  <c r="B56" i="151"/>
  <c r="B55" i="151"/>
  <c r="B54" i="151"/>
  <c r="B53" i="151"/>
  <c r="B52" i="151"/>
  <c r="B51" i="151"/>
  <c r="B50" i="151"/>
  <c r="B49" i="151"/>
  <c r="B48" i="151"/>
  <c r="B47" i="151"/>
  <c r="B46" i="151"/>
  <c r="B45" i="151"/>
  <c r="B44" i="151"/>
  <c r="B43" i="151"/>
  <c r="B42" i="151"/>
  <c r="B41" i="151"/>
  <c r="B40" i="151"/>
  <c r="B39" i="151"/>
  <c r="B38" i="151"/>
  <c r="B37" i="151"/>
  <c r="B36" i="151"/>
  <c r="B35" i="151"/>
  <c r="B34" i="151"/>
  <c r="B33" i="151"/>
  <c r="B32" i="151"/>
  <c r="B31" i="151"/>
  <c r="B30" i="151"/>
  <c r="B29" i="151"/>
  <c r="B28" i="151"/>
  <c r="B27" i="151"/>
  <c r="B26" i="151"/>
  <c r="B25" i="151"/>
  <c r="B24" i="151"/>
  <c r="B23" i="151"/>
  <c r="B22" i="151"/>
  <c r="B21" i="151"/>
  <c r="B20" i="151"/>
  <c r="B19" i="151"/>
  <c r="B18" i="151"/>
  <c r="B17" i="151"/>
  <c r="B16" i="151"/>
  <c r="B15" i="151"/>
  <c r="B14" i="151"/>
  <c r="B13" i="151"/>
  <c r="B12" i="151"/>
  <c r="B11" i="151"/>
  <c r="B10" i="151"/>
  <c r="B9" i="151"/>
  <c r="B8" i="151"/>
  <c r="B7" i="151"/>
  <c r="B6" i="151"/>
  <c r="B5" i="151"/>
  <c r="B4" i="151"/>
  <c r="B3" i="151"/>
  <c r="A22" i="69"/>
  <c r="Q22" i="69" s="1"/>
  <c r="A42" i="69"/>
  <c r="Q42" i="69" s="1"/>
  <c r="Q12" i="69"/>
  <c r="A51" i="69"/>
  <c r="Q51" i="69" s="1"/>
  <c r="A52" i="69"/>
  <c r="Q52" i="69" s="1"/>
  <c r="A17" i="69"/>
  <c r="A36" i="69" s="1"/>
  <c r="B18" i="69"/>
  <c r="C18" i="69"/>
  <c r="D18" i="69"/>
  <c r="E18" i="69"/>
  <c r="F18" i="69"/>
  <c r="G18" i="69"/>
  <c r="H18" i="69"/>
  <c r="I18" i="69"/>
  <c r="J18" i="69"/>
  <c r="K18" i="69"/>
  <c r="L18" i="69"/>
  <c r="M18" i="69"/>
  <c r="N18" i="69"/>
  <c r="O18" i="69"/>
  <c r="P18" i="69"/>
  <c r="C21" i="69"/>
  <c r="E21" i="69"/>
  <c r="F21" i="69"/>
  <c r="H21" i="69"/>
  <c r="I21" i="69"/>
  <c r="J21" i="69"/>
  <c r="K21" i="69"/>
  <c r="L21" i="69"/>
  <c r="N21" i="69"/>
  <c r="O21" i="69"/>
  <c r="P21" i="69"/>
  <c r="B37" i="69"/>
  <c r="C37" i="69"/>
  <c r="D37" i="69"/>
  <c r="E37" i="69"/>
  <c r="F37" i="69"/>
  <c r="G37" i="69"/>
  <c r="H37" i="69"/>
  <c r="I37" i="69"/>
  <c r="J37" i="69"/>
  <c r="K37" i="69"/>
  <c r="L37" i="69"/>
  <c r="M37" i="69"/>
  <c r="N37" i="69"/>
  <c r="O37" i="69"/>
  <c r="P37" i="69"/>
  <c r="B40" i="69"/>
  <c r="C40" i="69"/>
  <c r="D40" i="69"/>
  <c r="E40" i="69"/>
  <c r="F40" i="69"/>
  <c r="G40" i="69"/>
  <c r="H40" i="69"/>
  <c r="I40" i="69"/>
  <c r="J40" i="69"/>
  <c r="K40" i="69"/>
  <c r="L40" i="69"/>
  <c r="M40" i="69"/>
  <c r="N40" i="69"/>
  <c r="O40" i="69"/>
  <c r="P40" i="69"/>
  <c r="B56" i="69"/>
  <c r="C56" i="69"/>
  <c r="D56" i="69"/>
  <c r="E56" i="69"/>
  <c r="F56" i="69"/>
  <c r="G56" i="69"/>
  <c r="H56" i="69"/>
  <c r="I56" i="69"/>
  <c r="J56" i="69"/>
  <c r="K56" i="69"/>
  <c r="L56" i="69"/>
  <c r="M56" i="69"/>
  <c r="N56" i="69"/>
  <c r="O56" i="69"/>
  <c r="P56" i="69"/>
  <c r="D3" i="219" a="1"/>
  <c r="E3" i="223" a="1"/>
  <c r="C3" i="219" a="1"/>
  <c r="AC77" i="4" l="1"/>
  <c r="AC15" i="1"/>
  <c r="AC63" i="4"/>
  <c r="AC13" i="1"/>
  <c r="AC72" i="4"/>
  <c r="AC14" i="1"/>
  <c r="J31" i="235"/>
  <c r="J11" i="235"/>
  <c r="J39" i="235"/>
  <c r="J19" i="235"/>
  <c r="J26" i="235"/>
  <c r="J6" i="235"/>
  <c r="J10" i="235"/>
  <c r="J30" i="235"/>
  <c r="J38" i="235"/>
  <c r="J18" i="235"/>
  <c r="J24" i="235"/>
  <c r="J44" i="235"/>
  <c r="J27" i="235"/>
  <c r="J7" i="235"/>
  <c r="J25" i="235"/>
  <c r="J5" i="235"/>
  <c r="J29" i="235"/>
  <c r="J9" i="235"/>
  <c r="J37" i="235"/>
  <c r="J17" i="235"/>
  <c r="J41" i="235"/>
  <c r="J21" i="235"/>
  <c r="J28" i="235"/>
  <c r="J8" i="235"/>
  <c r="J42" i="235"/>
  <c r="J22" i="235"/>
  <c r="J32" i="235"/>
  <c r="J12" i="235"/>
  <c r="J16" i="235"/>
  <c r="J36" i="235"/>
  <c r="J40" i="235"/>
  <c r="J20" i="235"/>
  <c r="J43" i="235"/>
  <c r="J23" i="235"/>
  <c r="G6" i="252"/>
  <c r="H6" i="252"/>
  <c r="F6" i="252"/>
  <c r="E6" i="252"/>
  <c r="C6" i="252"/>
  <c r="D6" i="252"/>
  <c r="J6" i="252"/>
  <c r="I6" i="252"/>
  <c r="AY66" i="1"/>
  <c r="AY65" i="1"/>
  <c r="AY63" i="1"/>
  <c r="AZ19" i="1"/>
  <c r="AY74" i="1"/>
  <c r="AY73" i="1"/>
  <c r="AY71" i="1"/>
  <c r="AZ27" i="1"/>
  <c r="AY82" i="1"/>
  <c r="AY79" i="1" s="1"/>
  <c r="AZ36" i="1"/>
  <c r="AY60" i="1"/>
  <c r="AY57" i="1" s="1"/>
  <c r="AZ16" i="1"/>
  <c r="AY59" i="1"/>
  <c r="AY58" i="1"/>
  <c r="AY56" i="1"/>
  <c r="AZ12" i="1"/>
  <c r="AY96" i="1"/>
  <c r="AY93" i="1" s="1"/>
  <c r="AY49" i="1"/>
  <c r="AY95" i="1"/>
  <c r="AY53" i="1"/>
  <c r="AY50" i="1" s="1"/>
  <c r="AY87" i="1" s="1"/>
  <c r="AY94" i="1"/>
  <c r="AY52" i="1"/>
  <c r="AY92" i="1"/>
  <c r="AY67" i="1"/>
  <c r="AY64" i="1" s="1"/>
  <c r="AY51" i="1"/>
  <c r="AZ5" i="1"/>
  <c r="AY89" i="1"/>
  <c r="AY75" i="1"/>
  <c r="AY72" i="1" s="1"/>
  <c r="AZ25" i="1"/>
  <c r="AZ41" i="1"/>
  <c r="AY81" i="1"/>
  <c r="AY80" i="1"/>
  <c r="AY78" i="1"/>
  <c r="AZ34" i="1"/>
  <c r="AR7" i="1"/>
  <c r="AR23" i="1"/>
  <c r="AR37" i="1"/>
  <c r="AT37" i="1" s="1"/>
  <c r="AW37" i="1" s="1"/>
  <c r="AR8" i="1"/>
  <c r="AR12" i="1"/>
  <c r="AR16" i="1"/>
  <c r="AR20" i="1"/>
  <c r="AR24" i="1"/>
  <c r="AR28" i="1"/>
  <c r="AT28" i="1" s="1"/>
  <c r="AW28" i="1" s="1"/>
  <c r="AR32" i="1"/>
  <c r="AT32" i="1" s="1"/>
  <c r="AW32" i="1" s="1"/>
  <c r="AR38" i="1"/>
  <c r="AT38" i="1" s="1"/>
  <c r="AW38" i="1" s="1"/>
  <c r="AR42" i="1"/>
  <c r="AT42" i="1" s="1"/>
  <c r="AW42" i="1" s="1"/>
  <c r="I25" i="235"/>
  <c r="N25" i="235"/>
  <c r="M5" i="235"/>
  <c r="H5" i="235"/>
  <c r="N6" i="235"/>
  <c r="I6" i="235"/>
  <c r="AR11" i="1"/>
  <c r="AR19" i="1"/>
  <c r="AR31" i="1"/>
  <c r="AT31" i="1" s="1"/>
  <c r="AW31" i="1" s="1"/>
  <c r="M6" i="235"/>
  <c r="H6" i="235"/>
  <c r="AR5" i="1"/>
  <c r="AR9" i="1"/>
  <c r="AR13" i="1"/>
  <c r="AR17" i="1"/>
  <c r="AR21" i="1"/>
  <c r="AR25" i="1"/>
  <c r="AT25" i="1" s="1"/>
  <c r="AW25" i="1" s="1"/>
  <c r="AQ25" i="1"/>
  <c r="V22" i="248" s="1"/>
  <c r="AR29" i="1"/>
  <c r="AT29" i="1" s="1"/>
  <c r="AW29" i="1" s="1"/>
  <c r="AR33" i="1"/>
  <c r="AT33" i="1" s="1"/>
  <c r="AW33" i="1" s="1"/>
  <c r="AR39" i="1"/>
  <c r="AT39" i="1" s="1"/>
  <c r="AW39" i="1" s="1"/>
  <c r="AR43" i="1"/>
  <c r="AT43" i="1" s="1"/>
  <c r="AW43" i="1" s="1"/>
  <c r="I26" i="235"/>
  <c r="N26" i="235"/>
  <c r="N5" i="235"/>
  <c r="I5" i="235"/>
  <c r="C5" i="270" s="1"/>
  <c r="AR27" i="1"/>
  <c r="AT27" i="1" s="1"/>
  <c r="AW27" i="1" s="1"/>
  <c r="AR41" i="1"/>
  <c r="AT41" i="1" s="1"/>
  <c r="AW41" i="1" s="1"/>
  <c r="H26" i="235"/>
  <c r="M26" i="235"/>
  <c r="AR6" i="1"/>
  <c r="AR10" i="1"/>
  <c r="AR14" i="1"/>
  <c r="AR18" i="1"/>
  <c r="AR22" i="1"/>
  <c r="AR26" i="1"/>
  <c r="AT26" i="1" s="1"/>
  <c r="AW26" i="1" s="1"/>
  <c r="AR30" i="1"/>
  <c r="AT30" i="1" s="1"/>
  <c r="AW30" i="1" s="1"/>
  <c r="AR34" i="1"/>
  <c r="AT34" i="1" s="1"/>
  <c r="AW34" i="1" s="1"/>
  <c r="AR40" i="1"/>
  <c r="AT40" i="1" s="1"/>
  <c r="AW40" i="1" s="1"/>
  <c r="AR44" i="1"/>
  <c r="AT44" i="1" s="1"/>
  <c r="AW44" i="1" s="1"/>
  <c r="H25" i="235"/>
  <c r="B20" i="270" s="1"/>
  <c r="M25" i="235"/>
  <c r="L3" i="251"/>
  <c r="J3" i="251"/>
  <c r="K3" i="251" s="1"/>
  <c r="H4" i="252"/>
  <c r="G4" i="252"/>
  <c r="AE21" i="1"/>
  <c r="AG21" i="1" s="1"/>
  <c r="C11" i="252"/>
  <c r="D11" i="252"/>
  <c r="AE23" i="1"/>
  <c r="AG23" i="1" s="1"/>
  <c r="AE26" i="1"/>
  <c r="AG26" i="1" s="1"/>
  <c r="AE43" i="1"/>
  <c r="D5" i="252"/>
  <c r="C5" i="252"/>
  <c r="AE22" i="1"/>
  <c r="AG22" i="1" s="1"/>
  <c r="G11" i="252"/>
  <c r="H11" i="252"/>
  <c r="J5" i="252"/>
  <c r="I5" i="252"/>
  <c r="L22" i="251"/>
  <c r="J22" i="251"/>
  <c r="K22" i="251" s="1"/>
  <c r="AE7" i="1"/>
  <c r="AG7" i="1" s="1"/>
  <c r="AE27" i="1"/>
  <c r="AG27" i="1" s="1"/>
  <c r="AE32" i="1"/>
  <c r="AG32" i="1" s="1"/>
  <c r="AE37" i="1"/>
  <c r="AG37" i="1" s="1"/>
  <c r="AE44" i="1"/>
  <c r="AG44" i="1" s="1"/>
  <c r="C3" i="252"/>
  <c r="D3" i="252"/>
  <c r="G5" i="252"/>
  <c r="H5" i="252"/>
  <c r="AE12" i="1"/>
  <c r="AG12" i="1" s="1"/>
  <c r="AE28" i="1"/>
  <c r="AG28" i="1" s="1"/>
  <c r="J4" i="252"/>
  <c r="I4" i="252"/>
  <c r="F5" i="252"/>
  <c r="E5" i="252"/>
  <c r="C4" i="252"/>
  <c r="D4" i="252"/>
  <c r="AE18" i="1"/>
  <c r="AG18" i="1" s="1"/>
  <c r="AE42" i="1"/>
  <c r="F3" i="252"/>
  <c r="E3" i="252"/>
  <c r="AE8" i="1"/>
  <c r="AG8" i="1" s="1"/>
  <c r="I3" i="252"/>
  <c r="J3" i="252"/>
  <c r="H3" i="252"/>
  <c r="G3" i="252"/>
  <c r="AE35" i="1"/>
  <c r="AG35" i="1" s="1"/>
  <c r="AE19" i="1"/>
  <c r="AG19" i="1" s="1"/>
  <c r="AE17" i="1"/>
  <c r="AG17" i="1" s="1"/>
  <c r="AE29" i="1"/>
  <c r="AG29" i="1" s="1"/>
  <c r="AE34" i="1"/>
  <c r="AG34" i="1" s="1"/>
  <c r="F4" i="252"/>
  <c r="E4" i="252"/>
  <c r="AE36" i="1"/>
  <c r="AE25" i="1"/>
  <c r="AE5" i="1"/>
  <c r="L25" i="1"/>
  <c r="M25" i="1"/>
  <c r="AP15" i="1"/>
  <c r="A33" i="69"/>
  <c r="Q33" i="69" s="1"/>
  <c r="A29" i="69"/>
  <c r="Q29" i="69" s="1"/>
  <c r="AC75" i="4"/>
  <c r="A55" i="69"/>
  <c r="Q55" i="69" s="1"/>
  <c r="A41" i="69"/>
  <c r="Q41" i="69" s="1"/>
  <c r="A23" i="69"/>
  <c r="Q14" i="69"/>
  <c r="AC81" i="4"/>
  <c r="AC73" i="4"/>
  <c r="AC65" i="4"/>
  <c r="A46" i="69"/>
  <c r="Q46" i="69" s="1"/>
  <c r="Q8" i="69"/>
  <c r="AC76" i="4"/>
  <c r="AC66" i="4"/>
  <c r="AC80" i="4"/>
  <c r="AC68" i="4"/>
  <c r="Q4" i="69"/>
  <c r="AC62" i="4"/>
  <c r="AC64" i="4"/>
  <c r="Q9" i="69"/>
  <c r="A47" i="69"/>
  <c r="Q47" i="69" s="1"/>
  <c r="A45" i="69"/>
  <c r="Q45" i="69" s="1"/>
  <c r="Q6" i="69"/>
  <c r="A44" i="69"/>
  <c r="Q44" i="69" s="1"/>
  <c r="Q13" i="69"/>
  <c r="A48" i="69"/>
  <c r="Q48" i="69" s="1"/>
  <c r="Q7" i="69"/>
  <c r="A32" i="69"/>
  <c r="Q32" i="69" s="1"/>
  <c r="Q3" i="69"/>
  <c r="AE16" i="1"/>
  <c r="AG16" i="1" s="1"/>
  <c r="A24" i="69"/>
  <c r="Q24" i="69" s="1"/>
  <c r="A43" i="69"/>
  <c r="Q43" i="69" s="1"/>
  <c r="Q5" i="69"/>
  <c r="A30" i="69"/>
  <c r="A49" i="69"/>
  <c r="Q49" i="69" s="1"/>
  <c r="Q11" i="69"/>
  <c r="AE39" i="1"/>
  <c r="AE31" i="1"/>
  <c r="AG31" i="1" s="1"/>
  <c r="Q17" i="69"/>
  <c r="AC67" i="4"/>
  <c r="AC61" i="4"/>
  <c r="AC78" i="4"/>
  <c r="AC79" i="4"/>
  <c r="AC74" i="4"/>
  <c r="AC69" i="4"/>
  <c r="R25" i="235"/>
  <c r="D23" i="251" s="1"/>
  <c r="R6" i="235"/>
  <c r="R5" i="235"/>
  <c r="R26" i="235"/>
  <c r="D24" i="251" s="1"/>
  <c r="E6" i="223"/>
  <c r="E14" i="223"/>
  <c r="E22" i="223"/>
  <c r="E30" i="223"/>
  <c r="E38" i="223"/>
  <c r="E8" i="223"/>
  <c r="E16" i="223"/>
  <c r="E24" i="223"/>
  <c r="E32" i="223"/>
  <c r="E40" i="223"/>
  <c r="E10" i="223"/>
  <c r="E18" i="223"/>
  <c r="E26" i="223"/>
  <c r="E34" i="223"/>
  <c r="E42" i="223"/>
  <c r="E3" i="223"/>
  <c r="E11" i="223"/>
  <c r="E19" i="223"/>
  <c r="E27" i="223"/>
  <c r="E35" i="223"/>
  <c r="E5" i="223"/>
  <c r="E21" i="223"/>
  <c r="E37" i="223"/>
  <c r="E7" i="223"/>
  <c r="E23" i="223"/>
  <c r="E39" i="223"/>
  <c r="E9" i="223"/>
  <c r="E25" i="223"/>
  <c r="E41" i="223"/>
  <c r="E13" i="223"/>
  <c r="E29" i="223"/>
  <c r="E15" i="223"/>
  <c r="E31" i="223"/>
  <c r="E28" i="223"/>
  <c r="E12" i="223"/>
  <c r="E33" i="223"/>
  <c r="E17" i="223"/>
  <c r="E36" i="223"/>
  <c r="E4" i="223"/>
  <c r="E20" i="223"/>
  <c r="A53" i="69"/>
  <c r="Q53" i="69" s="1"/>
  <c r="Q15" i="69"/>
  <c r="A34" i="69"/>
  <c r="Q16" i="69"/>
  <c r="A54" i="69"/>
  <c r="Q54" i="69" s="1"/>
  <c r="A35" i="69"/>
  <c r="AC71" i="4"/>
  <c r="AC70" i="4"/>
  <c r="A31" i="69"/>
  <c r="Q36" i="69"/>
  <c r="A50" i="69"/>
  <c r="Q50" i="69" s="1"/>
  <c r="D10" i="219"/>
  <c r="D19" i="219"/>
  <c r="D15" i="219"/>
  <c r="D37" i="219"/>
  <c r="D8" i="219"/>
  <c r="D5" i="219"/>
  <c r="D35" i="219"/>
  <c r="D22" i="219"/>
  <c r="D40" i="219"/>
  <c r="D42" i="219"/>
  <c r="D14" i="219"/>
  <c r="D36" i="219"/>
  <c r="D34" i="219"/>
  <c r="D9" i="219"/>
  <c r="D31" i="219"/>
  <c r="D7" i="219"/>
  <c r="D16" i="219"/>
  <c r="D27" i="219"/>
  <c r="D18" i="219"/>
  <c r="D32" i="219"/>
  <c r="D24" i="219"/>
  <c r="D30" i="219"/>
  <c r="D41" i="219"/>
  <c r="D20" i="219"/>
  <c r="D21" i="219"/>
  <c r="D6" i="219"/>
  <c r="D28" i="219"/>
  <c r="D11" i="219"/>
  <c r="D3" i="219"/>
  <c r="D4" i="219"/>
  <c r="D25" i="219"/>
  <c r="D33" i="219"/>
  <c r="D38" i="219"/>
  <c r="D39" i="219"/>
  <c r="D23" i="219"/>
  <c r="D17" i="219"/>
  <c r="D12" i="219"/>
  <c r="D13" i="219"/>
  <c r="D29" i="219"/>
  <c r="D26" i="219"/>
  <c r="C9" i="219"/>
  <c r="C40" i="219"/>
  <c r="C31" i="219"/>
  <c r="C12" i="219"/>
  <c r="C16" i="219"/>
  <c r="C20" i="219"/>
  <c r="C8" i="219"/>
  <c r="C33" i="219"/>
  <c r="C42" i="219"/>
  <c r="C21" i="219"/>
  <c r="C19" i="219"/>
  <c r="C35" i="219"/>
  <c r="C13" i="219"/>
  <c r="C23" i="219"/>
  <c r="C34" i="219"/>
  <c r="C36" i="219"/>
  <c r="C30" i="219"/>
  <c r="C41" i="219"/>
  <c r="C25" i="219"/>
  <c r="C17" i="219"/>
  <c r="C32" i="219"/>
  <c r="C6" i="219"/>
  <c r="C11" i="219"/>
  <c r="C7" i="219"/>
  <c r="C15" i="219"/>
  <c r="C10" i="219"/>
  <c r="C26" i="219"/>
  <c r="C38" i="219"/>
  <c r="C29" i="219"/>
  <c r="C39" i="219"/>
  <c r="C37" i="219"/>
  <c r="C22" i="219"/>
  <c r="C4" i="219"/>
  <c r="C5" i="219"/>
  <c r="C18" i="219"/>
  <c r="C24" i="219"/>
  <c r="C28" i="219"/>
  <c r="C3" i="219"/>
  <c r="C14" i="219"/>
  <c r="C27" i="219"/>
  <c r="F5" i="270" l="1"/>
  <c r="F5" i="265"/>
  <c r="D5" i="270"/>
  <c r="D5" i="265"/>
  <c r="D45" i="251"/>
  <c r="J33" i="235"/>
  <c r="J13" i="235"/>
  <c r="J35" i="235"/>
  <c r="J15" i="235"/>
  <c r="J34" i="235"/>
  <c r="J14" i="235"/>
  <c r="AY88" i="1"/>
  <c r="AY85" i="1"/>
  <c r="AZ59" i="1"/>
  <c r="AZ58" i="1"/>
  <c r="AZ56" i="1"/>
  <c r="AZ60" i="1"/>
  <c r="AZ57" i="1" s="1"/>
  <c r="AY86" i="1"/>
  <c r="AZ96" i="1"/>
  <c r="AZ93" i="1" s="1"/>
  <c r="AZ92" i="1"/>
  <c r="AZ63" i="1"/>
  <c r="AZ65" i="1"/>
  <c r="AZ95" i="1"/>
  <c r="AZ51" i="1"/>
  <c r="AZ49" i="1"/>
  <c r="AZ94" i="1"/>
  <c r="AZ52" i="1"/>
  <c r="AZ67" i="1"/>
  <c r="AZ64" i="1" s="1"/>
  <c r="AZ53" i="1"/>
  <c r="AZ50" i="1" s="1"/>
  <c r="AZ66" i="1"/>
  <c r="AZ82" i="1"/>
  <c r="AZ79" i="1" s="1"/>
  <c r="AZ78" i="1"/>
  <c r="AZ80" i="1"/>
  <c r="AZ81" i="1"/>
  <c r="AZ87" i="1"/>
  <c r="AZ89" i="1"/>
  <c r="AZ86" i="1" s="1"/>
  <c r="AZ85" i="1"/>
  <c r="AZ73" i="1"/>
  <c r="AZ75" i="1"/>
  <c r="AZ72" i="1" s="1"/>
  <c r="AZ88" i="1"/>
  <c r="AZ71" i="1"/>
  <c r="AZ74" i="1"/>
  <c r="B5" i="270"/>
  <c r="C20" i="270"/>
  <c r="AR60" i="1"/>
  <c r="AR57" i="1" s="1"/>
  <c r="AR80" i="1"/>
  <c r="AR56" i="1"/>
  <c r="AR78" i="1"/>
  <c r="AR58" i="1"/>
  <c r="AR82" i="1"/>
  <c r="AR79" i="1" s="1"/>
  <c r="AR59" i="1"/>
  <c r="AR81" i="1"/>
  <c r="B5" i="265"/>
  <c r="C5" i="265"/>
  <c r="H5" i="265"/>
  <c r="I5" i="265"/>
  <c r="AG25" i="1"/>
  <c r="H23" i="266"/>
  <c r="AG43" i="1"/>
  <c r="H17" i="266"/>
  <c r="AG36" i="1"/>
  <c r="H19" i="266"/>
  <c r="AG39" i="1"/>
  <c r="H22" i="266"/>
  <c r="AG42" i="1"/>
  <c r="AF12" i="1"/>
  <c r="AG5" i="1"/>
  <c r="AF5" i="1"/>
  <c r="AF22" i="1"/>
  <c r="AF21" i="1"/>
  <c r="AF16" i="1"/>
  <c r="AF18" i="1"/>
  <c r="AF17" i="1"/>
  <c r="AF8" i="1"/>
  <c r="AF7" i="1"/>
  <c r="AF23" i="1"/>
  <c r="AF19" i="1"/>
  <c r="AF34" i="1"/>
  <c r="AF35" i="1"/>
  <c r="AF32" i="1"/>
  <c r="AF43" i="1"/>
  <c r="AF25" i="1"/>
  <c r="AF29" i="1"/>
  <c r="AF42" i="1"/>
  <c r="AF27" i="1"/>
  <c r="AF26" i="1"/>
  <c r="AF31" i="1"/>
  <c r="AF36" i="1"/>
  <c r="AF28" i="1"/>
  <c r="AF44" i="1"/>
  <c r="AF39" i="1"/>
  <c r="AF37" i="1"/>
  <c r="AC59" i="1"/>
  <c r="AE6" i="1"/>
  <c r="AG6" i="1" s="1"/>
  <c r="AE24" i="1"/>
  <c r="AG24" i="1" s="1"/>
  <c r="AE41" i="1"/>
  <c r="AE40" i="1"/>
  <c r="AE10" i="1"/>
  <c r="AG10" i="1" s="1"/>
  <c r="AE14" i="1"/>
  <c r="AG14" i="1" s="1"/>
  <c r="G3" i="251"/>
  <c r="E3" i="251"/>
  <c r="F3" i="251" s="1"/>
  <c r="H17" i="252"/>
  <c r="G17" i="252"/>
  <c r="AD67" i="1"/>
  <c r="AD64" i="1" s="1"/>
  <c r="AD60" i="1"/>
  <c r="AD57" i="1" s="1"/>
  <c r="AD52" i="1"/>
  <c r="AD56" i="1"/>
  <c r="AC63" i="1"/>
  <c r="AD53" i="1"/>
  <c r="AD50" i="1" s="1"/>
  <c r="AC49" i="1"/>
  <c r="AD66" i="1"/>
  <c r="AC60" i="1"/>
  <c r="AC57" i="1" s="1"/>
  <c r="AC52" i="1"/>
  <c r="AC56" i="1"/>
  <c r="AC53" i="1"/>
  <c r="AC50" i="1" s="1"/>
  <c r="AD88" i="1"/>
  <c r="AC89" i="1"/>
  <c r="AC86" i="1" s="1"/>
  <c r="AD87" i="1"/>
  <c r="AD80" i="1"/>
  <c r="AD78" i="1"/>
  <c r="AC75" i="1"/>
  <c r="AC72" i="1" s="1"/>
  <c r="AD94" i="1"/>
  <c r="AC80" i="1"/>
  <c r="AD85" i="1"/>
  <c r="AC92" i="1"/>
  <c r="AC74" i="1"/>
  <c r="AD95" i="1"/>
  <c r="AC81" i="1"/>
  <c r="AD74" i="1"/>
  <c r="AC65" i="1"/>
  <c r="AC94" i="1"/>
  <c r="AC88" i="1"/>
  <c r="AC71" i="1"/>
  <c r="AD49" i="1"/>
  <c r="AC82" i="1"/>
  <c r="AC79" i="1" s="1"/>
  <c r="AD75" i="1"/>
  <c r="AD72" i="1" s="1"/>
  <c r="AC66" i="1"/>
  <c r="AC95" i="1"/>
  <c r="AC85" i="1"/>
  <c r="AD58" i="1"/>
  <c r="AD92" i="1"/>
  <c r="AD73" i="1"/>
  <c r="AD96" i="1"/>
  <c r="AD93" i="1" s="1"/>
  <c r="AD51" i="1"/>
  <c r="AC78" i="1"/>
  <c r="AD89" i="1"/>
  <c r="AD86" i="1" s="1"/>
  <c r="AC58" i="1"/>
  <c r="AD82" i="1"/>
  <c r="AD79" i="1" s="1"/>
  <c r="AC67" i="1"/>
  <c r="AC64" i="1" s="1"/>
  <c r="AC51" i="1"/>
  <c r="AC73" i="1"/>
  <c r="AD59" i="1"/>
  <c r="AD81" i="1"/>
  <c r="AD63" i="1"/>
  <c r="AD65" i="1"/>
  <c r="AD71" i="1"/>
  <c r="AC96" i="1"/>
  <c r="AC93" i="1" s="1"/>
  <c r="AC87" i="1"/>
  <c r="AR15" i="1"/>
  <c r="AP35" i="1"/>
  <c r="Q23" i="69"/>
  <c r="AE30" i="1"/>
  <c r="AG30" i="1" s="1"/>
  <c r="AE20" i="1"/>
  <c r="AG20" i="1" s="1"/>
  <c r="AE13" i="1"/>
  <c r="AG13" i="1" s="1"/>
  <c r="AE9" i="1"/>
  <c r="AG9" i="1" s="1"/>
  <c r="AE11" i="1"/>
  <c r="AG11" i="1" s="1"/>
  <c r="AE33" i="1"/>
  <c r="AG33" i="1" s="1"/>
  <c r="Q30" i="69"/>
  <c r="AE38" i="1"/>
  <c r="AE15" i="1"/>
  <c r="AG15" i="1" s="1"/>
  <c r="Q35" i="69"/>
  <c r="Q31" i="69"/>
  <c r="Q34" i="69"/>
  <c r="M32" i="69" a="1"/>
  <c r="F31" i="69" a="1"/>
  <c r="L26" i="69" a="1"/>
  <c r="M33" i="69" a="1"/>
  <c r="K32" i="69" a="1"/>
  <c r="L32" i="69" a="1"/>
  <c r="F26" i="69" a="1"/>
  <c r="M31" i="69" a="1"/>
  <c r="L33" i="69" a="1"/>
  <c r="M26" i="69" a="1"/>
  <c r="K33" i="69" a="1"/>
  <c r="K31" i="69" a="1"/>
  <c r="L31" i="69" a="1"/>
  <c r="F32" i="69" a="1"/>
  <c r="K26" i="69" a="1"/>
  <c r="F33" i="69" a="1"/>
  <c r="F24" i="270" l="1"/>
  <c r="D24" i="270"/>
  <c r="F9" i="265"/>
  <c r="D9" i="270"/>
  <c r="L9" i="265"/>
  <c r="F9" i="270"/>
  <c r="B9" i="270"/>
  <c r="B24" i="270"/>
  <c r="C9" i="270"/>
  <c r="C24" i="270"/>
  <c r="D9" i="265"/>
  <c r="N5" i="266"/>
  <c r="I9" i="265"/>
  <c r="C9" i="265"/>
  <c r="J9" i="265"/>
  <c r="B9" i="265"/>
  <c r="H9" i="265"/>
  <c r="AR35" i="1"/>
  <c r="AT35" i="1" s="1"/>
  <c r="AW35" i="1" s="1"/>
  <c r="D22" i="266"/>
  <c r="N10" i="266"/>
  <c r="D19" i="266"/>
  <c r="N7" i="266"/>
  <c r="D23" i="266"/>
  <c r="N11" i="266"/>
  <c r="H18" i="266"/>
  <c r="AG38" i="1"/>
  <c r="H20" i="266"/>
  <c r="AG40" i="1"/>
  <c r="D17" i="266"/>
  <c r="H21" i="266"/>
  <c r="AG41" i="1"/>
  <c r="AF24" i="1"/>
  <c r="AF9" i="1"/>
  <c r="AF11" i="1"/>
  <c r="AF13" i="1"/>
  <c r="AF15" i="1"/>
  <c r="AF20" i="1"/>
  <c r="AF14" i="1"/>
  <c r="AF6" i="1"/>
  <c r="AF10" i="1"/>
  <c r="AF38" i="1"/>
  <c r="AF30" i="1"/>
  <c r="AF40" i="1"/>
  <c r="AF33" i="1"/>
  <c r="AF41" i="1"/>
  <c r="AI81" i="1"/>
  <c r="AI82" i="1"/>
  <c r="AI79" i="1" s="1"/>
  <c r="I7" i="256" s="1"/>
  <c r="AI78" i="1"/>
  <c r="H7" i="256" s="1"/>
  <c r="AI80" i="1"/>
  <c r="AE60" i="1"/>
  <c r="AE57" i="1" s="1"/>
  <c r="AE53" i="1"/>
  <c r="AE50" i="1" s="1"/>
  <c r="AE71" i="1"/>
  <c r="AE89" i="1"/>
  <c r="AE86" i="1" s="1"/>
  <c r="AE73" i="1"/>
  <c r="F26" i="69"/>
  <c r="AE95" i="1"/>
  <c r="AE66" i="1"/>
  <c r="AR71" i="1"/>
  <c r="AE65" i="1"/>
  <c r="AR66" i="1"/>
  <c r="AR51" i="1"/>
  <c r="AR52" i="1"/>
  <c r="AR53" i="1"/>
  <c r="AR50" i="1" s="1"/>
  <c r="AR65" i="1"/>
  <c r="AR67" i="1"/>
  <c r="AR64" i="1" s="1"/>
  <c r="AR49" i="1"/>
  <c r="AR63" i="1"/>
  <c r="AE58" i="1"/>
  <c r="AE74" i="1"/>
  <c r="AE59" i="1"/>
  <c r="AE63" i="1"/>
  <c r="AE75" i="1"/>
  <c r="AE72" i="1" s="1"/>
  <c r="AE56" i="1"/>
  <c r="AE52" i="1"/>
  <c r="AE88" i="1"/>
  <c r="AE94" i="1"/>
  <c r="AE67" i="1"/>
  <c r="AE64" i="1" s="1"/>
  <c r="AE92" i="1"/>
  <c r="AE96" i="1"/>
  <c r="AE93" i="1" s="1"/>
  <c r="AE85" i="1"/>
  <c r="AE82" i="1"/>
  <c r="AE79" i="1" s="1"/>
  <c r="AE80" i="1"/>
  <c r="AE87" i="1"/>
  <c r="AE81" i="1"/>
  <c r="AE51" i="1"/>
  <c r="AE49" i="1"/>
  <c r="AE78" i="1"/>
  <c r="M32" i="69"/>
  <c r="L26" i="69"/>
  <c r="F32" i="69"/>
  <c r="L32" i="69"/>
  <c r="M26" i="69"/>
  <c r="M33" i="69"/>
  <c r="L33" i="69"/>
  <c r="F33" i="69"/>
  <c r="K26" i="69"/>
  <c r="K32" i="69"/>
  <c r="K13" i="69" s="1"/>
  <c r="K31" i="69"/>
  <c r="K12" i="69" s="1"/>
  <c r="M31" i="69"/>
  <c r="M12" i="69" s="1"/>
  <c r="K33" i="69"/>
  <c r="K14" i="69" s="1"/>
  <c r="L31" i="69"/>
  <c r="L12" i="69" s="1"/>
  <c r="F31" i="69"/>
  <c r="K23" i="69" a="1"/>
  <c r="F13" i="69"/>
  <c r="I26" i="69" a="1"/>
  <c r="L29" i="69" a="1"/>
  <c r="M13" i="69"/>
  <c r="I23" i="69" a="1"/>
  <c r="F14" i="69"/>
  <c r="I31" i="69" a="1"/>
  <c r="I29" i="69" a="1"/>
  <c r="C33" i="69" a="1"/>
  <c r="C31" i="69" a="1"/>
  <c r="I33" i="69" a="1"/>
  <c r="M23" i="69" a="1"/>
  <c r="L13" i="69"/>
  <c r="C29" i="69" a="1"/>
  <c r="M29" i="69" a="1"/>
  <c r="F29" i="69" a="1"/>
  <c r="K29" i="69" a="1"/>
  <c r="M7" i="69"/>
  <c r="I32" i="69" a="1"/>
  <c r="M14" i="69"/>
  <c r="F7" i="69"/>
  <c r="C23" i="69" a="1"/>
  <c r="F23" i="69" a="1"/>
  <c r="C32" i="69" a="1"/>
  <c r="L23" i="69" a="1"/>
  <c r="C26" i="69" a="1"/>
  <c r="L7" i="69"/>
  <c r="L14" i="69"/>
  <c r="F13" i="265" l="1"/>
  <c r="D28" i="270"/>
  <c r="C13" i="270"/>
  <c r="C28" i="270"/>
  <c r="L13" i="265"/>
  <c r="F13" i="270"/>
  <c r="B28" i="270"/>
  <c r="B13" i="270"/>
  <c r="F28" i="270"/>
  <c r="D13" i="270"/>
  <c r="AR74" i="1"/>
  <c r="AR92" i="1"/>
  <c r="D13" i="265"/>
  <c r="H13" i="265"/>
  <c r="J13" i="265"/>
  <c r="B13" i="265"/>
  <c r="AR94" i="1"/>
  <c r="AR73" i="1"/>
  <c r="AR89" i="1"/>
  <c r="AR86" i="1" s="1"/>
  <c r="N8" i="266"/>
  <c r="C13" i="265"/>
  <c r="AR95" i="1"/>
  <c r="AR87" i="1"/>
  <c r="AR88" i="1"/>
  <c r="N9" i="266"/>
  <c r="I13" i="265"/>
  <c r="AR96" i="1"/>
  <c r="AR93" i="1" s="1"/>
  <c r="AR75" i="1"/>
  <c r="AR72" i="1" s="1"/>
  <c r="AR85" i="1"/>
  <c r="D20" i="266"/>
  <c r="D18" i="266"/>
  <c r="N6" i="266"/>
  <c r="H25" i="266"/>
  <c r="D21" i="266"/>
  <c r="AF56" i="1"/>
  <c r="AF60" i="1"/>
  <c r="AF57" i="1" s="1"/>
  <c r="AG49" i="1"/>
  <c r="AG59" i="1"/>
  <c r="AG63" i="1"/>
  <c r="C26" i="69"/>
  <c r="F23" i="69"/>
  <c r="M23" i="69"/>
  <c r="C23" i="69"/>
  <c r="K23" i="69"/>
  <c r="K4" i="69" s="1"/>
  <c r="C32" i="69"/>
  <c r="C33" i="69"/>
  <c r="L23" i="69"/>
  <c r="C31" i="69"/>
  <c r="C12" i="69" s="1"/>
  <c r="AG58" i="1"/>
  <c r="AG53" i="1"/>
  <c r="AG50" i="1" s="1"/>
  <c r="AF63" i="1"/>
  <c r="AF82" i="1"/>
  <c r="AF79" i="1" s="1"/>
  <c r="AF65" i="1"/>
  <c r="AG66" i="1"/>
  <c r="AF58" i="1"/>
  <c r="AF71" i="1"/>
  <c r="AG85" i="1"/>
  <c r="AF85" i="1"/>
  <c r="AG82" i="1"/>
  <c r="AG79" i="1" s="1"/>
  <c r="AF51" i="1"/>
  <c r="AG65" i="1"/>
  <c r="AG60" i="1"/>
  <c r="AG57" i="1" s="1"/>
  <c r="AF88" i="1"/>
  <c r="AF59" i="1"/>
  <c r="AG52" i="1"/>
  <c r="AG56" i="1"/>
  <c r="AF49" i="1"/>
  <c r="AF52" i="1"/>
  <c r="AF66" i="1"/>
  <c r="AG67" i="1"/>
  <c r="AG64" i="1" s="1"/>
  <c r="AG74" i="1"/>
  <c r="AF75" i="1"/>
  <c r="AF72" i="1" s="1"/>
  <c r="AF95" i="1"/>
  <c r="AG51" i="1"/>
  <c r="AF53" i="1"/>
  <c r="AF50" i="1" s="1"/>
  <c r="AF67" i="1"/>
  <c r="AF64" i="1" s="1"/>
  <c r="AF80" i="1"/>
  <c r="AF89" i="1"/>
  <c r="AF86" i="1" s="1"/>
  <c r="AF92" i="1"/>
  <c r="AF87" i="1"/>
  <c r="AF94" i="1"/>
  <c r="AG94" i="1"/>
  <c r="AG75" i="1"/>
  <c r="AG72" i="1" s="1"/>
  <c r="AG73" i="1"/>
  <c r="AF74" i="1"/>
  <c r="AG80" i="1"/>
  <c r="AF96" i="1"/>
  <c r="AF93" i="1" s="1"/>
  <c r="AF73" i="1"/>
  <c r="AG71" i="1"/>
  <c r="AF81" i="1"/>
  <c r="AG92" i="1"/>
  <c r="AF78" i="1"/>
  <c r="AG88" i="1"/>
  <c r="AG96" i="1"/>
  <c r="AG93" i="1" s="1"/>
  <c r="AG89" i="1"/>
  <c r="AG86" i="1" s="1"/>
  <c r="AG87" i="1"/>
  <c r="AG95" i="1"/>
  <c r="AG78" i="1"/>
  <c r="AG81" i="1"/>
  <c r="F29" i="69"/>
  <c r="I29" i="69"/>
  <c r="I26" i="69"/>
  <c r="I23" i="69"/>
  <c r="M29" i="69"/>
  <c r="K29" i="69"/>
  <c r="K10" i="69" s="1"/>
  <c r="I31" i="69"/>
  <c r="I12" i="69" s="1"/>
  <c r="I32" i="69"/>
  <c r="L29" i="69"/>
  <c r="C29" i="69"/>
  <c r="I33" i="69"/>
  <c r="F45" i="69"/>
  <c r="K52" i="69"/>
  <c r="M50" i="69"/>
  <c r="K51" i="69"/>
  <c r="L50" i="69"/>
  <c r="K50" i="69"/>
  <c r="F51" i="69"/>
  <c r="F52" i="69"/>
  <c r="M45" i="69"/>
  <c r="L45" i="69"/>
  <c r="L52" i="69"/>
  <c r="M52" i="69"/>
  <c r="L51" i="69"/>
  <c r="M51" i="69"/>
  <c r="K7" i="69"/>
  <c r="F12" i="69"/>
  <c r="M4" i="69"/>
  <c r="L36" i="69" a="1"/>
  <c r="K36" i="69" a="1"/>
  <c r="M36" i="69" a="1"/>
  <c r="C7" i="69"/>
  <c r="N36" i="69" a="1"/>
  <c r="L34" i="69" a="1"/>
  <c r="C34" i="69" a="1"/>
  <c r="P36" i="69" a="1"/>
  <c r="N23" i="69" a="1"/>
  <c r="P23" i="69" a="1"/>
  <c r="C10" i="69"/>
  <c r="I7" i="69"/>
  <c r="C4" i="69"/>
  <c r="I13" i="69"/>
  <c r="P31" i="69" a="1"/>
  <c r="N34" i="69" a="1"/>
  <c r="I34" i="69" a="1"/>
  <c r="F4" i="69"/>
  <c r="I36" i="69" a="1"/>
  <c r="M34" i="69" a="1"/>
  <c r="I14" i="69"/>
  <c r="P32" i="69" a="1"/>
  <c r="F10" i="69"/>
  <c r="F36" i="69" a="1"/>
  <c r="L10" i="69"/>
  <c r="K34" i="69" a="1"/>
  <c r="P29" i="69" a="1"/>
  <c r="N33" i="69" a="1"/>
  <c r="C13" i="69"/>
  <c r="I10" i="69"/>
  <c r="F34" i="69" a="1"/>
  <c r="P26" i="69" a="1"/>
  <c r="N31" i="69" a="1"/>
  <c r="N29" i="69" a="1"/>
  <c r="I4" i="69"/>
  <c r="N32" i="69" a="1"/>
  <c r="C36" i="69" a="1"/>
  <c r="N26" i="69" a="1"/>
  <c r="P33" i="69" a="1"/>
  <c r="C14" i="69"/>
  <c r="P34" i="69" a="1"/>
  <c r="M10" i="69"/>
  <c r="L4" i="69"/>
  <c r="N13" i="266" l="1"/>
  <c r="D25" i="266"/>
  <c r="M42" i="69"/>
  <c r="C52" i="69"/>
  <c r="C51" i="69"/>
  <c r="L42" i="69"/>
  <c r="C50" i="69"/>
  <c r="K42" i="69"/>
  <c r="F42" i="69"/>
  <c r="C45" i="69"/>
  <c r="C42" i="69"/>
  <c r="F50" i="69"/>
  <c r="K45" i="69"/>
  <c r="M34" i="69"/>
  <c r="N29" i="69"/>
  <c r="K34" i="69"/>
  <c r="K15" i="69" s="1"/>
  <c r="C34" i="69"/>
  <c r="N23" i="69"/>
  <c r="L34" i="69"/>
  <c r="N33" i="69"/>
  <c r="N31" i="69"/>
  <c r="N12" i="69" s="1"/>
  <c r="N26" i="69"/>
  <c r="N34" i="69"/>
  <c r="N32" i="69"/>
  <c r="I34" i="69"/>
  <c r="F34" i="69"/>
  <c r="M48" i="69"/>
  <c r="I52" i="69"/>
  <c r="I42" i="69"/>
  <c r="I48" i="69"/>
  <c r="L48" i="69"/>
  <c r="I50" i="69"/>
  <c r="K48" i="69"/>
  <c r="I45" i="69"/>
  <c r="F48" i="69"/>
  <c r="C48" i="69"/>
  <c r="I51" i="69"/>
  <c r="P32" i="69"/>
  <c r="K36" i="69"/>
  <c r="K17" i="69" s="1"/>
  <c r="P29" i="69"/>
  <c r="P36" i="69"/>
  <c r="N36" i="69"/>
  <c r="P31" i="69"/>
  <c r="P12" i="69" s="1"/>
  <c r="I36" i="69"/>
  <c r="M36" i="69"/>
  <c r="P26" i="69"/>
  <c r="F36" i="69"/>
  <c r="P23" i="69"/>
  <c r="C36" i="69"/>
  <c r="P34" i="69"/>
  <c r="L36" i="69"/>
  <c r="P33" i="69"/>
  <c r="P17" i="69"/>
  <c r="P13" i="69"/>
  <c r="P15" i="69"/>
  <c r="C15" i="69"/>
  <c r="N13" i="69"/>
  <c r="L15" i="69"/>
  <c r="I15" i="69"/>
  <c r="F15" i="69"/>
  <c r="N4" i="69"/>
  <c r="N17" i="69"/>
  <c r="N15" i="69"/>
  <c r="N7" i="69"/>
  <c r="F17" i="69"/>
  <c r="P10" i="69"/>
  <c r="M15" i="69"/>
  <c r="M17" i="69"/>
  <c r="P7" i="69"/>
  <c r="N10" i="69"/>
  <c r="N14" i="69"/>
  <c r="I17" i="69"/>
  <c r="C17" i="69"/>
  <c r="P14" i="69"/>
  <c r="L17" i="69"/>
  <c r="P4" i="69"/>
  <c r="F53" i="69" l="1"/>
  <c r="N45" i="69"/>
  <c r="N51" i="69"/>
  <c r="L53" i="69"/>
  <c r="K53" i="69"/>
  <c r="N42" i="69"/>
  <c r="M53" i="69"/>
  <c r="I53" i="69"/>
  <c r="N50" i="69"/>
  <c r="N48" i="69"/>
  <c r="N53" i="69"/>
  <c r="N52" i="69"/>
  <c r="C53" i="69"/>
  <c r="C55" i="69"/>
  <c r="P42" i="69"/>
  <c r="I55" i="69"/>
  <c r="F55" i="69"/>
  <c r="P50" i="69"/>
  <c r="K55" i="69"/>
  <c r="P48" i="69"/>
  <c r="P52" i="69"/>
  <c r="P45" i="69"/>
  <c r="L55" i="69"/>
  <c r="N55" i="69"/>
  <c r="P51" i="69"/>
  <c r="P53" i="69"/>
  <c r="M55" i="69"/>
  <c r="P55" i="69"/>
  <c r="F19" i="270" l="1"/>
  <c r="D19" i="270"/>
  <c r="B19" i="270"/>
  <c r="C19" i="270"/>
  <c r="L4" i="265"/>
  <c r="J4" i="265"/>
  <c r="H4" i="265"/>
  <c r="I4" i="265"/>
  <c r="B27" i="268"/>
  <c r="AI25" i="1"/>
  <c r="S87" i="1"/>
  <c r="S88" i="1"/>
  <c r="S74" i="1"/>
  <c r="S73" i="1"/>
  <c r="S85" i="1"/>
  <c r="Y85" i="1" s="1"/>
  <c r="S71" i="1"/>
  <c r="F5" i="256" s="1"/>
  <c r="T73" i="1"/>
  <c r="T74" i="1"/>
  <c r="D23" i="223"/>
  <c r="W22" i="248" l="1"/>
  <c r="E27" i="268"/>
  <c r="D27" i="268"/>
  <c r="AJ25" i="1"/>
  <c r="T87" i="1"/>
  <c r="T85" i="1"/>
  <c r="Y86" i="1" s="1"/>
  <c r="T71" i="1"/>
  <c r="T88" i="1"/>
  <c r="X22" i="248" l="1"/>
  <c r="B27" i="270"/>
  <c r="C23" i="270"/>
  <c r="D27" i="270"/>
  <c r="F27" i="270"/>
  <c r="L8" i="265"/>
  <c r="D23" i="270"/>
  <c r="C27" i="270"/>
  <c r="B23" i="270"/>
  <c r="L12" i="265"/>
  <c r="F23" i="270"/>
  <c r="I12" i="265"/>
  <c r="H8" i="265"/>
  <c r="H12" i="265"/>
  <c r="J8" i="265"/>
  <c r="J12" i="265"/>
  <c r="AL25" i="1"/>
  <c r="AM25" i="1"/>
  <c r="U74" i="1"/>
  <c r="V88" i="1"/>
  <c r="V87" i="1"/>
  <c r="U88" i="1"/>
  <c r="U71" i="1"/>
  <c r="F9" i="256" s="1"/>
  <c r="AK25" i="1"/>
  <c r="V74" i="1"/>
  <c r="V73" i="1"/>
  <c r="U87" i="1"/>
  <c r="V71" i="1"/>
  <c r="F13" i="256" s="1"/>
  <c r="U73" i="1"/>
  <c r="U85" i="1"/>
  <c r="W71" i="1" l="1"/>
  <c r="F17" i="256" s="1"/>
  <c r="W87" i="1"/>
  <c r="W74" i="1"/>
  <c r="W88" i="1"/>
  <c r="W73" i="1"/>
  <c r="K30" i="1" l="1"/>
  <c r="F27" i="272" s="1"/>
  <c r="K22" i="1"/>
  <c r="F19" i="272" s="1"/>
  <c r="K15" i="1"/>
  <c r="F12" i="272" s="1"/>
  <c r="K6" i="1"/>
  <c r="F3" i="272" s="1"/>
  <c r="K24" i="1"/>
  <c r="F21" i="272" s="1"/>
  <c r="K17" i="1"/>
  <c r="F14" i="272" s="1"/>
  <c r="K26" i="1"/>
  <c r="F23" i="272" s="1"/>
  <c r="K34" i="1"/>
  <c r="F31" i="272" s="1"/>
  <c r="K42" i="1"/>
  <c r="F39" i="272" s="1"/>
  <c r="K21" i="1"/>
  <c r="F18" i="272" s="1"/>
  <c r="K14" i="1"/>
  <c r="F11" i="272" s="1"/>
  <c r="K7" i="1"/>
  <c r="F4" i="272" s="1"/>
  <c r="K9" i="1"/>
  <c r="F6" i="272" s="1"/>
  <c r="K10" i="1"/>
  <c r="F7" i="272" s="1"/>
  <c r="K18" i="1"/>
  <c r="F15" i="272" s="1"/>
  <c r="K27" i="1"/>
  <c r="F24" i="272" s="1"/>
  <c r="K35" i="1"/>
  <c r="F32" i="272" s="1"/>
  <c r="K43" i="1"/>
  <c r="F40" i="272" s="1"/>
  <c r="K13" i="1"/>
  <c r="F10" i="272" s="1"/>
  <c r="K38" i="1"/>
  <c r="F35" i="272" s="1"/>
  <c r="K31" i="1"/>
  <c r="F28" i="272" s="1"/>
  <c r="K23" i="1"/>
  <c r="F20" i="272" s="1"/>
  <c r="K40" i="1"/>
  <c r="F37" i="272" s="1"/>
  <c r="K33" i="1"/>
  <c r="F30" i="272" s="1"/>
  <c r="K11" i="1"/>
  <c r="F8" i="272" s="1"/>
  <c r="K19" i="1"/>
  <c r="F16" i="272" s="1"/>
  <c r="K28" i="1"/>
  <c r="F25" i="272" s="1"/>
  <c r="K36" i="1"/>
  <c r="F33" i="272" s="1"/>
  <c r="K44" i="1"/>
  <c r="F41" i="272" s="1"/>
  <c r="K5" i="1"/>
  <c r="F2" i="272" s="1"/>
  <c r="K8" i="1"/>
  <c r="F5" i="272" s="1"/>
  <c r="K39" i="1"/>
  <c r="F36" i="272" s="1"/>
  <c r="K32" i="1"/>
  <c r="F29" i="272" s="1"/>
  <c r="K16" i="1"/>
  <c r="F13" i="272" s="1"/>
  <c r="K41" i="1"/>
  <c r="F38" i="272" s="1"/>
  <c r="K12" i="1"/>
  <c r="F9" i="272" s="1"/>
  <c r="K20" i="1"/>
  <c r="F17" i="272" s="1"/>
  <c r="K29" i="1"/>
  <c r="F26" i="272" s="1"/>
  <c r="K37" i="1"/>
  <c r="F34" i="272" s="1"/>
  <c r="K74" i="1" l="1"/>
  <c r="K73" i="1"/>
  <c r="K71" i="1"/>
  <c r="K87" i="1"/>
  <c r="K85" i="1"/>
  <c r="K88" i="1"/>
  <c r="K78" i="1"/>
  <c r="K82" i="1"/>
  <c r="K79" i="1" s="1"/>
  <c r="K80" i="1"/>
  <c r="K81" i="1"/>
  <c r="K58" i="1"/>
  <c r="K60" i="1"/>
  <c r="K57" i="1" s="1"/>
  <c r="K59" i="1"/>
  <c r="K56" i="1"/>
  <c r="K94" i="1"/>
  <c r="K99" i="1" s="1"/>
  <c r="K63" i="1"/>
  <c r="K67" i="1"/>
  <c r="K64" i="1" s="1"/>
  <c r="K53" i="1"/>
  <c r="K50" i="1" s="1"/>
  <c r="K65" i="1"/>
  <c r="K51" i="1"/>
  <c r="K96" i="1"/>
  <c r="K93" i="1" s="1"/>
  <c r="K103" i="1" s="1"/>
  <c r="K52" i="1"/>
  <c r="K92" i="1"/>
  <c r="K102" i="1" s="1"/>
  <c r="K66" i="1"/>
  <c r="K95" i="1"/>
  <c r="K100" i="1" s="1"/>
  <c r="K49" i="1"/>
  <c r="K75" i="1"/>
  <c r="K72" i="1" s="1"/>
  <c r="K89" i="1"/>
  <c r="K86" i="1" s="1"/>
  <c r="B23" i="69" a="1"/>
  <c r="N22" i="69" a="1"/>
  <c r="K22" i="69" a="1"/>
  <c r="P22" i="69" a="1"/>
  <c r="B22" i="69" a="1"/>
  <c r="B31" i="69" a="1"/>
  <c r="I22" i="69" a="1"/>
  <c r="B26" i="69" a="1"/>
  <c r="B34" i="69" a="1"/>
  <c r="F22" i="69" a="1"/>
  <c r="M22" i="69" a="1"/>
  <c r="C22" i="69" a="1"/>
  <c r="B33" i="69" a="1"/>
  <c r="B36" i="69" a="1"/>
  <c r="B29" i="69" a="1"/>
  <c r="B32" i="69" a="1"/>
  <c r="L22" i="69" a="1"/>
  <c r="L22" i="69" l="1"/>
  <c r="B36" i="69"/>
  <c r="B22" i="69"/>
  <c r="I22" i="69"/>
  <c r="M22" i="69"/>
  <c r="B23" i="69"/>
  <c r="B29" i="69"/>
  <c r="B31" i="69"/>
  <c r="B12" i="69" s="1"/>
  <c r="B50" i="69" s="1"/>
  <c r="B33" i="69"/>
  <c r="F22" i="69"/>
  <c r="B32" i="69"/>
  <c r="K22" i="69"/>
  <c r="K3" i="69" s="1"/>
  <c r="K41" i="69" s="1"/>
  <c r="N22" i="69"/>
  <c r="B34" i="69"/>
  <c r="B26" i="69"/>
  <c r="C22" i="69"/>
  <c r="P22" i="69"/>
  <c r="B24" i="268"/>
  <c r="AI22" i="1"/>
  <c r="B28" i="268"/>
  <c r="AI26" i="1"/>
  <c r="S75" i="1"/>
  <c r="S72" i="1" s="1"/>
  <c r="G5" i="256" s="1"/>
  <c r="S89" i="1"/>
  <c r="S86" i="1" s="1"/>
  <c r="AI24" i="1"/>
  <c r="B26" i="268"/>
  <c r="B19" i="268"/>
  <c r="AI17" i="1"/>
  <c r="W14" i="248" s="1"/>
  <c r="B15" i="268"/>
  <c r="AI13" i="1"/>
  <c r="AI6" i="1"/>
  <c r="W3" i="248" s="1"/>
  <c r="B8" i="268"/>
  <c r="B14" i="268"/>
  <c r="AI12" i="1"/>
  <c r="AI11" i="1"/>
  <c r="B13" i="268"/>
  <c r="AI9" i="1"/>
  <c r="B11" i="268"/>
  <c r="AI18" i="1"/>
  <c r="B20" i="268"/>
  <c r="AI14" i="1"/>
  <c r="B16" i="268"/>
  <c r="B10" i="268"/>
  <c r="AI8" i="1"/>
  <c r="AI20" i="1"/>
  <c r="B22" i="268"/>
  <c r="B9" i="268"/>
  <c r="AI7" i="1"/>
  <c r="D4" i="265"/>
  <c r="AI10" i="1"/>
  <c r="B12" i="268"/>
  <c r="AI21" i="1"/>
  <c r="B23" i="268"/>
  <c r="B7" i="268"/>
  <c r="AI5" i="1"/>
  <c r="S65" i="1"/>
  <c r="C4" i="265"/>
  <c r="S95" i="1"/>
  <c r="D4" i="270"/>
  <c r="S51" i="1"/>
  <c r="S96" i="1"/>
  <c r="S93" i="1" s="1"/>
  <c r="C4" i="270"/>
  <c r="S52" i="1"/>
  <c r="S92" i="1"/>
  <c r="F4" i="270"/>
  <c r="F4" i="265"/>
  <c r="B4" i="265"/>
  <c r="S63" i="1"/>
  <c r="S53" i="1"/>
  <c r="S50" i="1" s="1"/>
  <c r="C5" i="256" s="1"/>
  <c r="B4" i="270"/>
  <c r="S66" i="1"/>
  <c r="S94" i="1"/>
  <c r="S49" i="1"/>
  <c r="S67" i="1"/>
  <c r="S64" i="1" s="1"/>
  <c r="B25" i="268"/>
  <c r="AI23" i="1"/>
  <c r="AI16" i="1"/>
  <c r="B18" i="268"/>
  <c r="S56" i="1"/>
  <c r="D5" i="256" s="1"/>
  <c r="S60" i="1"/>
  <c r="S57" i="1" s="1"/>
  <c r="E5" i="256" s="1"/>
  <c r="S59" i="1"/>
  <c r="S58" i="1"/>
  <c r="B17" i="268"/>
  <c r="AI15" i="1"/>
  <c r="AI19" i="1"/>
  <c r="B21" i="268"/>
  <c r="P3" i="69"/>
  <c r="B3" i="69"/>
  <c r="F24" i="69" a="1"/>
  <c r="L24" i="69" a="1"/>
  <c r="D3" i="223"/>
  <c r="D10" i="223"/>
  <c r="B17" i="69"/>
  <c r="D23" i="69" a="1"/>
  <c r="D29" i="69" a="1"/>
  <c r="D6" i="223"/>
  <c r="D9" i="223"/>
  <c r="D14" i="223"/>
  <c r="B10" i="69"/>
  <c r="D4" i="223"/>
  <c r="L3" i="69"/>
  <c r="P24" i="69" a="1"/>
  <c r="B15" i="69"/>
  <c r="B14" i="69"/>
  <c r="D7" i="223"/>
  <c r="D19" i="223"/>
  <c r="B24" i="69" a="1"/>
  <c r="D17" i="223"/>
  <c r="D16" i="223"/>
  <c r="D32" i="69" a="1"/>
  <c r="D24" i="223"/>
  <c r="C24" i="69" a="1"/>
  <c r="D18" i="223"/>
  <c r="I3" i="69"/>
  <c r="B4" i="69"/>
  <c r="D24" i="69" a="1"/>
  <c r="D34" i="69" a="1"/>
  <c r="D26" i="69" a="1"/>
  <c r="D33" i="69" a="1"/>
  <c r="N24" i="69" a="1"/>
  <c r="D22" i="223"/>
  <c r="K24" i="69" a="1"/>
  <c r="D21" i="223"/>
  <c r="D11" i="223"/>
  <c r="D22" i="69" a="1"/>
  <c r="M24" i="69" a="1"/>
  <c r="D12" i="223"/>
  <c r="D20" i="223"/>
  <c r="D31" i="69" a="1"/>
  <c r="D13" i="223"/>
  <c r="D5" i="223"/>
  <c r="B13" i="69"/>
  <c r="M3" i="69"/>
  <c r="D36" i="69" a="1"/>
  <c r="B7" i="69"/>
  <c r="F3" i="69"/>
  <c r="I24" i="69" a="1"/>
  <c r="D15" i="223"/>
  <c r="N3" i="69"/>
  <c r="D8" i="223"/>
  <c r="C3" i="69"/>
  <c r="R11" i="248" l="1"/>
  <c r="W13" i="248"/>
  <c r="R14" i="248"/>
  <c r="W17" i="248"/>
  <c r="W11" i="248"/>
  <c r="R9" i="248"/>
  <c r="W6" i="248"/>
  <c r="R4" i="248"/>
  <c r="R18" i="248"/>
  <c r="W21" i="248"/>
  <c r="W12" i="248"/>
  <c r="R10" i="248"/>
  <c r="W20" i="248"/>
  <c r="R17" i="248"/>
  <c r="W18" i="248"/>
  <c r="R15" i="248"/>
  <c r="W4" i="248"/>
  <c r="R2" i="248"/>
  <c r="R3" i="248"/>
  <c r="W5" i="248"/>
  <c r="W19" i="248"/>
  <c r="R16" i="248"/>
  <c r="W16" i="248"/>
  <c r="R13" i="248"/>
  <c r="W2" i="248"/>
  <c r="AD13" i="248"/>
  <c r="AD11" i="248"/>
  <c r="W15" i="248"/>
  <c r="R12" i="248"/>
  <c r="W8" i="248"/>
  <c r="R6" i="248"/>
  <c r="W7" i="248"/>
  <c r="R5" i="248"/>
  <c r="R7" i="248"/>
  <c r="W9" i="248"/>
  <c r="W10" i="248"/>
  <c r="R8" i="248"/>
  <c r="W23" i="248"/>
  <c r="AD15" i="248"/>
  <c r="B5" i="256"/>
  <c r="J5" i="256" s="1"/>
  <c r="AA6" i="248"/>
  <c r="J6" i="265"/>
  <c r="L6" i="265"/>
  <c r="I6" i="265"/>
  <c r="AI85" i="1"/>
  <c r="AI71" i="1"/>
  <c r="F7" i="256" s="1"/>
  <c r="C21" i="270"/>
  <c r="H6" i="265"/>
  <c r="F21" i="270"/>
  <c r="AI88" i="1"/>
  <c r="AI74" i="1"/>
  <c r="D21" i="270"/>
  <c r="AI73" i="1"/>
  <c r="B21" i="270"/>
  <c r="AI87" i="1"/>
  <c r="B53" i="69"/>
  <c r="M41" i="69"/>
  <c r="I41" i="69"/>
  <c r="B45" i="69"/>
  <c r="B51" i="69"/>
  <c r="B41" i="69"/>
  <c r="C41" i="69"/>
  <c r="B42" i="69"/>
  <c r="N41" i="69"/>
  <c r="F41" i="69"/>
  <c r="B55" i="69"/>
  <c r="B48" i="69"/>
  <c r="C24" i="69"/>
  <c r="D26" i="69"/>
  <c r="D31" i="69"/>
  <c r="D12" i="69" s="1"/>
  <c r="D50" i="69" s="1"/>
  <c r="D36" i="69"/>
  <c r="L24" i="69"/>
  <c r="D24" i="69"/>
  <c r="D29" i="69"/>
  <c r="I24" i="69"/>
  <c r="D23" i="69"/>
  <c r="N24" i="69"/>
  <c r="F24" i="69"/>
  <c r="D33" i="69"/>
  <c r="K24" i="69"/>
  <c r="K5" i="69" s="1"/>
  <c r="K43" i="69" s="1"/>
  <c r="P24" i="69"/>
  <c r="D32" i="69"/>
  <c r="B24" i="69"/>
  <c r="M24" i="69"/>
  <c r="D34" i="69"/>
  <c r="D22" i="69"/>
  <c r="P41" i="69"/>
  <c r="B52" i="69"/>
  <c r="L41" i="69"/>
  <c r="M7" i="268" a="1"/>
  <c r="B6" i="265"/>
  <c r="AI67" i="1"/>
  <c r="AI64" i="1" s="1"/>
  <c r="AI94" i="1"/>
  <c r="K3" i="96"/>
  <c r="F6" i="265"/>
  <c r="F6" i="270"/>
  <c r="AI65" i="1"/>
  <c r="D6" i="270"/>
  <c r="AI52" i="1"/>
  <c r="AI63" i="1"/>
  <c r="B6" i="270"/>
  <c r="C6" i="270"/>
  <c r="C6" i="265"/>
  <c r="AI51" i="1"/>
  <c r="AI53" i="1"/>
  <c r="AI50" i="1" s="1"/>
  <c r="C7" i="256" s="1"/>
  <c r="AI96" i="1"/>
  <c r="AI93" i="1" s="1"/>
  <c r="AI95" i="1"/>
  <c r="AI49" i="1"/>
  <c r="B7" i="256" s="1"/>
  <c r="AI92" i="1"/>
  <c r="K1" i="96"/>
  <c r="K2" i="96" s="1"/>
  <c r="K8" i="96" s="1"/>
  <c r="AA5" i="248"/>
  <c r="D6" i="265"/>
  <c r="AI66" i="1"/>
  <c r="AI56" i="1"/>
  <c r="D7" i="256" s="1"/>
  <c r="AI60" i="1"/>
  <c r="AI57" i="1" s="1"/>
  <c r="E7" i="256" s="1"/>
  <c r="AI58" i="1"/>
  <c r="AI59" i="1"/>
  <c r="AI89" i="1"/>
  <c r="AI86" i="1" s="1"/>
  <c r="AI75" i="1"/>
  <c r="AI72" i="1" s="1"/>
  <c r="G7" i="256" s="1"/>
  <c r="D10" i="69"/>
  <c r="F5" i="69"/>
  <c r="D7" i="69"/>
  <c r="N5" i="69"/>
  <c r="D14" i="69"/>
  <c r="B5" i="69"/>
  <c r="D15" i="69"/>
  <c r="P5" i="69"/>
  <c r="D17" i="69"/>
  <c r="D5" i="69"/>
  <c r="I5" i="69"/>
  <c r="D13" i="69"/>
  <c r="D3" i="69"/>
  <c r="L5" i="69"/>
  <c r="D4" i="69"/>
  <c r="M5" i="69"/>
  <c r="C5" i="69"/>
  <c r="R53" i="248" l="1"/>
  <c r="R51" i="248"/>
  <c r="U45" i="248"/>
  <c r="S45" i="248"/>
  <c r="R45" i="248"/>
  <c r="D55" i="69"/>
  <c r="N43" i="69"/>
  <c r="M43" i="69"/>
  <c r="D42" i="69"/>
  <c r="C43" i="69"/>
  <c r="B43" i="69"/>
  <c r="I43" i="69"/>
  <c r="D52" i="69"/>
  <c r="D41" i="69"/>
  <c r="D45" i="69"/>
  <c r="D51" i="69"/>
  <c r="D48" i="69"/>
  <c r="D53" i="69"/>
  <c r="P43" i="69"/>
  <c r="D43" i="69"/>
  <c r="F43" i="69"/>
  <c r="L43" i="69"/>
  <c r="M16" i="268"/>
  <c r="M12" i="268"/>
  <c r="M15" i="268"/>
  <c r="M9" i="268"/>
  <c r="M11" i="268"/>
  <c r="M14" i="268"/>
  <c r="M7" i="268"/>
  <c r="M13" i="268"/>
  <c r="M17" i="268"/>
  <c r="M8" i="268"/>
  <c r="M10" i="268"/>
  <c r="M18" i="268"/>
  <c r="K10" i="96"/>
  <c r="K9" i="96"/>
  <c r="K7" i="96"/>
  <c r="T45" i="248" l="1"/>
  <c r="X45" i="248" s="1"/>
  <c r="M20" i="268"/>
  <c r="O12" i="1"/>
  <c r="O24" i="1"/>
  <c r="Y45" i="248" l="1"/>
  <c r="O25" i="1"/>
  <c r="O39" i="1"/>
  <c r="O37" i="1"/>
  <c r="O38" i="1"/>
  <c r="O36" i="1"/>
  <c r="O13" i="1"/>
  <c r="O15" i="1"/>
  <c r="O7" i="1"/>
  <c r="O44" i="1"/>
  <c r="O29" i="1"/>
  <c r="O16" i="1"/>
  <c r="O27" i="1"/>
  <c r="O17" i="1"/>
  <c r="O9" i="1"/>
  <c r="O33" i="1"/>
  <c r="O19" i="1"/>
  <c r="O18" i="1"/>
  <c r="O34" i="1"/>
  <c r="O32" i="1"/>
  <c r="M27" i="1" l="1"/>
  <c r="AQ27" i="1"/>
  <c r="V24" i="248" s="1"/>
  <c r="L27" i="1"/>
  <c r="E89" i="1"/>
  <c r="E86" i="1" s="1"/>
  <c r="E75" i="1"/>
  <c r="E72" i="1" s="1"/>
  <c r="O8" i="1"/>
  <c r="O28" i="1"/>
  <c r="O35" i="1"/>
  <c r="O43" i="1"/>
  <c r="O21" i="1"/>
  <c r="O10" i="1"/>
  <c r="O23" i="1"/>
  <c r="O20" i="1"/>
  <c r="O6" i="1"/>
  <c r="O40" i="1"/>
  <c r="O22" i="1"/>
  <c r="O42" i="1"/>
  <c r="O41" i="1"/>
  <c r="O26" i="1"/>
  <c r="O30" i="1"/>
  <c r="O14" i="1"/>
  <c r="O31" i="1"/>
  <c r="O11" i="1"/>
  <c r="E63" i="1" l="1"/>
  <c r="E49" i="1"/>
  <c r="E95" i="1"/>
  <c r="E96" i="1"/>
  <c r="E93" i="1" s="1"/>
  <c r="E92" i="1"/>
  <c r="E67" i="1"/>
  <c r="E64" i="1" s="1"/>
  <c r="E53" i="1"/>
  <c r="E50" i="1" s="1"/>
  <c r="E51" i="1"/>
  <c r="E94" i="1"/>
  <c r="E65" i="1"/>
  <c r="E66" i="1"/>
  <c r="E52" i="1"/>
  <c r="M39" i="1"/>
  <c r="L39" i="1"/>
  <c r="AQ39" i="1"/>
  <c r="V36" i="248" s="1"/>
  <c r="G58" i="1"/>
  <c r="L44" i="1"/>
  <c r="M44" i="1"/>
  <c r="AQ44" i="1"/>
  <c r="V41" i="248" s="1"/>
  <c r="P60" i="1"/>
  <c r="P57" i="1" s="1"/>
  <c r="M33" i="1"/>
  <c r="L33" i="1"/>
  <c r="AQ33" i="1"/>
  <c r="V30" i="248" s="1"/>
  <c r="P80" i="1" l="1"/>
  <c r="G56" i="1"/>
  <c r="P58" i="1"/>
  <c r="G82" i="1"/>
  <c r="G79" i="1" s="1"/>
  <c r="F17" i="252"/>
  <c r="P78" i="1"/>
  <c r="P56" i="1"/>
  <c r="G81" i="1"/>
  <c r="P82" i="1"/>
  <c r="P79" i="1" s="1"/>
  <c r="G80" i="1"/>
  <c r="G59" i="1"/>
  <c r="I17" i="252"/>
  <c r="C29" i="268"/>
  <c r="P96" i="1"/>
  <c r="P93" i="1" s="1"/>
  <c r="P53" i="1"/>
  <c r="P50" i="1" s="1"/>
  <c r="P52" i="1"/>
  <c r="P63" i="1"/>
  <c r="P92" i="1"/>
  <c r="P95" i="1"/>
  <c r="P94" i="1"/>
  <c r="P67" i="1"/>
  <c r="P64" i="1" s="1"/>
  <c r="P65" i="1"/>
  <c r="P51" i="1"/>
  <c r="P66" i="1"/>
  <c r="P49" i="1"/>
  <c r="M18" i="1"/>
  <c r="L18" i="1"/>
  <c r="AQ18" i="1"/>
  <c r="V15" i="248" s="1"/>
  <c r="AQ17" i="1"/>
  <c r="V14" i="248" s="1"/>
  <c r="L17" i="1"/>
  <c r="M17" i="1"/>
  <c r="M24" i="1"/>
  <c r="AQ24" i="1"/>
  <c r="V21" i="248" s="1"/>
  <c r="L24" i="1"/>
  <c r="G60" i="1"/>
  <c r="G57" i="1" s="1"/>
  <c r="AQ14" i="1"/>
  <c r="V11" i="248" s="1"/>
  <c r="L14" i="1"/>
  <c r="M14" i="1"/>
  <c r="AQ42" i="1"/>
  <c r="V39" i="248" s="1"/>
  <c r="L42" i="1"/>
  <c r="M42" i="1"/>
  <c r="N5" i="1"/>
  <c r="G66" i="1"/>
  <c r="G67" i="1"/>
  <c r="G64" i="1" s="1"/>
  <c r="G95" i="1"/>
  <c r="G63" i="1"/>
  <c r="G96" i="1"/>
  <c r="G93" i="1" s="1"/>
  <c r="G53" i="1"/>
  <c r="G50" i="1" s="1"/>
  <c r="G52" i="1"/>
  <c r="G51" i="1"/>
  <c r="G94" i="1"/>
  <c r="G92" i="1"/>
  <c r="G49" i="1"/>
  <c r="G65" i="1"/>
  <c r="AQ11" i="1"/>
  <c r="V8" i="248" s="1"/>
  <c r="L11" i="1"/>
  <c r="M11" i="1"/>
  <c r="M29" i="1"/>
  <c r="L29" i="1"/>
  <c r="AQ29" i="1"/>
  <c r="V26" i="248" s="1"/>
  <c r="G78" i="1"/>
  <c r="AQ6" i="1"/>
  <c r="V3" i="248" s="1"/>
  <c r="L6" i="1"/>
  <c r="M6" i="1"/>
  <c r="AQ36" i="1"/>
  <c r="V33" i="248" s="1"/>
  <c r="M36" i="1"/>
  <c r="L36" i="1"/>
  <c r="G89" i="1"/>
  <c r="G86" i="1" s="1"/>
  <c r="G75" i="1"/>
  <c r="G72" i="1" s="1"/>
  <c r="P81" i="1"/>
  <c r="M23" i="1"/>
  <c r="L23" i="1"/>
  <c r="AQ23" i="1"/>
  <c r="V20" i="248" s="1"/>
  <c r="M7" i="1"/>
  <c r="AQ7" i="1"/>
  <c r="V4" i="248" s="1"/>
  <c r="L7" i="1"/>
  <c r="M13" i="1"/>
  <c r="L13" i="1"/>
  <c r="AQ13" i="1"/>
  <c r="V10" i="248" s="1"/>
  <c r="L20" i="1"/>
  <c r="AQ20" i="1"/>
  <c r="V17" i="248" s="1"/>
  <c r="M20" i="1"/>
  <c r="L16" i="1"/>
  <c r="M16" i="1"/>
  <c r="AQ16" i="1"/>
  <c r="V13" i="248" s="1"/>
  <c r="J17" i="252"/>
  <c r="L38" i="1"/>
  <c r="M38" i="1"/>
  <c r="AQ38" i="1"/>
  <c r="V35" i="248" s="1"/>
  <c r="M35" i="1"/>
  <c r="L35" i="1"/>
  <c r="AQ35" i="1"/>
  <c r="V32" i="248" s="1"/>
  <c r="AQ12" i="1"/>
  <c r="V9" i="248" s="1"/>
  <c r="L12" i="1"/>
  <c r="M12" i="1"/>
  <c r="P75" i="1"/>
  <c r="P72" i="1" s="1"/>
  <c r="P89" i="1"/>
  <c r="P86" i="1" s="1"/>
  <c r="M15" i="1"/>
  <c r="L15" i="1"/>
  <c r="AQ15" i="1"/>
  <c r="V12" i="248" s="1"/>
  <c r="AQ37" i="1"/>
  <c r="V34" i="248" s="1"/>
  <c r="M37" i="1"/>
  <c r="L37" i="1"/>
  <c r="E17" i="252"/>
  <c r="P59" i="1"/>
  <c r="M41" i="1"/>
  <c r="AQ41" i="1"/>
  <c r="V38" i="248" s="1"/>
  <c r="L41" i="1"/>
  <c r="L32" i="1"/>
  <c r="AQ32" i="1"/>
  <c r="V29" i="248" s="1"/>
  <c r="M32" i="1"/>
  <c r="L8" i="1"/>
  <c r="M8" i="1"/>
  <c r="AQ8" i="1"/>
  <c r="V5" i="248" s="1"/>
  <c r="C34" i="268" l="1"/>
  <c r="M40" i="1"/>
  <c r="L40" i="1"/>
  <c r="AQ40" i="1"/>
  <c r="V37" i="248" s="1"/>
  <c r="M5" i="1"/>
  <c r="L5" i="1"/>
  <c r="AQ5" i="1"/>
  <c r="V2" i="248" s="1"/>
  <c r="C16" i="268"/>
  <c r="U14" i="1"/>
  <c r="V14" i="1"/>
  <c r="L10" i="1"/>
  <c r="M10" i="1"/>
  <c r="AQ10" i="1"/>
  <c r="V7" i="248" s="1"/>
  <c r="M28" i="1"/>
  <c r="L28" i="1"/>
  <c r="AQ28" i="1"/>
  <c r="V25" i="248" s="1"/>
  <c r="AQ22" i="1"/>
  <c r="V19" i="248" s="1"/>
  <c r="M22" i="1"/>
  <c r="L22" i="1"/>
  <c r="AQ19" i="1"/>
  <c r="V16" i="248" s="1"/>
  <c r="L19" i="1"/>
  <c r="M19" i="1"/>
  <c r="AQ43" i="1"/>
  <c r="V40" i="248" s="1"/>
  <c r="M43" i="1"/>
  <c r="L43" i="1"/>
  <c r="M9" i="1"/>
  <c r="AQ9" i="1"/>
  <c r="V6" i="248" s="1"/>
  <c r="L9" i="1"/>
  <c r="AJ27" i="1"/>
  <c r="D17" i="252"/>
  <c r="C17" i="252"/>
  <c r="M34" i="1"/>
  <c r="L34" i="1"/>
  <c r="AQ34" i="1"/>
  <c r="V31" i="248" s="1"/>
  <c r="M30" i="1"/>
  <c r="L30" i="1"/>
  <c r="AQ30" i="1"/>
  <c r="V27" i="248" s="1"/>
  <c r="L21" i="1"/>
  <c r="AQ21" i="1"/>
  <c r="V18" i="248" s="1"/>
  <c r="M21" i="1"/>
  <c r="L26" i="1"/>
  <c r="AQ26" i="1"/>
  <c r="V23" i="248" s="1"/>
  <c r="M26" i="1"/>
  <c r="M31" i="1"/>
  <c r="AQ31" i="1"/>
  <c r="V28" i="248" s="1"/>
  <c r="L31" i="1"/>
  <c r="E29" i="268"/>
  <c r="D29" i="268"/>
  <c r="K35" i="69" a="1"/>
  <c r="O32" i="69" a="1"/>
  <c r="O23" i="69" a="1"/>
  <c r="F35" i="69" a="1"/>
  <c r="N35" i="69" a="1"/>
  <c r="P35" i="69" a="1"/>
  <c r="O36" i="69" a="1"/>
  <c r="B35" i="69" a="1"/>
  <c r="O24" i="69" a="1"/>
  <c r="O29" i="69" a="1"/>
  <c r="D35" i="69" a="1"/>
  <c r="O26" i="69" a="1"/>
  <c r="O33" i="69" a="1"/>
  <c r="O31" i="69" a="1"/>
  <c r="L35" i="69" a="1"/>
  <c r="I35" i="69" a="1"/>
  <c r="M35" i="69" a="1"/>
  <c r="C35" i="69" a="1"/>
  <c r="O35" i="69" a="1"/>
  <c r="O22" i="69" a="1"/>
  <c r="O34" i="69" a="1"/>
  <c r="Q52" i="248" l="1"/>
  <c r="Q51" i="248"/>
  <c r="U51" i="248"/>
  <c r="S51" i="248"/>
  <c r="Q54" i="248"/>
  <c r="Q53" i="248"/>
  <c r="U53" i="248"/>
  <c r="S53" i="248"/>
  <c r="S19" i="248"/>
  <c r="X24" i="248"/>
  <c r="J16" i="252"/>
  <c r="I16" i="252"/>
  <c r="E28" i="270"/>
  <c r="H12" i="252"/>
  <c r="E24" i="270"/>
  <c r="K13" i="265"/>
  <c r="E20" i="270"/>
  <c r="K9" i="265"/>
  <c r="K5" i="265"/>
  <c r="G12" i="252"/>
  <c r="K4" i="265"/>
  <c r="E19" i="270"/>
  <c r="E21" i="270"/>
  <c r="K6" i="265"/>
  <c r="AD6" i="248"/>
  <c r="K8" i="265"/>
  <c r="E23" i="270"/>
  <c r="E27" i="270"/>
  <c r="K12" i="265"/>
  <c r="G16" i="252"/>
  <c r="H16" i="252"/>
  <c r="E12" i="252"/>
  <c r="J12" i="252"/>
  <c r="F16" i="252"/>
  <c r="O32" i="69"/>
  <c r="O34" i="69"/>
  <c r="M35" i="69"/>
  <c r="P35" i="69"/>
  <c r="I35" i="69"/>
  <c r="N35" i="69"/>
  <c r="K35" i="69"/>
  <c r="K16" i="69" s="1"/>
  <c r="K54" i="69" s="1"/>
  <c r="O36" i="69"/>
  <c r="F35" i="69"/>
  <c r="O26" i="69"/>
  <c r="O35" i="69"/>
  <c r="O33" i="69"/>
  <c r="O23" i="69"/>
  <c r="L35" i="69"/>
  <c r="C35" i="69"/>
  <c r="O31" i="69"/>
  <c r="O12" i="69" s="1"/>
  <c r="O50" i="69" s="1"/>
  <c r="O29" i="69"/>
  <c r="B35" i="69"/>
  <c r="D35" i="69"/>
  <c r="O22" i="69"/>
  <c r="O24" i="69"/>
  <c r="C38" i="268"/>
  <c r="C17" i="268"/>
  <c r="U15" i="1"/>
  <c r="V15" i="1"/>
  <c r="F12" i="252"/>
  <c r="AJ14" i="1"/>
  <c r="W14" i="1"/>
  <c r="C31" i="268"/>
  <c r="E16" i="268"/>
  <c r="D16" i="268"/>
  <c r="E5" i="265"/>
  <c r="D12" i="252"/>
  <c r="E5" i="270"/>
  <c r="C12" i="252"/>
  <c r="E9" i="265"/>
  <c r="E9" i="270"/>
  <c r="E13" i="270"/>
  <c r="E13" i="265"/>
  <c r="AD5" i="248"/>
  <c r="E4" i="265"/>
  <c r="E4" i="270"/>
  <c r="E6" i="270"/>
  <c r="E6" i="265"/>
  <c r="C46" i="268"/>
  <c r="C10" i="268"/>
  <c r="U8" i="1"/>
  <c r="V8" i="1"/>
  <c r="C26" i="268"/>
  <c r="U24" i="1"/>
  <c r="V24" i="1"/>
  <c r="C16" i="252"/>
  <c r="D16" i="252"/>
  <c r="C19" i="268"/>
  <c r="U17" i="1"/>
  <c r="V17" i="1"/>
  <c r="AM27" i="1"/>
  <c r="AK27" i="1"/>
  <c r="AL27" i="1"/>
  <c r="E16" i="252"/>
  <c r="C7" i="268"/>
  <c r="U5" i="1"/>
  <c r="V5" i="1"/>
  <c r="I12" i="252"/>
  <c r="AJ32" i="1"/>
  <c r="C39" i="268"/>
  <c r="C13" i="268"/>
  <c r="U11" i="1"/>
  <c r="V11" i="1"/>
  <c r="C8" i="268"/>
  <c r="U6" i="1"/>
  <c r="V6" i="1"/>
  <c r="C35" i="268"/>
  <c r="C25" i="268"/>
  <c r="U23" i="1"/>
  <c r="V23" i="1"/>
  <c r="C44" i="268"/>
  <c r="C41" i="268"/>
  <c r="C40" i="268"/>
  <c r="C20" i="268"/>
  <c r="U18" i="1"/>
  <c r="V18" i="1"/>
  <c r="C14" i="268"/>
  <c r="U12" i="1"/>
  <c r="V12" i="1"/>
  <c r="C18" i="268"/>
  <c r="U16" i="1"/>
  <c r="V16" i="1"/>
  <c r="E34" i="268"/>
  <c r="D34" i="268"/>
  <c r="O10" i="69"/>
  <c r="O7" i="69"/>
  <c r="O5" i="69"/>
  <c r="O17" i="69"/>
  <c r="L16" i="69"/>
  <c r="I16" i="69"/>
  <c r="M16" i="69"/>
  <c r="N16" i="69"/>
  <c r="D16" i="69"/>
  <c r="O15" i="69"/>
  <c r="O16" i="69"/>
  <c r="O4" i="69"/>
  <c r="F16" i="69"/>
  <c r="O14" i="69"/>
  <c r="O13" i="69"/>
  <c r="B16" i="69"/>
  <c r="P16" i="69"/>
  <c r="C16" i="69"/>
  <c r="O3" i="69"/>
  <c r="T53" i="248" l="1"/>
  <c r="Y53" i="248" s="1"/>
  <c r="T51" i="248"/>
  <c r="Y51" i="248" s="1"/>
  <c r="X29" i="248"/>
  <c r="S24" i="248"/>
  <c r="S9" i="248"/>
  <c r="X11" i="248"/>
  <c r="T53" i="1"/>
  <c r="T50" i="1" s="1"/>
  <c r="T52" i="1"/>
  <c r="T60" i="1"/>
  <c r="T57" i="1" s="1"/>
  <c r="T56" i="1"/>
  <c r="T58" i="1"/>
  <c r="T59" i="1"/>
  <c r="C33" i="268"/>
  <c r="D33" i="268" s="1"/>
  <c r="T67" i="1"/>
  <c r="T64" i="1" s="1"/>
  <c r="T94" i="1"/>
  <c r="T82" i="1"/>
  <c r="T79" i="1" s="1"/>
  <c r="O41" i="69"/>
  <c r="O52" i="69"/>
  <c r="P54" i="69"/>
  <c r="N54" i="69"/>
  <c r="D54" i="69"/>
  <c r="O54" i="69"/>
  <c r="M54" i="69"/>
  <c r="O55" i="69"/>
  <c r="L54" i="69"/>
  <c r="B54" i="69"/>
  <c r="O45" i="69"/>
  <c r="O53" i="69"/>
  <c r="C54" i="69"/>
  <c r="O43" i="69"/>
  <c r="O42" i="69"/>
  <c r="I54" i="69"/>
  <c r="O48" i="69"/>
  <c r="F54" i="69"/>
  <c r="O51" i="69"/>
  <c r="C32" i="268"/>
  <c r="V85" i="1"/>
  <c r="E13" i="268"/>
  <c r="D13" i="268"/>
  <c r="E41" i="268"/>
  <c r="D41" i="268"/>
  <c r="AJ37" i="1"/>
  <c r="D26" i="268"/>
  <c r="E26" i="268"/>
  <c r="E33" i="268"/>
  <c r="C36" i="268"/>
  <c r="T95" i="1"/>
  <c r="AJ5" i="1"/>
  <c r="W5" i="1"/>
  <c r="AJ17" i="1"/>
  <c r="X14" i="248" s="1"/>
  <c r="W17" i="1"/>
  <c r="AJ8" i="1"/>
  <c r="W8" i="1"/>
  <c r="C11" i="268"/>
  <c r="U9" i="1"/>
  <c r="V9" i="1"/>
  <c r="C23" i="268"/>
  <c r="U21" i="1"/>
  <c r="V21" i="1"/>
  <c r="W16" i="1"/>
  <c r="AJ16" i="1"/>
  <c r="E18" i="266"/>
  <c r="G18" i="266" s="1"/>
  <c r="AJ38" i="1"/>
  <c r="D44" i="268"/>
  <c r="E44" i="268"/>
  <c r="AJ6" i="1"/>
  <c r="X3" i="248" s="1"/>
  <c r="W6" i="1"/>
  <c r="AM32" i="1"/>
  <c r="AL32" i="1"/>
  <c r="AK32" i="1"/>
  <c r="T51" i="1"/>
  <c r="T49" i="1"/>
  <c r="D19" i="268"/>
  <c r="E19" i="268"/>
  <c r="D10" i="268"/>
  <c r="E10" i="268"/>
  <c r="AK14" i="1"/>
  <c r="AL14" i="1"/>
  <c r="AM14" i="1"/>
  <c r="AJ24" i="1"/>
  <c r="W24" i="1"/>
  <c r="C37" i="268"/>
  <c r="T96" i="1"/>
  <c r="T93" i="1" s="1"/>
  <c r="D35" i="268"/>
  <c r="E35" i="268"/>
  <c r="T65" i="1"/>
  <c r="E31" i="268"/>
  <c r="D31" i="268"/>
  <c r="C21" i="268"/>
  <c r="U19" i="1"/>
  <c r="V19" i="1"/>
  <c r="E20" i="268"/>
  <c r="D20" i="268"/>
  <c r="D39" i="268"/>
  <c r="E39" i="268"/>
  <c r="C12" i="268"/>
  <c r="U10" i="1"/>
  <c r="V10" i="1"/>
  <c r="E17" i="266"/>
  <c r="AJ36" i="1"/>
  <c r="C43" i="268"/>
  <c r="V78" i="1"/>
  <c r="H13" i="256" s="1"/>
  <c r="E14" i="268"/>
  <c r="D14" i="268"/>
  <c r="E19" i="266"/>
  <c r="G19" i="266" s="1"/>
  <c r="AJ39" i="1"/>
  <c r="AJ33" i="1"/>
  <c r="AJ29" i="1"/>
  <c r="D17" i="268"/>
  <c r="E17" i="268"/>
  <c r="C28" i="268"/>
  <c r="T75" i="1"/>
  <c r="T72" i="1" s="1"/>
  <c r="T89" i="1"/>
  <c r="T86" i="1" s="1"/>
  <c r="C15" i="268"/>
  <c r="U13" i="1"/>
  <c r="V13" i="1"/>
  <c r="D18" i="268"/>
  <c r="E18" i="268"/>
  <c r="C45" i="268"/>
  <c r="C22" i="268"/>
  <c r="U20" i="1"/>
  <c r="V20" i="1"/>
  <c r="D40" i="268"/>
  <c r="E40" i="268"/>
  <c r="AJ23" i="1"/>
  <c r="W23" i="1"/>
  <c r="C42" i="268"/>
  <c r="U81" i="1"/>
  <c r="T78" i="1"/>
  <c r="C9" i="268"/>
  <c r="U7" i="1"/>
  <c r="V7" i="1"/>
  <c r="AJ18" i="1"/>
  <c r="W18" i="1"/>
  <c r="AJ42" i="1"/>
  <c r="E22" i="266"/>
  <c r="G22" i="266" s="1"/>
  <c r="T92" i="1"/>
  <c r="T80" i="1"/>
  <c r="T81" i="1"/>
  <c r="E8" i="268"/>
  <c r="D8" i="268"/>
  <c r="T63" i="1"/>
  <c r="E7" i="268"/>
  <c r="D7" i="268"/>
  <c r="AJ44" i="1"/>
  <c r="C30" i="268"/>
  <c r="C24" i="268"/>
  <c r="U22" i="1"/>
  <c r="V22" i="1"/>
  <c r="AJ12" i="1"/>
  <c r="W12" i="1"/>
  <c r="D25" i="268"/>
  <c r="E25" i="268"/>
  <c r="AJ11" i="1"/>
  <c r="W11" i="1"/>
  <c r="T66" i="1"/>
  <c r="E46" i="268"/>
  <c r="D46" i="268"/>
  <c r="AJ15" i="1"/>
  <c r="W15" i="1"/>
  <c r="E38" i="268"/>
  <c r="D38" i="268"/>
  <c r="C25" i="69" a="1"/>
  <c r="F28" i="69" a="1"/>
  <c r="H24" i="69" a="1"/>
  <c r="E33" i="69" a="1"/>
  <c r="L25" i="69" a="1"/>
  <c r="L28" i="69" a="1"/>
  <c r="E25" i="69" a="1"/>
  <c r="D28" i="69" a="1"/>
  <c r="E29" i="69" a="1"/>
  <c r="D25" i="69" a="1"/>
  <c r="H35" i="69" a="1"/>
  <c r="B28" i="69" a="1"/>
  <c r="H31" i="69" a="1"/>
  <c r="E35" i="69" a="1"/>
  <c r="H25" i="69" a="1"/>
  <c r="N25" i="69" a="1"/>
  <c r="E26" i="69" a="1"/>
  <c r="M28" i="69" a="1"/>
  <c r="H32" i="69" a="1"/>
  <c r="K25" i="69" a="1"/>
  <c r="E28" i="69" a="1"/>
  <c r="E34" i="69" a="1"/>
  <c r="E36" i="69" a="1"/>
  <c r="P25" i="69" a="1"/>
  <c r="E23" i="69" a="1"/>
  <c r="N28" i="69" a="1"/>
  <c r="H33" i="69" a="1"/>
  <c r="E24" i="69" a="1"/>
  <c r="I28" i="69" a="1"/>
  <c r="H28" i="69" a="1"/>
  <c r="E31" i="69" a="1"/>
  <c r="O25" i="69" a="1"/>
  <c r="H36" i="69" a="1"/>
  <c r="I25" i="69" a="1"/>
  <c r="O28" i="69" a="1"/>
  <c r="C28" i="69" a="1"/>
  <c r="H23" i="69" a="1"/>
  <c r="H34" i="69" a="1"/>
  <c r="E32" i="69" a="1"/>
  <c r="P28" i="69" a="1"/>
  <c r="H22" i="69" a="1"/>
  <c r="B25" i="69" a="1"/>
  <c r="H26" i="69" a="1"/>
  <c r="E22" i="69" a="1"/>
  <c r="K28" i="69" a="1"/>
  <c r="F25" i="69" a="1"/>
  <c r="H29" i="69" a="1"/>
  <c r="M25" i="69" a="1"/>
  <c r="X51" i="248" l="1"/>
  <c r="X53" i="248"/>
  <c r="X12" i="248"/>
  <c r="S10" i="248"/>
  <c r="X8" i="248"/>
  <c r="S6" i="248"/>
  <c r="S31" i="248"/>
  <c r="X36" i="248"/>
  <c r="S29" i="248"/>
  <c r="X34" i="248"/>
  <c r="X15" i="248"/>
  <c r="S12" i="248"/>
  <c r="S17" i="248"/>
  <c r="X20" i="248"/>
  <c r="X13" i="248"/>
  <c r="S11" i="248"/>
  <c r="S25" i="248"/>
  <c r="X30" i="248"/>
  <c r="X9" i="248"/>
  <c r="S7" i="248"/>
  <c r="S36" i="248"/>
  <c r="X41" i="248"/>
  <c r="S21" i="248"/>
  <c r="X26" i="248"/>
  <c r="X33" i="248"/>
  <c r="S28" i="248"/>
  <c r="X21" i="248"/>
  <c r="S18" i="248"/>
  <c r="X5" i="248"/>
  <c r="S3" i="248"/>
  <c r="X2" i="248"/>
  <c r="X39" i="248"/>
  <c r="S34" i="248"/>
  <c r="X35" i="248"/>
  <c r="S30" i="248"/>
  <c r="V53" i="1"/>
  <c r="V50" i="1" s="1"/>
  <c r="C13" i="256" s="1"/>
  <c r="B12" i="270"/>
  <c r="D8" i="270"/>
  <c r="U59" i="1"/>
  <c r="B8" i="270"/>
  <c r="V49" i="1"/>
  <c r="B13" i="256" s="1"/>
  <c r="V51" i="1"/>
  <c r="V94" i="1"/>
  <c r="V66" i="1"/>
  <c r="AJ31" i="1"/>
  <c r="E8" i="265"/>
  <c r="V80" i="1"/>
  <c r="D8" i="265"/>
  <c r="U53" i="1"/>
  <c r="U50" i="1" s="1"/>
  <c r="C9" i="256" s="1"/>
  <c r="N7" i="268" a="1"/>
  <c r="N8" i="268" s="1"/>
  <c r="V52" i="1"/>
  <c r="B12" i="265"/>
  <c r="C8" i="265"/>
  <c r="V56" i="1"/>
  <c r="D13" i="256" s="1"/>
  <c r="F8" i="270"/>
  <c r="E25" i="69"/>
  <c r="F25" i="69"/>
  <c r="P25" i="69"/>
  <c r="M25" i="69"/>
  <c r="E31" i="69"/>
  <c r="E12" i="69" s="1"/>
  <c r="E50" i="69" s="1"/>
  <c r="K25" i="69"/>
  <c r="K6" i="69" s="1"/>
  <c r="K44" i="69" s="1"/>
  <c r="E36" i="69"/>
  <c r="O25" i="69"/>
  <c r="E29" i="69"/>
  <c r="I25" i="69"/>
  <c r="D25" i="69"/>
  <c r="H25" i="69"/>
  <c r="E23" i="69"/>
  <c r="C25" i="69"/>
  <c r="E26" i="69"/>
  <c r="L25" i="69"/>
  <c r="E33" i="69"/>
  <c r="E34" i="69"/>
  <c r="N25" i="69"/>
  <c r="E32" i="69"/>
  <c r="B25" i="69"/>
  <c r="E22" i="69"/>
  <c r="E24" i="69"/>
  <c r="E35" i="69"/>
  <c r="N28" i="69"/>
  <c r="H34" i="69"/>
  <c r="H31" i="69"/>
  <c r="H12" i="69" s="1"/>
  <c r="H50" i="69" s="1"/>
  <c r="K28" i="69"/>
  <c r="K9" i="69" s="1"/>
  <c r="K47" i="69" s="1"/>
  <c r="H23" i="69"/>
  <c r="L28" i="69"/>
  <c r="H28" i="69"/>
  <c r="M28" i="69"/>
  <c r="H29" i="69"/>
  <c r="H36" i="69"/>
  <c r="B28" i="69"/>
  <c r="E28" i="69"/>
  <c r="O28" i="69"/>
  <c r="C28" i="69"/>
  <c r="D28" i="69"/>
  <c r="H33" i="69"/>
  <c r="H26" i="69"/>
  <c r="H32" i="69"/>
  <c r="F28" i="69"/>
  <c r="P28" i="69"/>
  <c r="I28" i="69"/>
  <c r="H22" i="69"/>
  <c r="H24" i="69"/>
  <c r="H35" i="69"/>
  <c r="M6" i="266"/>
  <c r="J18" i="266"/>
  <c r="D12" i="265"/>
  <c r="AK12" i="1"/>
  <c r="AM12" i="1"/>
  <c r="AL12" i="1"/>
  <c r="AJ28" i="1"/>
  <c r="AL42" i="1"/>
  <c r="AK42" i="1"/>
  <c r="AM42" i="1"/>
  <c r="K22" i="266"/>
  <c r="AJ26" i="1"/>
  <c r="U75" i="1"/>
  <c r="U72" i="1" s="1"/>
  <c r="G9" i="256" s="1"/>
  <c r="U89" i="1"/>
  <c r="U86" i="1" s="1"/>
  <c r="D12" i="270"/>
  <c r="C12" i="270"/>
  <c r="V59" i="1"/>
  <c r="E42" i="268"/>
  <c r="D42" i="268"/>
  <c r="D28" i="268"/>
  <c r="E28" i="268"/>
  <c r="E43" i="268"/>
  <c r="D43" i="268"/>
  <c r="V95" i="1"/>
  <c r="AJ19" i="1"/>
  <c r="W19" i="1"/>
  <c r="AJ35" i="1"/>
  <c r="U56" i="1"/>
  <c r="D9" i="256" s="1"/>
  <c r="D23" i="268"/>
  <c r="E23" i="268"/>
  <c r="U65" i="1"/>
  <c r="U49" i="1"/>
  <c r="B9" i="256" s="1"/>
  <c r="AM37" i="1"/>
  <c r="AL37" i="1"/>
  <c r="AK37" i="1"/>
  <c r="D32" i="268"/>
  <c r="E32" i="268"/>
  <c r="V89" i="1"/>
  <c r="V86" i="1" s="1"/>
  <c r="V75" i="1"/>
  <c r="V72" i="1" s="1"/>
  <c r="G13" i="256" s="1"/>
  <c r="AK24" i="1"/>
  <c r="AL24" i="1"/>
  <c r="AM24" i="1"/>
  <c r="E12" i="265"/>
  <c r="AJ22" i="1"/>
  <c r="W22" i="1"/>
  <c r="AJ43" i="1"/>
  <c r="E23" i="266"/>
  <c r="G23" i="266" s="1"/>
  <c r="W78" i="1"/>
  <c r="H17" i="256" s="1"/>
  <c r="AM29" i="1"/>
  <c r="AK29" i="1"/>
  <c r="AL29" i="1"/>
  <c r="AK36" i="1"/>
  <c r="K17" i="266"/>
  <c r="AM36" i="1"/>
  <c r="AL36" i="1"/>
  <c r="AL38" i="1"/>
  <c r="AM38" i="1"/>
  <c r="K18" i="266"/>
  <c r="AK38" i="1"/>
  <c r="AK8" i="1"/>
  <c r="AM8" i="1"/>
  <c r="AL8" i="1"/>
  <c r="U66" i="1"/>
  <c r="F12" i="270"/>
  <c r="V96" i="1"/>
  <c r="V93" i="1" s="1"/>
  <c r="D24" i="268"/>
  <c r="E24" i="268"/>
  <c r="AJ40" i="1"/>
  <c r="E20" i="266"/>
  <c r="G20" i="266" s="1"/>
  <c r="G17" i="266"/>
  <c r="E12" i="270"/>
  <c r="C12" i="265"/>
  <c r="V67" i="1"/>
  <c r="V64" i="1" s="1"/>
  <c r="V58" i="1"/>
  <c r="E30" i="268"/>
  <c r="D30" i="268"/>
  <c r="AK18" i="1"/>
  <c r="AM18" i="1"/>
  <c r="AL18" i="1"/>
  <c r="V82" i="1"/>
  <c r="V79" i="1" s="1"/>
  <c r="I13" i="256" s="1"/>
  <c r="U78" i="1"/>
  <c r="H9" i="256" s="1"/>
  <c r="AJ10" i="1"/>
  <c r="W10" i="1"/>
  <c r="D21" i="268"/>
  <c r="E21" i="268"/>
  <c r="U60" i="1"/>
  <c r="U57" i="1" s="1"/>
  <c r="E9" i="256" s="1"/>
  <c r="U67" i="1"/>
  <c r="U64" i="1" s="1"/>
  <c r="U51" i="1"/>
  <c r="U63" i="1"/>
  <c r="D45" i="268"/>
  <c r="E45" i="268"/>
  <c r="AJ41" i="1"/>
  <c r="E21" i="266"/>
  <c r="G21" i="266" s="1"/>
  <c r="W82" i="1"/>
  <c r="W79" i="1" s="1"/>
  <c r="I17" i="256" s="1"/>
  <c r="U94" i="1"/>
  <c r="AK5" i="1"/>
  <c r="AM5" i="1"/>
  <c r="AL5" i="1"/>
  <c r="AM33" i="1"/>
  <c r="AK33" i="1"/>
  <c r="AL33" i="1"/>
  <c r="W81" i="1"/>
  <c r="AJ21" i="1"/>
  <c r="W21" i="1"/>
  <c r="F8" i="265"/>
  <c r="I8" i="265"/>
  <c r="W85" i="1"/>
  <c r="AJ30" i="1"/>
  <c r="V63" i="1"/>
  <c r="AK15" i="1"/>
  <c r="AM15" i="1"/>
  <c r="AL15" i="1"/>
  <c r="F12" i="265"/>
  <c r="V60" i="1"/>
  <c r="V57" i="1" s="1"/>
  <c r="E13" i="256" s="1"/>
  <c r="AM44" i="1"/>
  <c r="AK44" i="1"/>
  <c r="AL44" i="1"/>
  <c r="V81" i="1"/>
  <c r="AJ20" i="1"/>
  <c r="W20" i="1"/>
  <c r="AJ13" i="1"/>
  <c r="W13" i="1"/>
  <c r="AM39" i="1"/>
  <c r="AK39" i="1"/>
  <c r="K19" i="266"/>
  <c r="AL39" i="1"/>
  <c r="U80" i="1"/>
  <c r="D12" i="268"/>
  <c r="E12" i="268"/>
  <c r="D37" i="268"/>
  <c r="E37" i="268"/>
  <c r="AK6" i="1"/>
  <c r="AL6" i="1"/>
  <c r="AM6" i="1"/>
  <c r="U58" i="1"/>
  <c r="AJ9" i="1"/>
  <c r="W9" i="1"/>
  <c r="U95" i="1"/>
  <c r="U96" i="1"/>
  <c r="U93" i="1" s="1"/>
  <c r="AJ34" i="1"/>
  <c r="D9" i="268"/>
  <c r="E9" i="268"/>
  <c r="V92" i="1"/>
  <c r="V65" i="1"/>
  <c r="E8" i="270"/>
  <c r="M10" i="266"/>
  <c r="J22" i="266"/>
  <c r="AK23" i="1"/>
  <c r="AL23" i="1"/>
  <c r="AM23" i="1"/>
  <c r="U92" i="1"/>
  <c r="AK17" i="1"/>
  <c r="AM17" i="1"/>
  <c r="AL17" i="1"/>
  <c r="AK11" i="1"/>
  <c r="AM11" i="1"/>
  <c r="AL11" i="1"/>
  <c r="AJ7" i="1"/>
  <c r="W7" i="1"/>
  <c r="E22" i="268"/>
  <c r="D22" i="268"/>
  <c r="E15" i="268"/>
  <c r="D15" i="268"/>
  <c r="M7" i="266"/>
  <c r="J19" i="266"/>
  <c r="U82" i="1"/>
  <c r="U79" i="1" s="1"/>
  <c r="I9" i="256" s="1"/>
  <c r="AM16" i="1"/>
  <c r="AK16" i="1"/>
  <c r="AL16" i="1"/>
  <c r="D11" i="268"/>
  <c r="E11" i="268"/>
  <c r="U52" i="1"/>
  <c r="B8" i="265"/>
  <c r="C8" i="270"/>
  <c r="E36" i="268"/>
  <c r="D36" i="268"/>
  <c r="P27" i="69" a="1"/>
  <c r="H15" i="69"/>
  <c r="H5" i="69"/>
  <c r="M6" i="69"/>
  <c r="H7" i="69"/>
  <c r="P9" i="69"/>
  <c r="G35" i="69" a="1"/>
  <c r="G25" i="69" a="1"/>
  <c r="B9" i="69"/>
  <c r="F9" i="69"/>
  <c r="H27" i="69" a="1"/>
  <c r="N27" i="69" a="1"/>
  <c r="E17" i="69"/>
  <c r="H17" i="69"/>
  <c r="L9" i="69"/>
  <c r="H16" i="69"/>
  <c r="E5" i="69"/>
  <c r="E10" i="69"/>
  <c r="E7" i="69"/>
  <c r="I27" i="69" a="1"/>
  <c r="P6" i="69"/>
  <c r="O27" i="69" a="1"/>
  <c r="M9" i="69"/>
  <c r="B27" i="69" a="1"/>
  <c r="E15" i="69"/>
  <c r="O6" i="69"/>
  <c r="B6" i="69"/>
  <c r="E3" i="69"/>
  <c r="G31" i="69" a="1"/>
  <c r="K27" i="69" a="1"/>
  <c r="G29" i="69" a="1"/>
  <c r="F27" i="69" a="1"/>
  <c r="G22" i="69" a="1"/>
  <c r="G32" i="69" a="1"/>
  <c r="D27" i="69" a="1"/>
  <c r="H9" i="69"/>
  <c r="C6" i="69"/>
  <c r="G33" i="69" a="1"/>
  <c r="G36" i="69" a="1"/>
  <c r="D6" i="69"/>
  <c r="F6" i="69"/>
  <c r="G26" i="69" a="1"/>
  <c r="E9" i="69"/>
  <c r="I6" i="69"/>
  <c r="H14" i="69"/>
  <c r="E14" i="69"/>
  <c r="D9" i="69"/>
  <c r="E6" i="69"/>
  <c r="H6" i="69"/>
  <c r="L6" i="69"/>
  <c r="L27" i="69" a="1"/>
  <c r="H10" i="69"/>
  <c r="C27" i="69" a="1"/>
  <c r="E13" i="69"/>
  <c r="G27" i="69" a="1"/>
  <c r="G28" i="69" a="1"/>
  <c r="H4" i="69"/>
  <c r="E4" i="69"/>
  <c r="C9" i="69"/>
  <c r="I9" i="69"/>
  <c r="O9" i="69"/>
  <c r="H3" i="69"/>
  <c r="H13" i="69"/>
  <c r="G24" i="69" a="1"/>
  <c r="M27" i="69" a="1"/>
  <c r="G23" i="69" a="1"/>
  <c r="G34" i="69" a="1"/>
  <c r="N9" i="69"/>
  <c r="N6" i="69"/>
  <c r="E27" i="69" a="1"/>
  <c r="E16" i="69"/>
  <c r="AD9" i="248" l="1"/>
  <c r="AE13" i="248"/>
  <c r="AE9" i="248"/>
  <c r="AM31" i="1"/>
  <c r="S23" i="248"/>
  <c r="X28" i="248"/>
  <c r="AE11" i="248"/>
  <c r="X17" i="248"/>
  <c r="S14" i="248"/>
  <c r="S15" i="248"/>
  <c r="X18" i="248"/>
  <c r="S27" i="248"/>
  <c r="X32" i="248"/>
  <c r="X25" i="248"/>
  <c r="S20" i="248"/>
  <c r="X4" i="248"/>
  <c r="S2" i="248"/>
  <c r="S5" i="248"/>
  <c r="X7" i="248"/>
  <c r="X40" i="248"/>
  <c r="S35" i="248"/>
  <c r="S8" i="248"/>
  <c r="X10" i="248"/>
  <c r="S13" i="248"/>
  <c r="X16" i="248"/>
  <c r="X31" i="248"/>
  <c r="S26" i="248"/>
  <c r="S4" i="248"/>
  <c r="X6" i="248"/>
  <c r="X27" i="248"/>
  <c r="S22" i="248"/>
  <c r="S33" i="248"/>
  <c r="X38" i="248"/>
  <c r="X37" i="248"/>
  <c r="S32" i="248"/>
  <c r="X19" i="248"/>
  <c r="S16" i="248"/>
  <c r="X23" i="248"/>
  <c r="AE15" i="248"/>
  <c r="B22" i="256"/>
  <c r="AJ58" i="1"/>
  <c r="W63" i="1"/>
  <c r="AJ56" i="1"/>
  <c r="D11" i="256" s="1"/>
  <c r="K10" i="265"/>
  <c r="AE6" i="248"/>
  <c r="E25" i="270"/>
  <c r="AJ51" i="1"/>
  <c r="AJ59" i="1"/>
  <c r="W65" i="1"/>
  <c r="W95" i="1"/>
  <c r="AJ49" i="1"/>
  <c r="B11" i="256" s="1"/>
  <c r="D10" i="270"/>
  <c r="W92" i="1"/>
  <c r="AJ65" i="1"/>
  <c r="W56" i="1"/>
  <c r="D17" i="256" s="1"/>
  <c r="D21" i="256" s="1"/>
  <c r="N17" i="268"/>
  <c r="N14" i="268"/>
  <c r="N18" i="268"/>
  <c r="N11" i="268"/>
  <c r="B25" i="270"/>
  <c r="I10" i="265"/>
  <c r="AJ71" i="1"/>
  <c r="F11" i="256" s="1"/>
  <c r="D25" i="270"/>
  <c r="AJ87" i="1"/>
  <c r="AB6" i="248"/>
  <c r="F25" i="270"/>
  <c r="AJ85" i="1"/>
  <c r="AJ74" i="1"/>
  <c r="AJ88" i="1"/>
  <c r="C25" i="270"/>
  <c r="AJ73" i="1"/>
  <c r="L10" i="265"/>
  <c r="H10" i="265"/>
  <c r="N7" i="268"/>
  <c r="N16" i="268"/>
  <c r="N13" i="268"/>
  <c r="N15" i="268"/>
  <c r="N9" i="268"/>
  <c r="N10" i="268"/>
  <c r="N12" i="268"/>
  <c r="W66" i="1"/>
  <c r="C10" i="265"/>
  <c r="W49" i="1"/>
  <c r="B17" i="256" s="1"/>
  <c r="AJ96" i="1"/>
  <c r="AJ93" i="1" s="1"/>
  <c r="B10" i="265"/>
  <c r="AL31" i="1"/>
  <c r="W53" i="1"/>
  <c r="W50" i="1" s="1"/>
  <c r="C17" i="256" s="1"/>
  <c r="W80" i="1"/>
  <c r="AK31" i="1"/>
  <c r="W94" i="1"/>
  <c r="W52" i="1"/>
  <c r="W51" i="1"/>
  <c r="H52" i="69"/>
  <c r="L44" i="69"/>
  <c r="H43" i="69"/>
  <c r="D47" i="69"/>
  <c r="H47" i="69"/>
  <c r="E43" i="69"/>
  <c r="E45" i="69"/>
  <c r="E55" i="69"/>
  <c r="H41" i="69"/>
  <c r="C47" i="69"/>
  <c r="L47" i="69"/>
  <c r="C44" i="69"/>
  <c r="P47" i="69"/>
  <c r="E47" i="69"/>
  <c r="E51" i="69"/>
  <c r="H44" i="69"/>
  <c r="M44" i="69"/>
  <c r="M47" i="69"/>
  <c r="E41" i="69"/>
  <c r="I47" i="69"/>
  <c r="H42" i="69"/>
  <c r="B44" i="69"/>
  <c r="F47" i="69"/>
  <c r="B47" i="69"/>
  <c r="N44" i="69"/>
  <c r="D44" i="69"/>
  <c r="P44" i="69"/>
  <c r="H54" i="69"/>
  <c r="E54" i="69"/>
  <c r="H51" i="69"/>
  <c r="H55" i="69"/>
  <c r="H53" i="69"/>
  <c r="E53" i="69"/>
  <c r="I44" i="69"/>
  <c r="F44" i="69"/>
  <c r="O44" i="69"/>
  <c r="O47" i="69"/>
  <c r="E42" i="69"/>
  <c r="B27" i="69"/>
  <c r="N27" i="69"/>
  <c r="L27" i="69"/>
  <c r="K27" i="69"/>
  <c r="K8" i="69" s="1"/>
  <c r="K46" i="69" s="1"/>
  <c r="G27" i="69"/>
  <c r="G33" i="69"/>
  <c r="G23" i="69"/>
  <c r="P27" i="69"/>
  <c r="C27" i="69"/>
  <c r="F27" i="69"/>
  <c r="G29" i="69"/>
  <c r="G31" i="69"/>
  <c r="G12" i="69" s="1"/>
  <c r="G50" i="69" s="1"/>
  <c r="E27" i="69"/>
  <c r="O27" i="69"/>
  <c r="G34" i="69"/>
  <c r="G36" i="69"/>
  <c r="I27" i="69"/>
  <c r="G26" i="69"/>
  <c r="H27" i="69"/>
  <c r="G32" i="69"/>
  <c r="D27" i="69"/>
  <c r="M27" i="69"/>
  <c r="G22" i="69"/>
  <c r="G24" i="69"/>
  <c r="G35" i="69"/>
  <c r="G28" i="69"/>
  <c r="G25" i="69"/>
  <c r="H45" i="69"/>
  <c r="H48" i="69"/>
  <c r="N47" i="69"/>
  <c r="E52" i="69"/>
  <c r="E48" i="69"/>
  <c r="E44" i="69"/>
  <c r="AM40" i="1"/>
  <c r="AK40" i="1"/>
  <c r="K20" i="266"/>
  <c r="AL40" i="1"/>
  <c r="J10" i="265"/>
  <c r="AK30" i="1"/>
  <c r="AM30" i="1"/>
  <c r="AL30" i="1"/>
  <c r="AJ95" i="1"/>
  <c r="AK13" i="1"/>
  <c r="AM13" i="1"/>
  <c r="AL13" i="1"/>
  <c r="E10" i="270"/>
  <c r="E10" i="265"/>
  <c r="AJ92" i="1"/>
  <c r="AK41" i="1"/>
  <c r="AM41" i="1"/>
  <c r="AL41" i="1"/>
  <c r="K21" i="266"/>
  <c r="W60" i="1"/>
  <c r="W57" i="1" s="1"/>
  <c r="E17" i="256" s="1"/>
  <c r="AJ80" i="1"/>
  <c r="W75" i="1"/>
  <c r="W72" i="1" s="1"/>
  <c r="G17" i="256" s="1"/>
  <c r="W89" i="1"/>
  <c r="W86" i="1" s="1"/>
  <c r="AM28" i="1"/>
  <c r="AK28" i="1"/>
  <c r="AL28" i="1"/>
  <c r="W96" i="1"/>
  <c r="W93" i="1" s="1"/>
  <c r="AK19" i="1"/>
  <c r="AM19" i="1"/>
  <c r="AL19" i="1"/>
  <c r="F10" i="270"/>
  <c r="AJ94" i="1"/>
  <c r="M9" i="266"/>
  <c r="J21" i="266"/>
  <c r="W59" i="1"/>
  <c r="AJ82" i="1"/>
  <c r="AJ79" i="1" s="1"/>
  <c r="I11" i="256" s="1"/>
  <c r="O7" i="268" a="1"/>
  <c r="C10" i="270"/>
  <c r="AJ63" i="1"/>
  <c r="E25" i="266"/>
  <c r="W58" i="1"/>
  <c r="AJ78" i="1"/>
  <c r="H11" i="256" s="1"/>
  <c r="AM34" i="1"/>
  <c r="AL34" i="1"/>
  <c r="AK34" i="1"/>
  <c r="AK9" i="1"/>
  <c r="AM9" i="1"/>
  <c r="AL9" i="1"/>
  <c r="AJ67" i="1"/>
  <c r="AJ64" i="1" s="1"/>
  <c r="AE5" i="248"/>
  <c r="B10" i="270"/>
  <c r="F10" i="265"/>
  <c r="AK10" i="1"/>
  <c r="AM10" i="1"/>
  <c r="AL10" i="1"/>
  <c r="J17" i="266"/>
  <c r="M5" i="266"/>
  <c r="G25" i="266"/>
  <c r="J23" i="266"/>
  <c r="M11" i="266"/>
  <c r="AM35" i="1"/>
  <c r="AL35" i="1"/>
  <c r="AK35" i="1"/>
  <c r="AK22" i="1"/>
  <c r="AL22" i="1"/>
  <c r="AM22" i="1"/>
  <c r="D10" i="265"/>
  <c r="AJ81" i="1"/>
  <c r="AJ60" i="1"/>
  <c r="AJ57" i="1" s="1"/>
  <c r="E11" i="256" s="1"/>
  <c r="AJ66" i="1"/>
  <c r="AK7" i="1"/>
  <c r="AL7" i="1"/>
  <c r="AM7" i="1"/>
  <c r="AK20" i="1"/>
  <c r="AL20" i="1"/>
  <c r="AM20" i="1"/>
  <c r="AK21" i="1"/>
  <c r="AL21" i="1"/>
  <c r="AM21" i="1"/>
  <c r="AJ52" i="1"/>
  <c r="AB5" i="248"/>
  <c r="AJ53" i="1"/>
  <c r="AJ50" i="1" s="1"/>
  <c r="C11" i="256" s="1"/>
  <c r="J20" i="266"/>
  <c r="M8" i="266"/>
  <c r="AK43" i="1"/>
  <c r="AM43" i="1"/>
  <c r="AL43" i="1"/>
  <c r="K23" i="266"/>
  <c r="W67" i="1"/>
  <c r="W64" i="1" s="1"/>
  <c r="AK26" i="1"/>
  <c r="AJ89" i="1"/>
  <c r="AJ86" i="1" s="1"/>
  <c r="AJ75" i="1"/>
  <c r="AJ72" i="1" s="1"/>
  <c r="G11" i="256" s="1"/>
  <c r="AM26" i="1"/>
  <c r="AL26" i="1"/>
  <c r="G8" i="69"/>
  <c r="P30" i="69" a="1"/>
  <c r="I8" i="69"/>
  <c r="J27" i="69" a="1"/>
  <c r="J31" i="69" a="1"/>
  <c r="J24" i="69" a="1"/>
  <c r="G10" i="69"/>
  <c r="E30" i="69" a="1"/>
  <c r="H8" i="69"/>
  <c r="G16" i="69"/>
  <c r="J35" i="69" a="1"/>
  <c r="F30" i="69" a="1"/>
  <c r="C30" i="69" a="1"/>
  <c r="J33" i="69" a="1"/>
  <c r="J34" i="69" a="1"/>
  <c r="G3" i="69"/>
  <c r="D30" i="69" a="1"/>
  <c r="C8" i="69"/>
  <c r="J29" i="69" a="1"/>
  <c r="J30" i="69" a="1"/>
  <c r="G13" i="69"/>
  <c r="M8" i="69"/>
  <c r="G15" i="69"/>
  <c r="J22" i="69" a="1"/>
  <c r="J32" i="69" a="1"/>
  <c r="N8" i="69"/>
  <c r="J26" i="69" a="1"/>
  <c r="K30" i="69" a="1"/>
  <c r="J28" i="69" a="1"/>
  <c r="O30" i="69" a="1"/>
  <c r="L30" i="69" a="1"/>
  <c r="B30" i="69" a="1"/>
  <c r="L8" i="69"/>
  <c r="G14" i="69"/>
  <c r="F8" i="69"/>
  <c r="H30" i="69" a="1"/>
  <c r="J23" i="69" a="1"/>
  <c r="G30" i="69" a="1"/>
  <c r="J36" i="69" a="1"/>
  <c r="N30" i="69" a="1"/>
  <c r="G6" i="69"/>
  <c r="J25" i="69" a="1"/>
  <c r="O8" i="69"/>
  <c r="G9" i="69"/>
  <c r="G4" i="69"/>
  <c r="M30" i="69" a="1"/>
  <c r="I30" i="69" a="1"/>
  <c r="G7" i="69"/>
  <c r="G5" i="69"/>
  <c r="P8" i="69"/>
  <c r="G17" i="69"/>
  <c r="B8" i="69"/>
  <c r="E8" i="69"/>
  <c r="D8" i="69"/>
  <c r="U52" i="248" l="1"/>
  <c r="R52" i="248"/>
  <c r="U54" i="248"/>
  <c r="S54" i="248"/>
  <c r="R54" i="248"/>
  <c r="S52" i="248"/>
  <c r="U46" i="248"/>
  <c r="U48" i="248"/>
  <c r="S48" i="248"/>
  <c r="R46" i="248"/>
  <c r="S46" i="248"/>
  <c r="R48" i="248"/>
  <c r="K17" i="256"/>
  <c r="AK53" i="1"/>
  <c r="AK50" i="1" s="1"/>
  <c r="AL60" i="1"/>
  <c r="AL57" i="1" s="1"/>
  <c r="E15" i="256" s="1"/>
  <c r="AL51" i="1"/>
  <c r="AK67" i="1"/>
  <c r="AK64" i="1" s="1"/>
  <c r="E29" i="270"/>
  <c r="K14" i="265"/>
  <c r="AM51" i="1"/>
  <c r="AM53" i="1"/>
  <c r="AM50" i="1" s="1"/>
  <c r="C19" i="256" s="1"/>
  <c r="AL78" i="1"/>
  <c r="H15" i="256" s="1"/>
  <c r="AL65" i="1"/>
  <c r="AK85" i="1"/>
  <c r="N20" i="268"/>
  <c r="AK73" i="1"/>
  <c r="AK74" i="1"/>
  <c r="AK88" i="1"/>
  <c r="AK71" i="1"/>
  <c r="AK87" i="1"/>
  <c r="K25" i="266"/>
  <c r="AL81" i="1"/>
  <c r="I14" i="265"/>
  <c r="B29" i="270"/>
  <c r="L14" i="265"/>
  <c r="AL88" i="1"/>
  <c r="C29" i="270"/>
  <c r="F29" i="270"/>
  <c r="AL71" i="1"/>
  <c r="F15" i="256" s="1"/>
  <c r="AL73" i="1"/>
  <c r="D29" i="270"/>
  <c r="AL87" i="1"/>
  <c r="J14" i="265"/>
  <c r="AL85" i="1"/>
  <c r="H14" i="265"/>
  <c r="AM75" i="1"/>
  <c r="AM72" i="1" s="1"/>
  <c r="G19" i="256" s="1"/>
  <c r="AM74" i="1"/>
  <c r="AM73" i="1"/>
  <c r="AM71" i="1"/>
  <c r="F19" i="256" s="1"/>
  <c r="AL74" i="1"/>
  <c r="E14" i="265"/>
  <c r="AL52" i="1"/>
  <c r="AM60" i="1"/>
  <c r="AM57" i="1" s="1"/>
  <c r="E19" i="256" s="1"/>
  <c r="AK95" i="1"/>
  <c r="AM81" i="1"/>
  <c r="AK49" i="1"/>
  <c r="AL94" i="1"/>
  <c r="AL80" i="1"/>
  <c r="B14" i="265"/>
  <c r="AL66" i="1"/>
  <c r="AL96" i="1"/>
  <c r="AL93" i="1" s="1"/>
  <c r="AK78" i="1"/>
  <c r="AL49" i="1"/>
  <c r="B15" i="256" s="1"/>
  <c r="AM66" i="1"/>
  <c r="E14" i="270"/>
  <c r="AL53" i="1"/>
  <c r="AL50" i="1" s="1"/>
  <c r="C15" i="256" s="1"/>
  <c r="F14" i="270"/>
  <c r="AM65" i="1"/>
  <c r="AK59" i="1"/>
  <c r="G43" i="69"/>
  <c r="G55" i="69"/>
  <c r="G41" i="69"/>
  <c r="G53" i="69"/>
  <c r="G42" i="69"/>
  <c r="M46" i="69"/>
  <c r="O46" i="69"/>
  <c r="G52" i="69"/>
  <c r="G47" i="69"/>
  <c r="G45" i="69"/>
  <c r="F46" i="69"/>
  <c r="N46" i="69"/>
  <c r="G54" i="69"/>
  <c r="I46" i="69"/>
  <c r="C46" i="69"/>
  <c r="B46" i="69"/>
  <c r="D46" i="69"/>
  <c r="E46" i="69"/>
  <c r="G46" i="69"/>
  <c r="P46" i="69"/>
  <c r="G51" i="69"/>
  <c r="G30" i="69"/>
  <c r="I30" i="69"/>
  <c r="J31" i="69"/>
  <c r="J12" i="69" s="1"/>
  <c r="J50" i="69" s="1"/>
  <c r="J34" i="69"/>
  <c r="M30" i="69"/>
  <c r="J30" i="69"/>
  <c r="J23" i="69"/>
  <c r="J36" i="69"/>
  <c r="K30" i="69"/>
  <c r="K11" i="69" s="1"/>
  <c r="K49" i="69" s="1"/>
  <c r="J32" i="69"/>
  <c r="J26" i="69"/>
  <c r="F30" i="69"/>
  <c r="H30" i="69"/>
  <c r="L30" i="69"/>
  <c r="E30" i="69"/>
  <c r="N30" i="69"/>
  <c r="D30" i="69"/>
  <c r="O30" i="69"/>
  <c r="J29" i="69"/>
  <c r="J33" i="69"/>
  <c r="C30" i="69"/>
  <c r="B30" i="69"/>
  <c r="P30" i="69"/>
  <c r="J22" i="69"/>
  <c r="J24" i="69"/>
  <c r="J35" i="69"/>
  <c r="J28" i="69"/>
  <c r="J25" i="69"/>
  <c r="J27" i="69"/>
  <c r="G44" i="69"/>
  <c r="H46" i="69"/>
  <c r="G48" i="69"/>
  <c r="L46" i="69"/>
  <c r="D14" i="265"/>
  <c r="AL58" i="1"/>
  <c r="AK58" i="1"/>
  <c r="B14" i="270"/>
  <c r="AK96" i="1"/>
  <c r="AK93" i="1" s="1"/>
  <c r="AK51" i="1"/>
  <c r="AK81" i="1"/>
  <c r="F14" i="265"/>
  <c r="AL56" i="1"/>
  <c r="D15" i="256" s="1"/>
  <c r="AK56" i="1"/>
  <c r="J25" i="266"/>
  <c r="O15" i="268"/>
  <c r="O8" i="268"/>
  <c r="O14" i="268"/>
  <c r="O9" i="268"/>
  <c r="O11" i="268"/>
  <c r="O16" i="268"/>
  <c r="O17" i="268"/>
  <c r="O13" i="268"/>
  <c r="O7" i="268"/>
  <c r="O18" i="268"/>
  <c r="O12" i="268"/>
  <c r="O10" i="268"/>
  <c r="AK92" i="1"/>
  <c r="AK94" i="1"/>
  <c r="AK82" i="1"/>
  <c r="AK79" i="1" s="1"/>
  <c r="AM63" i="1"/>
  <c r="AM58" i="1"/>
  <c r="AK63" i="1"/>
  <c r="AM78" i="1"/>
  <c r="H19" i="256" s="1"/>
  <c r="AM82" i="1"/>
  <c r="AM79" i="1" s="1"/>
  <c r="I19" i="256" s="1"/>
  <c r="AM52" i="1"/>
  <c r="AM80" i="1"/>
  <c r="C14" i="270"/>
  <c r="AL95" i="1"/>
  <c r="AK60" i="1"/>
  <c r="AK57" i="1" s="1"/>
  <c r="AK66" i="1"/>
  <c r="AK80" i="1"/>
  <c r="AM49" i="1"/>
  <c r="B19" i="256" s="1"/>
  <c r="AL82" i="1"/>
  <c r="AL79" i="1" s="1"/>
  <c r="I15" i="256" s="1"/>
  <c r="AM67" i="1"/>
  <c r="AM64" i="1" s="1"/>
  <c r="AM56" i="1"/>
  <c r="D19" i="256" s="1"/>
  <c r="AK52" i="1"/>
  <c r="AK65" i="1"/>
  <c r="C14" i="265"/>
  <c r="AL63" i="1"/>
  <c r="AL59" i="1"/>
  <c r="M13" i="266"/>
  <c r="AK75" i="1"/>
  <c r="AK72" i="1" s="1"/>
  <c r="AK89" i="1"/>
  <c r="AK86" i="1" s="1"/>
  <c r="D14" i="270"/>
  <c r="AL67" i="1"/>
  <c r="AL64" i="1" s="1"/>
  <c r="AL92" i="1"/>
  <c r="AL89" i="1"/>
  <c r="AL86" i="1" s="1"/>
  <c r="AL75" i="1"/>
  <c r="AL72" i="1" s="1"/>
  <c r="G15" i="256" s="1"/>
  <c r="AM59" i="1"/>
  <c r="J17" i="69"/>
  <c r="C11" i="69"/>
  <c r="J4" i="69"/>
  <c r="G11" i="69"/>
  <c r="J14" i="69"/>
  <c r="J8" i="69"/>
  <c r="L11" i="69"/>
  <c r="J13" i="69"/>
  <c r="J15" i="69"/>
  <c r="P11" i="69"/>
  <c r="J11" i="69"/>
  <c r="M11" i="69"/>
  <c r="F11" i="69"/>
  <c r="J3" i="69"/>
  <c r="B11" i="69"/>
  <c r="J16" i="69"/>
  <c r="O11" i="69"/>
  <c r="D11" i="69"/>
  <c r="I11" i="69"/>
  <c r="E11" i="69"/>
  <c r="J10" i="69"/>
  <c r="J7" i="69"/>
  <c r="J9" i="69"/>
  <c r="N11" i="69"/>
  <c r="J6" i="69"/>
  <c r="H11" i="69"/>
  <c r="J5" i="69"/>
  <c r="T54" i="248" l="1"/>
  <c r="X54" i="248" s="1"/>
  <c r="T52" i="248"/>
  <c r="X52" i="248" s="1"/>
  <c r="T48" i="248"/>
  <c r="Y48" i="248" s="1"/>
  <c r="T46" i="248"/>
  <c r="X46" i="248" s="1"/>
  <c r="O20" i="268"/>
  <c r="O49" i="69"/>
  <c r="G49" i="69"/>
  <c r="P49" i="69"/>
  <c r="E49" i="69"/>
  <c r="J42" i="69"/>
  <c r="B49" i="69"/>
  <c r="L49" i="69"/>
  <c r="J49" i="69"/>
  <c r="J54" i="69"/>
  <c r="J51" i="69"/>
  <c r="I49" i="69"/>
  <c r="D49" i="69"/>
  <c r="J41" i="69"/>
  <c r="N49" i="69"/>
  <c r="J46" i="69"/>
  <c r="C49" i="69"/>
  <c r="H49" i="69"/>
  <c r="M49" i="69"/>
  <c r="J47" i="69"/>
  <c r="J48" i="69"/>
  <c r="J45" i="69"/>
  <c r="J43" i="69"/>
  <c r="J55" i="69"/>
  <c r="J44" i="69"/>
  <c r="J52" i="69"/>
  <c r="F49" i="69"/>
  <c r="J53" i="69"/>
  <c r="C3" i="223" a="1"/>
  <c r="Y54" i="248" l="1"/>
  <c r="X48" i="248"/>
  <c r="Y52" i="248"/>
  <c r="Y46" i="248"/>
  <c r="C33" i="223"/>
  <c r="C35" i="223"/>
  <c r="C39" i="223"/>
  <c r="C13" i="223"/>
  <c r="C31" i="223"/>
  <c r="C41" i="223"/>
  <c r="C28" i="223"/>
  <c r="C29" i="223"/>
  <c r="C3" i="223"/>
  <c r="C16" i="223"/>
  <c r="C22" i="223"/>
  <c r="C7" i="223"/>
  <c r="C20" i="223"/>
  <c r="C26" i="223"/>
  <c r="C36" i="223"/>
  <c r="C14" i="223"/>
  <c r="C34" i="223"/>
  <c r="C12" i="223"/>
  <c r="C9" i="223"/>
  <c r="C19" i="223"/>
  <c r="C15" i="223"/>
  <c r="C25" i="223"/>
  <c r="C17" i="223"/>
  <c r="C38" i="223"/>
  <c r="C5" i="223"/>
  <c r="C23" i="223"/>
  <c r="C27" i="223"/>
  <c r="C11" i="223"/>
  <c r="C18" i="223"/>
  <c r="C6" i="223"/>
  <c r="C40" i="223"/>
  <c r="C37" i="223"/>
  <c r="C30" i="223"/>
  <c r="C24" i="223"/>
  <c r="C42" i="223"/>
  <c r="C4" i="223"/>
  <c r="C32" i="223"/>
  <c r="C10" i="223"/>
  <c r="C21" i="223"/>
  <c r="C8" i="223"/>
  <c r="D46" i="223" l="1" a="1"/>
  <c r="D46" i="223" s="1"/>
</calcChain>
</file>

<file path=xl/comments1.xml><?xml version="1.0" encoding="utf-8"?>
<comments xmlns="http://schemas.openxmlformats.org/spreadsheetml/2006/main">
  <authors>
    <author>EPA</author>
    <author>mcm</author>
  </authors>
  <commentList>
    <comment ref="A3" authorId="0" shapeId="0">
      <text>
        <r>
          <rPr>
            <sz val="9"/>
            <color indexed="81"/>
            <rFont val="Tahoma"/>
            <family val="2"/>
          </rPr>
          <t xml:space="preserve">SP01: Shoal
SP02: Channel
</t>
        </r>
      </text>
    </comment>
    <comment ref="A5" authorId="0" shapeId="0">
      <text>
        <r>
          <rPr>
            <sz val="9"/>
            <color indexed="81"/>
            <rFont val="Tahoma"/>
            <family val="2"/>
          </rPr>
          <t>Secchi at channel 
site was repeated for shoal</t>
        </r>
      </text>
    </comment>
    <comment ref="A6" authorId="0" shapeId="0">
      <text>
        <r>
          <rPr>
            <sz val="9"/>
            <color indexed="81"/>
            <rFont val="Tahoma"/>
            <family val="2"/>
          </rPr>
          <t>kW/m2</t>
        </r>
      </text>
    </comment>
    <comment ref="A20" authorId="1" shapeId="0">
      <text>
        <r>
          <rPr>
            <b/>
            <sz val="9"/>
            <color indexed="81"/>
            <rFont val="Tahoma"/>
            <family val="2"/>
          </rPr>
          <t>mcm:</t>
        </r>
        <r>
          <rPr>
            <sz val="9"/>
            <color indexed="81"/>
            <rFont val="Tahoma"/>
            <family val="2"/>
          </rPr>
          <t xml:space="preserve">
CTD fluorescence</t>
        </r>
      </text>
    </comment>
    <comment ref="A21" authorId="1" shapeId="0">
      <text>
        <r>
          <rPr>
            <sz val="9"/>
            <color indexed="81"/>
            <rFont val="Tahoma"/>
            <family val="2"/>
          </rPr>
          <t>Calculated from CTD profiles</t>
        </r>
      </text>
    </comment>
    <comment ref="A22" authorId="1" shapeId="0">
      <text>
        <r>
          <rPr>
            <sz val="9"/>
            <color indexed="81"/>
            <rFont val="Tahoma"/>
            <family val="2"/>
          </rPr>
          <t>Bottom minus surface bin</t>
        </r>
      </text>
    </comment>
    <comment ref="A41" authorId="0" shapeId="0">
      <text>
        <r>
          <rPr>
            <sz val="9"/>
            <color indexed="81"/>
            <rFont val="Tahoma"/>
            <family val="2"/>
          </rPr>
          <t>Using my version of blank correction to calculate</t>
        </r>
      </text>
    </comment>
    <comment ref="A53" authorId="1" shapeId="0">
      <text>
        <r>
          <rPr>
            <sz val="9"/>
            <color indexed="81"/>
            <rFont val="Tahoma"/>
            <family val="2"/>
          </rPr>
          <t>mmol O2/m3/d</t>
        </r>
      </text>
    </comment>
    <comment ref="A59" authorId="1" shapeId="0">
      <text>
        <r>
          <rPr>
            <sz val="9"/>
            <color indexed="81"/>
            <rFont val="Tahoma"/>
            <family val="2"/>
          </rPr>
          <t>mmol O2/m3/d</t>
        </r>
      </text>
    </comment>
    <comment ref="A64" authorId="1" shapeId="0">
      <text>
        <r>
          <rPr>
            <sz val="9"/>
            <color indexed="81"/>
            <rFont val="Tahoma"/>
            <family val="2"/>
          </rPr>
          <t>mmol O2/m3/d</t>
        </r>
      </text>
    </comment>
    <comment ref="A65" authorId="1" shapeId="0">
      <text>
        <r>
          <rPr>
            <sz val="9"/>
            <color indexed="81"/>
            <rFont val="Tahoma"/>
            <family val="2"/>
          </rPr>
          <t>mmol O2/m3/d</t>
        </r>
      </text>
    </comment>
    <comment ref="A69" authorId="0" shapeId="0">
      <text>
        <r>
          <rPr>
            <sz val="9"/>
            <color indexed="81"/>
            <rFont val="Tahoma"/>
            <family val="2"/>
          </rPr>
          <t xml:space="preserve">Revised to use vertical chlorophyll fluorescence </t>
        </r>
      </text>
    </comment>
    <comment ref="A74" authorId="1" shapeId="0">
      <text>
        <r>
          <rPr>
            <b/>
            <sz val="9"/>
            <color indexed="81"/>
            <rFont val="Tahoma"/>
            <family val="2"/>
          </rPr>
          <t>mcm:</t>
        </r>
        <r>
          <rPr>
            <sz val="9"/>
            <color indexed="81"/>
            <rFont val="Tahoma"/>
            <family val="2"/>
          </rPr>
          <t xml:space="preserve">
Calculated in R using CTD chlorophyll profiles, rather than just surface values</t>
        </r>
      </text>
    </comment>
    <comment ref="A90" authorId="1" shapeId="0">
      <text>
        <r>
          <rPr>
            <b/>
            <sz val="9"/>
            <color indexed="81"/>
            <rFont val="Tahoma"/>
            <family val="2"/>
          </rPr>
          <t>mcm:</t>
        </r>
        <r>
          <rPr>
            <sz val="9"/>
            <color indexed="81"/>
            <rFont val="Tahoma"/>
            <family val="2"/>
          </rPr>
          <t xml:space="preserve">
Cloern 1999
(Io/kH)(1-exp(-kH)</t>
        </r>
      </text>
    </comment>
    <comment ref="A96" authorId="0" shapeId="0">
      <text>
        <r>
          <rPr>
            <sz val="9"/>
            <color indexed="81"/>
            <rFont val="Tahoma"/>
            <family val="2"/>
          </rPr>
          <t>Berounsky and Nixon 1993</t>
        </r>
      </text>
    </comment>
    <comment ref="A128" authorId="0" shapeId="0">
      <text>
        <r>
          <rPr>
            <b/>
            <sz val="9"/>
            <color indexed="81"/>
            <rFont val="Tahoma"/>
            <family val="2"/>
          </rPr>
          <t>EPA:</t>
        </r>
        <r>
          <rPr>
            <sz val="9"/>
            <color indexed="81"/>
            <rFont val="Tahoma"/>
            <family val="2"/>
          </rPr>
          <t xml:space="preserve">
generated from R version, using mean by calendar day and adding 0.5 m</t>
        </r>
      </text>
    </comment>
  </commentList>
</comments>
</file>

<file path=xl/comments2.xml><?xml version="1.0" encoding="utf-8"?>
<comments xmlns="http://schemas.openxmlformats.org/spreadsheetml/2006/main">
  <authors>
    <author>EPA</author>
    <author>mcm</author>
    <author>mmurrell</author>
  </authors>
  <commentList>
    <comment ref="B4" authorId="0" shapeId="0">
      <text>
        <r>
          <rPr>
            <sz val="9"/>
            <color indexed="81"/>
            <rFont val="Tahoma"/>
            <family val="2"/>
          </rPr>
          <t xml:space="preserve">SP01: Shoal
SP02: Channel
</t>
        </r>
      </text>
    </comment>
    <comment ref="C4" authorId="0" shapeId="0">
      <text>
        <r>
          <rPr>
            <sz val="9"/>
            <color indexed="81"/>
            <rFont val="Tahoma"/>
            <family val="2"/>
          </rPr>
          <t>Bottom Depth (m)</t>
        </r>
      </text>
    </comment>
    <comment ref="D4" authorId="0" shapeId="0">
      <text>
        <r>
          <rPr>
            <sz val="9"/>
            <color indexed="81"/>
            <rFont val="Tahoma"/>
            <family val="2"/>
          </rPr>
          <t>Secchi at channel 
site was repeated for shoal</t>
        </r>
      </text>
    </comment>
    <comment ref="E4" authorId="0" shapeId="0">
      <text>
        <r>
          <rPr>
            <sz val="9"/>
            <color indexed="81"/>
            <rFont val="Tahoma"/>
            <family val="2"/>
          </rPr>
          <t>kW/m2</t>
        </r>
      </text>
    </comment>
    <comment ref="F4" authorId="0" shapeId="0">
      <text>
        <r>
          <rPr>
            <sz val="9"/>
            <color indexed="81"/>
            <rFont val="Tahoma"/>
            <family val="2"/>
          </rPr>
          <t xml:space="preserve">Measured chl a concentration (mg m-3)
</t>
        </r>
      </text>
    </comment>
    <comment ref="G4" authorId="0" shapeId="0">
      <text>
        <r>
          <rPr>
            <sz val="9"/>
            <color indexed="81"/>
            <rFont val="Tahoma"/>
            <family val="2"/>
          </rPr>
          <t xml:space="preserve">Water column average Chl a estimated from CTD fluorescence sensor 
</t>
        </r>
      </text>
    </comment>
    <comment ref="H4" authorId="0" shapeId="0">
      <text>
        <r>
          <rPr>
            <sz val="9"/>
            <color indexed="81"/>
            <rFont val="Tahoma"/>
            <family val="2"/>
          </rPr>
          <t>Water Column Average Temperature (°C) derived from CTD bin averaged data</t>
        </r>
      </text>
    </comment>
    <comment ref="I4" authorId="0" shapeId="0">
      <text>
        <r>
          <rPr>
            <sz val="9"/>
            <color indexed="81"/>
            <rFont val="Tahoma"/>
            <family val="2"/>
          </rPr>
          <t>Water Column Average Salinity (psu) derived from CTD bin averaged data</t>
        </r>
      </text>
    </comment>
    <comment ref="J4" authorId="0" shapeId="0">
      <text>
        <r>
          <rPr>
            <sz val="9"/>
            <color indexed="81"/>
            <rFont val="Tahoma"/>
            <family val="2"/>
          </rPr>
          <t xml:space="preserve">Daily Tide Range (m)
</t>
        </r>
      </text>
    </comment>
    <comment ref="K4" authorId="0" shapeId="0">
      <text>
        <r>
          <rPr>
            <sz val="9"/>
            <color indexed="81"/>
            <rFont val="Tahoma"/>
            <family val="2"/>
          </rPr>
          <t xml:space="preserve">Day length (h)
</t>
        </r>
      </text>
    </comment>
    <comment ref="L4" authorId="0" shapeId="0">
      <text>
        <r>
          <rPr>
            <sz val="9"/>
            <color indexed="81"/>
            <rFont val="Tahoma"/>
            <family val="2"/>
          </rPr>
          <t>Null column</t>
        </r>
      </text>
    </comment>
    <comment ref="M4" authorId="0" shapeId="0">
      <text>
        <r>
          <rPr>
            <sz val="9"/>
            <color indexed="81"/>
            <rFont val="Tahoma"/>
            <family val="2"/>
          </rPr>
          <t>Temperature (°C) from CTD</t>
        </r>
      </text>
    </comment>
    <comment ref="N4" authorId="0" shapeId="0">
      <text>
        <r>
          <rPr>
            <sz val="9"/>
            <color indexed="81"/>
            <rFont val="Tahoma"/>
            <family val="2"/>
          </rPr>
          <t>Salinty (psu) from CTD</t>
        </r>
      </text>
    </comment>
    <comment ref="O4" authorId="0" shapeId="0">
      <text>
        <r>
          <rPr>
            <sz val="9"/>
            <color indexed="81"/>
            <rFont val="Tahoma"/>
            <family val="2"/>
          </rPr>
          <t>Sigma T (kg m-3) from CTD</t>
        </r>
      </text>
    </comment>
    <comment ref="P4" authorId="0" shapeId="0">
      <text>
        <r>
          <rPr>
            <sz val="9"/>
            <color indexed="81"/>
            <rFont val="Tahoma"/>
            <family val="2"/>
          </rPr>
          <t>Dissolved oxgeyn (mg L-1) from CTD</t>
        </r>
      </text>
    </comment>
    <comment ref="Q4" authorId="0" shapeId="0">
      <text>
        <r>
          <rPr>
            <sz val="9"/>
            <color indexed="81"/>
            <rFont val="Tahoma"/>
            <family val="2"/>
          </rPr>
          <t>Dissolved Oxgyen saturation (%) from CTD</t>
        </r>
      </text>
    </comment>
    <comment ref="R4" authorId="0" shapeId="0">
      <text>
        <r>
          <rPr>
            <sz val="9"/>
            <color indexed="81"/>
            <rFont val="Tahoma"/>
            <family val="2"/>
          </rPr>
          <t>Chlorophyll flourescence from CTD</t>
        </r>
      </text>
    </comment>
    <comment ref="S4" authorId="0" shapeId="0">
      <text>
        <r>
          <rPr>
            <sz val="9"/>
            <color indexed="81"/>
            <rFont val="Tahoma"/>
            <family val="2"/>
          </rPr>
          <t>Optical backscatter sensor data from CTD</t>
        </r>
      </text>
    </comment>
    <comment ref="T4" authorId="0" shapeId="0">
      <text>
        <r>
          <rPr>
            <sz val="9"/>
            <color indexed="81"/>
            <rFont val="Tahoma"/>
            <family val="2"/>
          </rPr>
          <t>FDOM fluorescence from CTD</t>
        </r>
      </text>
    </comment>
    <comment ref="U4" authorId="1" shapeId="0">
      <text>
        <r>
          <rPr>
            <sz val="9"/>
            <color indexed="81"/>
            <rFont val="Tahoma"/>
            <family val="2"/>
          </rPr>
          <t>Diffiuse downwelling light attenuation coefficient (m-1) calculated from CTD profiles</t>
        </r>
      </text>
    </comment>
    <comment ref="V4" authorId="1" shapeId="0">
      <text>
        <r>
          <rPr>
            <sz val="9"/>
            <color indexed="81"/>
            <rFont val="Tahoma"/>
            <family val="2"/>
          </rPr>
          <t>Difference in Sigma T from CTD data: Bottom minus surface bin</t>
        </r>
      </text>
    </comment>
    <comment ref="W4" authorId="1" shapeId="0">
      <text>
        <r>
          <rPr>
            <sz val="9"/>
            <color indexed="81"/>
            <rFont val="Tahoma"/>
            <family val="2"/>
          </rPr>
          <t>Difference in Salinity from CTD data: Bottom minus surface bin</t>
        </r>
      </text>
    </comment>
    <comment ref="X4" authorId="0" shapeId="0">
      <text>
        <r>
          <rPr>
            <sz val="9"/>
            <color indexed="81"/>
            <rFont val="Tahoma"/>
            <family val="2"/>
          </rPr>
          <t>Depth of pycnocline (m) calculated from CTD data.</t>
        </r>
      </text>
    </comment>
    <comment ref="Y4" authorId="0" shapeId="0">
      <text>
        <r>
          <rPr>
            <sz val="9"/>
            <color indexed="81"/>
            <rFont val="Tahoma"/>
            <family val="2"/>
          </rPr>
          <t>DO (dissolved oxygen) concentration (mg L-1) from experimental bottles at the initiation of the experiment</t>
        </r>
      </text>
    </comment>
    <comment ref="Z4" authorId="0" shapeId="0">
      <text>
        <r>
          <rPr>
            <sz val="9"/>
            <color indexed="81"/>
            <rFont val="Tahoma"/>
            <family val="2"/>
          </rPr>
          <t>Null column</t>
        </r>
      </text>
    </comment>
    <comment ref="AA4" authorId="0" shapeId="0">
      <text>
        <r>
          <rPr>
            <sz val="9"/>
            <color indexed="81"/>
            <rFont val="Tahoma"/>
            <family val="2"/>
          </rPr>
          <t xml:space="preserve">Temperature (°C) from WQM
</t>
        </r>
      </text>
    </comment>
    <comment ref="AB4" authorId="0" shapeId="0">
      <text>
        <r>
          <rPr>
            <sz val="9"/>
            <color indexed="81"/>
            <rFont val="Tahoma"/>
            <family val="2"/>
          </rPr>
          <t xml:space="preserve">Salinty (psu) from WQM
</t>
        </r>
      </text>
    </comment>
    <comment ref="AC4" authorId="0" shapeId="0">
      <text>
        <r>
          <rPr>
            <sz val="9"/>
            <color indexed="81"/>
            <rFont val="Tahoma"/>
            <family val="2"/>
          </rPr>
          <t>Sigma T (kg m-3) from WQM</t>
        </r>
      </text>
    </comment>
    <comment ref="AD4" authorId="0" shapeId="0">
      <text>
        <r>
          <rPr>
            <sz val="9"/>
            <color indexed="81"/>
            <rFont val="Tahoma"/>
            <family val="2"/>
          </rPr>
          <t>Dissolved oxgeyn (mg L-1) from CTD</t>
        </r>
      </text>
    </comment>
    <comment ref="AE4" authorId="0" shapeId="0">
      <text>
        <r>
          <rPr>
            <sz val="9"/>
            <color indexed="81"/>
            <rFont val="Tahoma"/>
            <family val="2"/>
          </rPr>
          <t>Dissolved Oxgyen saturation (%) from CTD</t>
        </r>
      </text>
    </comment>
    <comment ref="AF4" authorId="0" shapeId="0">
      <text>
        <r>
          <rPr>
            <sz val="9"/>
            <color indexed="81"/>
            <rFont val="Tahoma"/>
            <family val="2"/>
          </rPr>
          <t>Chlorophyll flourescence from CTD</t>
        </r>
      </text>
    </comment>
    <comment ref="AG4" authorId="0" shapeId="0">
      <text>
        <r>
          <rPr>
            <sz val="9"/>
            <color indexed="81"/>
            <rFont val="Tahoma"/>
            <family val="2"/>
          </rPr>
          <t>Optical backscatter sensor data from CTD</t>
        </r>
      </text>
    </comment>
    <comment ref="AH4" authorId="0" shapeId="0">
      <text>
        <r>
          <rPr>
            <sz val="9"/>
            <color indexed="81"/>
            <rFont val="Tahoma"/>
            <family val="2"/>
          </rPr>
          <t>FDOM fluorescence from CTD</t>
        </r>
      </text>
    </comment>
    <comment ref="AI4" authorId="0" shapeId="0">
      <text>
        <r>
          <rPr>
            <sz val="9"/>
            <color indexed="81"/>
            <rFont val="Tahoma"/>
            <family val="2"/>
          </rPr>
          <t>Null column</t>
        </r>
      </text>
    </comment>
    <comment ref="AJ4" authorId="0" shapeId="0">
      <text>
        <r>
          <rPr>
            <sz val="9"/>
            <color indexed="81"/>
            <rFont val="Tahoma"/>
            <family val="2"/>
          </rPr>
          <t>CDOM spectral analysis 
absorption coefficient at 350 nm</t>
        </r>
      </text>
    </comment>
    <comment ref="AK4" authorId="0" shapeId="0">
      <text>
        <r>
          <rPr>
            <sz val="9"/>
            <color indexed="81"/>
            <rFont val="Tahoma"/>
            <family val="2"/>
          </rPr>
          <t xml:space="preserve">Spectral slope from 350-490 nm </t>
        </r>
      </text>
    </comment>
    <comment ref="AL4" authorId="0" shapeId="0">
      <text>
        <r>
          <rPr>
            <sz val="9"/>
            <color indexed="81"/>
            <rFont val="Tahoma"/>
            <family val="2"/>
          </rPr>
          <t>CDOM spectral analysis 
absorption coefficient at 490 nm (m-1)</t>
        </r>
      </text>
    </comment>
    <comment ref="AM4" authorId="0" shapeId="0">
      <text>
        <r>
          <rPr>
            <sz val="9"/>
            <color indexed="81"/>
            <rFont val="Tahoma"/>
            <family val="2"/>
          </rPr>
          <t>CDOM spectral analysis 
absorption coefficient at 490 nm (m-1)</t>
        </r>
      </text>
    </comment>
    <comment ref="AN4" authorId="0" shapeId="0">
      <text>
        <r>
          <rPr>
            <sz val="9"/>
            <color indexed="81"/>
            <rFont val="Tahoma"/>
            <family val="2"/>
          </rPr>
          <t>CDOM spectral analysis 
absorption coefficient at 490 nm (m-1)</t>
        </r>
      </text>
    </comment>
    <comment ref="AO4" authorId="0" shapeId="0">
      <text>
        <r>
          <rPr>
            <sz val="9"/>
            <color indexed="81"/>
            <rFont val="Tahoma"/>
            <family val="2"/>
          </rPr>
          <t>CDOM spectral analysis 
Total absorption coefficient at 490 nm (m-1)</t>
        </r>
      </text>
    </comment>
    <comment ref="AP4" authorId="0" shapeId="0">
      <text>
        <r>
          <rPr>
            <sz val="9"/>
            <color indexed="81"/>
            <rFont val="Tahoma"/>
            <family val="2"/>
          </rPr>
          <t>Null column</t>
        </r>
      </text>
    </comment>
    <comment ref="AR4" authorId="0" shapeId="0">
      <text>
        <r>
          <rPr>
            <sz val="9"/>
            <color indexed="81"/>
            <rFont val="Tahoma"/>
            <family val="2"/>
          </rPr>
          <t>Using my version of blank correction to calculate</t>
        </r>
      </text>
    </comment>
    <comment ref="D5" authorId="1" shapeId="0">
      <text>
        <r>
          <rPr>
            <sz val="9"/>
            <color indexed="81"/>
            <rFont val="Tahoma"/>
            <family val="2"/>
          </rPr>
          <t>Secchi at Channel</t>
        </r>
      </text>
    </comment>
    <comment ref="H5" authorId="0" shapeId="0">
      <text>
        <r>
          <rPr>
            <b/>
            <sz val="9"/>
            <color indexed="81"/>
            <rFont val="Tahoma"/>
            <family val="2"/>
          </rPr>
          <t>EPA:</t>
        </r>
        <r>
          <rPr>
            <sz val="9"/>
            <color indexed="81"/>
            <rFont val="Tahoma"/>
            <family val="2"/>
          </rPr>
          <t xml:space="preserve">
Estimated from WQM vs CTD regression
temp_ctd=1.012*temp_wqm-0.977</t>
        </r>
      </text>
    </comment>
    <comment ref="I5" authorId="0" shapeId="0">
      <text>
        <r>
          <rPr>
            <b/>
            <sz val="9"/>
            <color indexed="81"/>
            <rFont val="Tahoma"/>
            <family val="2"/>
          </rPr>
          <t>EPA:</t>
        </r>
        <r>
          <rPr>
            <sz val="9"/>
            <color indexed="81"/>
            <rFont val="Tahoma"/>
            <family val="2"/>
          </rPr>
          <t xml:space="preserve">
Estimated from WQM vs CTD regression
y=0.892*x+2.285
</t>
        </r>
      </text>
    </comment>
    <comment ref="M5" authorId="0" shapeId="0">
      <text>
        <r>
          <rPr>
            <b/>
            <sz val="9"/>
            <color indexed="81"/>
            <rFont val="Tahoma"/>
            <family val="2"/>
          </rPr>
          <t>EPA:</t>
        </r>
        <r>
          <rPr>
            <sz val="9"/>
            <color indexed="81"/>
            <rFont val="Tahoma"/>
            <family val="2"/>
          </rPr>
          <t xml:space="preserve">
Estimated from WQM vs CTD regression
temp_ctd=1.012*temp_wqm-0.977</t>
        </r>
      </text>
    </comment>
    <comment ref="N5" authorId="0" shapeId="0">
      <text>
        <r>
          <rPr>
            <b/>
            <sz val="9"/>
            <color indexed="81"/>
            <rFont val="Tahoma"/>
            <family val="2"/>
          </rPr>
          <t>EPA:</t>
        </r>
        <r>
          <rPr>
            <sz val="9"/>
            <color indexed="81"/>
            <rFont val="Tahoma"/>
            <family val="2"/>
          </rPr>
          <t xml:space="preserve">
Estimated from WQM vs CTD regression
y=0.892*x+2.285
</t>
        </r>
      </text>
    </comment>
    <comment ref="O5" authorId="0" shapeId="0">
      <text>
        <r>
          <rPr>
            <b/>
            <sz val="9"/>
            <color indexed="81"/>
            <rFont val="Tahoma"/>
            <family val="2"/>
          </rPr>
          <t>EPA:</t>
        </r>
        <r>
          <rPr>
            <sz val="9"/>
            <color indexed="81"/>
            <rFont val="Tahoma"/>
            <family val="2"/>
          </rPr>
          <t xml:space="preserve">
Estimated from WQM vs CTD regression
y=0.895*x+1.417
</t>
        </r>
      </text>
    </comment>
    <comment ref="R5" authorId="0" shapeId="0">
      <text>
        <r>
          <rPr>
            <b/>
            <sz val="9"/>
            <color indexed="81"/>
            <rFont val="Tahoma"/>
            <family val="2"/>
          </rPr>
          <t>EPA:</t>
        </r>
        <r>
          <rPr>
            <sz val="9"/>
            <color indexed="81"/>
            <rFont val="Tahoma"/>
            <family val="2"/>
          </rPr>
          <t xml:space="preserve">
Estimated from WQM vs CTD regression
FL_ctd=0.858*FL_wqm+0.004</t>
        </r>
      </text>
    </comment>
    <comment ref="H6" authorId="0" shapeId="0">
      <text>
        <r>
          <rPr>
            <b/>
            <sz val="9"/>
            <color indexed="81"/>
            <rFont val="Tahoma"/>
            <family val="2"/>
          </rPr>
          <t>EPA:</t>
        </r>
        <r>
          <rPr>
            <sz val="9"/>
            <color indexed="81"/>
            <rFont val="Tahoma"/>
            <family val="2"/>
          </rPr>
          <t xml:space="preserve">
Estimated from WQM vs CTD regression
temp_ctd=1.012*temp_wqm-0.977</t>
        </r>
      </text>
    </comment>
    <comment ref="I6" authorId="0" shapeId="0">
      <text>
        <r>
          <rPr>
            <b/>
            <sz val="9"/>
            <color indexed="81"/>
            <rFont val="Tahoma"/>
            <family val="2"/>
          </rPr>
          <t>EPA:</t>
        </r>
        <r>
          <rPr>
            <sz val="9"/>
            <color indexed="81"/>
            <rFont val="Tahoma"/>
            <family val="2"/>
          </rPr>
          <t xml:space="preserve">
Estimated from WQM vs CTD regression
y=0.892*x+2.285
</t>
        </r>
      </text>
    </comment>
    <comment ref="M6" authorId="0" shapeId="0">
      <text>
        <r>
          <rPr>
            <b/>
            <sz val="9"/>
            <color indexed="81"/>
            <rFont val="Tahoma"/>
            <family val="2"/>
          </rPr>
          <t>EPA:</t>
        </r>
        <r>
          <rPr>
            <sz val="9"/>
            <color indexed="81"/>
            <rFont val="Tahoma"/>
            <family val="2"/>
          </rPr>
          <t xml:space="preserve">
Estimated from WQM vs CTD regression
temp_ctd=1.012*temp_wqm-0.977</t>
        </r>
      </text>
    </comment>
    <comment ref="N6" authorId="0" shapeId="0">
      <text>
        <r>
          <rPr>
            <b/>
            <sz val="9"/>
            <color indexed="81"/>
            <rFont val="Tahoma"/>
            <family val="2"/>
          </rPr>
          <t>EPA:</t>
        </r>
        <r>
          <rPr>
            <sz val="9"/>
            <color indexed="81"/>
            <rFont val="Tahoma"/>
            <family val="2"/>
          </rPr>
          <t xml:space="preserve">
Estimated from WQM vs CTD regression
y=0.892*x+2.285
</t>
        </r>
      </text>
    </comment>
    <comment ref="O6" authorId="0" shapeId="0">
      <text>
        <r>
          <rPr>
            <b/>
            <sz val="9"/>
            <color indexed="81"/>
            <rFont val="Tahoma"/>
            <family val="2"/>
          </rPr>
          <t>EPA:</t>
        </r>
        <r>
          <rPr>
            <sz val="9"/>
            <color indexed="81"/>
            <rFont val="Tahoma"/>
            <family val="2"/>
          </rPr>
          <t xml:space="preserve">
Estimated from WQM vs CTD regression
y=0.895*x+1.417
</t>
        </r>
      </text>
    </comment>
    <comment ref="R6" authorId="0" shapeId="0">
      <text>
        <r>
          <rPr>
            <b/>
            <sz val="9"/>
            <color indexed="81"/>
            <rFont val="Tahoma"/>
            <family val="2"/>
          </rPr>
          <t>EPA:</t>
        </r>
        <r>
          <rPr>
            <sz val="9"/>
            <color indexed="81"/>
            <rFont val="Tahoma"/>
            <family val="2"/>
          </rPr>
          <t xml:space="preserve">
Estimated from WQM vs CTD regression
FL_ctd=0.858*FL_wqm+0.004</t>
        </r>
      </text>
    </comment>
    <comment ref="F12" authorId="1" shapeId="0">
      <text>
        <r>
          <rPr>
            <sz val="9"/>
            <color indexed="81"/>
            <rFont val="Tahoma"/>
            <family val="2"/>
          </rPr>
          <t>mcm: 0.875
Appears anomalously low based on fluorescence characteristics..replace with adjacent week average</t>
        </r>
      </text>
    </comment>
    <comment ref="S12" authorId="1" shapeId="0">
      <text>
        <r>
          <rPr>
            <b/>
            <sz val="9"/>
            <color indexed="81"/>
            <rFont val="Tahoma"/>
            <family val="2"/>
          </rPr>
          <t>mcm:</t>
        </r>
        <r>
          <rPr>
            <sz val="9"/>
            <color indexed="81"/>
            <rFont val="Tahoma"/>
            <family val="2"/>
          </rPr>
          <t xml:space="preserve">
Anomalously low 0.0531475. 
Used next bin down </t>
        </r>
      </text>
    </comment>
    <comment ref="R14" authorId="2" shapeId="0">
      <text>
        <r>
          <rPr>
            <b/>
            <sz val="9"/>
            <color indexed="81"/>
            <rFont val="Tahoma"/>
            <family val="2"/>
          </rPr>
          <t>mmurrell:</t>
        </r>
        <r>
          <rPr>
            <sz val="9"/>
            <color indexed="81"/>
            <rFont val="Tahoma"/>
            <family val="2"/>
          </rPr>
          <t xml:space="preserve">
-3.15?</t>
        </r>
      </text>
    </comment>
    <comment ref="S14" authorId="2" shapeId="0">
      <text>
        <r>
          <rPr>
            <sz val="9"/>
            <color indexed="81"/>
            <rFont val="Tahoma"/>
            <family val="2"/>
          </rPr>
          <t xml:space="preserve">-2.21 ..
</t>
        </r>
      </text>
    </comment>
    <comment ref="R20" authorId="1" shapeId="0">
      <text>
        <r>
          <rPr>
            <sz val="9"/>
            <color indexed="81"/>
            <rFont val="Tahoma"/>
            <family val="2"/>
          </rPr>
          <t>Possible Outlier
Surface Bin: 0.6114
0.5,.75,1 m bins ~2.4</t>
        </r>
      </text>
    </comment>
    <comment ref="AF22" authorId="0" shapeId="0">
      <text>
        <r>
          <rPr>
            <b/>
            <sz val="9"/>
            <color indexed="81"/>
            <rFont val="Tahoma"/>
            <family val="2"/>
          </rPr>
          <t>EPA:</t>
        </r>
        <r>
          <rPr>
            <sz val="9"/>
            <color indexed="81"/>
            <rFont val="Tahoma"/>
            <family val="2"/>
          </rPr>
          <t xml:space="preserve">
6.87
</t>
        </r>
      </text>
    </comment>
    <comment ref="R23" authorId="0" shapeId="0">
      <text>
        <r>
          <rPr>
            <sz val="9"/>
            <color indexed="81"/>
            <rFont val="Tahoma"/>
            <family val="2"/>
          </rPr>
          <t>Looks like outlier based on Salinity plot, but confirmed by independent FL_WQM record</t>
        </r>
      </text>
    </comment>
    <comment ref="U23" authorId="1" shapeId="0">
      <text>
        <r>
          <rPr>
            <sz val="9"/>
            <color indexed="81"/>
            <rFont val="Tahoma"/>
            <family val="2"/>
          </rPr>
          <t>-0.153335756432937</t>
        </r>
      </text>
    </comment>
    <comment ref="U24" authorId="1" shapeId="0">
      <text>
        <r>
          <rPr>
            <sz val="9"/>
            <color indexed="81"/>
            <rFont val="Tahoma"/>
            <family val="2"/>
          </rPr>
          <t xml:space="preserve">
7.43984798915021E-16</t>
        </r>
      </text>
    </comment>
    <comment ref="H25" authorId="0" shapeId="0">
      <text>
        <r>
          <rPr>
            <b/>
            <sz val="9"/>
            <color indexed="81"/>
            <rFont val="Tahoma"/>
            <family val="2"/>
          </rPr>
          <t>EPA:</t>
        </r>
        <r>
          <rPr>
            <sz val="9"/>
            <color indexed="81"/>
            <rFont val="Tahoma"/>
            <family val="2"/>
          </rPr>
          <t xml:space="preserve">
Estimated from WQM vs CTD regression
temp_ctd=1.012*temp_wqm-0.977</t>
        </r>
      </text>
    </comment>
    <comment ref="I25" authorId="0" shapeId="0">
      <text>
        <r>
          <rPr>
            <b/>
            <sz val="9"/>
            <color indexed="81"/>
            <rFont val="Tahoma"/>
            <family val="2"/>
          </rPr>
          <t>EPA:</t>
        </r>
        <r>
          <rPr>
            <sz val="9"/>
            <color indexed="81"/>
            <rFont val="Tahoma"/>
            <family val="2"/>
          </rPr>
          <t xml:space="preserve">
Estimated from WQM vs CTD regression
y=0.892*x+2.285
</t>
        </r>
      </text>
    </comment>
    <comment ref="M25" authorId="0" shapeId="0">
      <text>
        <r>
          <rPr>
            <b/>
            <sz val="9"/>
            <color indexed="81"/>
            <rFont val="Tahoma"/>
            <family val="2"/>
          </rPr>
          <t>EPA:</t>
        </r>
        <r>
          <rPr>
            <sz val="9"/>
            <color indexed="81"/>
            <rFont val="Tahoma"/>
            <family val="2"/>
          </rPr>
          <t xml:space="preserve">
Estimated from WQM vs CTD regression
temp_ctd=1.012*temp_wqm-0.977</t>
        </r>
      </text>
    </comment>
    <comment ref="N25" authorId="0" shapeId="0">
      <text>
        <r>
          <rPr>
            <b/>
            <sz val="9"/>
            <color indexed="81"/>
            <rFont val="Tahoma"/>
            <family val="2"/>
          </rPr>
          <t>EPA:</t>
        </r>
        <r>
          <rPr>
            <sz val="9"/>
            <color indexed="81"/>
            <rFont val="Tahoma"/>
            <family val="2"/>
          </rPr>
          <t xml:space="preserve">
Estimated from WQM vs CTD regression
y=0.892*x+2.285
</t>
        </r>
      </text>
    </comment>
    <comment ref="O25" authorId="0" shapeId="0">
      <text>
        <r>
          <rPr>
            <b/>
            <sz val="9"/>
            <color indexed="81"/>
            <rFont val="Tahoma"/>
            <family val="2"/>
          </rPr>
          <t>EPA:</t>
        </r>
        <r>
          <rPr>
            <sz val="9"/>
            <color indexed="81"/>
            <rFont val="Tahoma"/>
            <family val="2"/>
          </rPr>
          <t xml:space="preserve">
Estimated from WQM vs CTD regression
y=0.895*x+1.417
</t>
        </r>
      </text>
    </comment>
    <comment ref="R25" authorId="0" shapeId="0">
      <text>
        <r>
          <rPr>
            <b/>
            <sz val="9"/>
            <color indexed="81"/>
            <rFont val="Tahoma"/>
            <family val="2"/>
          </rPr>
          <t>EPA:</t>
        </r>
        <r>
          <rPr>
            <sz val="9"/>
            <color indexed="81"/>
            <rFont val="Tahoma"/>
            <family val="2"/>
          </rPr>
          <t xml:space="preserve">
Estimated from WQM vs CTD regression
FL_ctd=0.858*FL_wqm+0.004</t>
        </r>
      </text>
    </comment>
    <comment ref="H26" authorId="0" shapeId="0">
      <text>
        <r>
          <rPr>
            <b/>
            <sz val="9"/>
            <color indexed="81"/>
            <rFont val="Tahoma"/>
            <family val="2"/>
          </rPr>
          <t>EPA:</t>
        </r>
        <r>
          <rPr>
            <sz val="9"/>
            <color indexed="81"/>
            <rFont val="Tahoma"/>
            <family val="2"/>
          </rPr>
          <t xml:space="preserve">
Estimated from WQM vs CTD regression
temp_ctd=1.012*temp_wqm-0.977</t>
        </r>
      </text>
    </comment>
    <comment ref="I26" authorId="0" shapeId="0">
      <text>
        <r>
          <rPr>
            <b/>
            <sz val="9"/>
            <color indexed="81"/>
            <rFont val="Tahoma"/>
            <family val="2"/>
          </rPr>
          <t>EPA:</t>
        </r>
        <r>
          <rPr>
            <sz val="9"/>
            <color indexed="81"/>
            <rFont val="Tahoma"/>
            <family val="2"/>
          </rPr>
          <t xml:space="preserve">
Estimated from WQM vs CTD regression
y=0.892*x+2.285
</t>
        </r>
      </text>
    </comment>
    <comment ref="M26" authorId="0" shapeId="0">
      <text>
        <r>
          <rPr>
            <b/>
            <sz val="9"/>
            <color indexed="81"/>
            <rFont val="Tahoma"/>
            <family val="2"/>
          </rPr>
          <t>EPA:</t>
        </r>
        <r>
          <rPr>
            <sz val="9"/>
            <color indexed="81"/>
            <rFont val="Tahoma"/>
            <family val="2"/>
          </rPr>
          <t xml:space="preserve">
Estimated from WQM vs CTD regression
temp_ctd=1.012*temp_wqm-0.977</t>
        </r>
      </text>
    </comment>
    <comment ref="N26" authorId="0" shapeId="0">
      <text>
        <r>
          <rPr>
            <b/>
            <sz val="9"/>
            <color indexed="81"/>
            <rFont val="Tahoma"/>
            <family val="2"/>
          </rPr>
          <t>EPA:</t>
        </r>
        <r>
          <rPr>
            <sz val="9"/>
            <color indexed="81"/>
            <rFont val="Tahoma"/>
            <family val="2"/>
          </rPr>
          <t xml:space="preserve">
Estimated from WQM vs CTD regression
y=0.892*x+2.285
</t>
        </r>
      </text>
    </comment>
    <comment ref="O26" authorId="0" shapeId="0">
      <text>
        <r>
          <rPr>
            <b/>
            <sz val="9"/>
            <color indexed="81"/>
            <rFont val="Tahoma"/>
            <family val="2"/>
          </rPr>
          <t>EPA:</t>
        </r>
        <r>
          <rPr>
            <sz val="9"/>
            <color indexed="81"/>
            <rFont val="Tahoma"/>
            <family val="2"/>
          </rPr>
          <t xml:space="preserve">
Estimated from WQM vs CTD regression
y=0.895*x+1.417
</t>
        </r>
      </text>
    </comment>
    <comment ref="R26" authorId="0" shapeId="0">
      <text>
        <r>
          <rPr>
            <b/>
            <sz val="9"/>
            <color indexed="81"/>
            <rFont val="Tahoma"/>
            <family val="2"/>
          </rPr>
          <t>EPA:</t>
        </r>
        <r>
          <rPr>
            <sz val="9"/>
            <color indexed="81"/>
            <rFont val="Tahoma"/>
            <family val="2"/>
          </rPr>
          <t xml:space="preserve">
Estimated from WQM vs CTD regression
FL_ctd=0.858*FL_wqm+0.004</t>
        </r>
      </text>
    </comment>
    <comment ref="F30" authorId="1" shapeId="0">
      <text>
        <r>
          <rPr>
            <sz val="9"/>
            <color indexed="81"/>
            <rFont val="Tahoma"/>
            <family val="2"/>
          </rPr>
          <t>mcm: 1.0942
Appears anomalously low based on fluorescence characteristics..replace with adjacent week average</t>
        </r>
      </text>
    </comment>
    <comment ref="F35" authorId="1" shapeId="0">
      <text>
        <r>
          <rPr>
            <sz val="9"/>
            <color indexed="81"/>
            <rFont val="Tahoma"/>
            <family val="2"/>
          </rPr>
          <t>Sample Lost.
Chl estimated from CTD fluorescence as
chl = 4.077 * IVF - 0.712</t>
        </r>
      </text>
    </comment>
    <comment ref="S40" authorId="1" shapeId="0">
      <text>
        <r>
          <rPr>
            <sz val="9"/>
            <color indexed="81"/>
            <rFont val="Tahoma"/>
            <family val="2"/>
          </rPr>
          <t>Anomalously low</t>
        </r>
        <r>
          <rPr>
            <sz val="9"/>
            <color indexed="81"/>
            <rFont val="Tahoma"/>
            <family val="2"/>
          </rPr>
          <t xml:space="preserve">
0.2132955
Used next bin down</t>
        </r>
      </text>
    </comment>
    <comment ref="R41" authorId="1" shapeId="0">
      <text>
        <r>
          <rPr>
            <sz val="9"/>
            <color indexed="81"/>
            <rFont val="Tahoma"/>
            <family val="2"/>
          </rPr>
          <t>Surface Bin anomalously low…used next bin down</t>
        </r>
      </text>
    </comment>
    <comment ref="U41" authorId="1" shapeId="0">
      <text>
        <r>
          <rPr>
            <sz val="9"/>
            <color indexed="81"/>
            <rFont val="Tahoma"/>
            <family val="2"/>
          </rPr>
          <t>-0.142686386617012</t>
        </r>
      </text>
    </comment>
    <comment ref="AF42" authorId="0" shapeId="0">
      <text>
        <r>
          <rPr>
            <b/>
            <sz val="9"/>
            <color indexed="81"/>
            <rFont val="Tahoma"/>
            <family val="2"/>
          </rPr>
          <t>EPA:</t>
        </r>
        <r>
          <rPr>
            <sz val="9"/>
            <color indexed="81"/>
            <rFont val="Tahoma"/>
            <family val="2"/>
          </rPr>
          <t xml:space="preserve">
7.17</t>
        </r>
      </text>
    </comment>
  </commentList>
</comments>
</file>

<file path=xl/comments3.xml><?xml version="1.0" encoding="utf-8"?>
<comments xmlns="http://schemas.openxmlformats.org/spreadsheetml/2006/main">
  <authors>
    <author>mcm</author>
    <author>EPA</author>
  </authors>
  <commentList>
    <comment ref="C4" authorId="0" shapeId="0">
      <text>
        <r>
          <rPr>
            <sz val="9"/>
            <color indexed="81"/>
            <rFont val="Tahoma"/>
            <family val="2"/>
          </rPr>
          <t>mmol O2/m3/d</t>
        </r>
      </text>
    </comment>
    <comment ref="I4" authorId="0" shapeId="0">
      <text>
        <r>
          <rPr>
            <sz val="9"/>
            <color indexed="81"/>
            <rFont val="Tahoma"/>
            <family val="2"/>
          </rPr>
          <t>mmol O2/m3/d</t>
        </r>
      </text>
    </comment>
    <comment ref="N4" authorId="0" shapeId="0">
      <text>
        <r>
          <rPr>
            <sz val="9"/>
            <color indexed="81"/>
            <rFont val="Tahoma"/>
            <family val="2"/>
          </rPr>
          <t>mmol O2/m3/d</t>
        </r>
      </text>
    </comment>
    <comment ref="O4" authorId="0" shapeId="0">
      <text>
        <r>
          <rPr>
            <sz val="9"/>
            <color indexed="81"/>
            <rFont val="Tahoma"/>
            <family val="2"/>
          </rPr>
          <t>mmol O2/m3/d</t>
        </r>
      </text>
    </comment>
    <comment ref="S4" authorId="1" shapeId="0">
      <text>
        <r>
          <rPr>
            <sz val="9"/>
            <color indexed="81"/>
            <rFont val="Tahoma"/>
            <family val="2"/>
          </rPr>
          <t xml:space="preserve">Revised to use vertical chlorophyll fluorescence </t>
        </r>
      </text>
    </comment>
    <comment ref="X4" authorId="0" shapeId="0">
      <text>
        <r>
          <rPr>
            <b/>
            <sz val="9"/>
            <color indexed="81"/>
            <rFont val="Tahoma"/>
            <family val="2"/>
          </rPr>
          <t>mcm:</t>
        </r>
        <r>
          <rPr>
            <sz val="9"/>
            <color indexed="81"/>
            <rFont val="Tahoma"/>
            <family val="2"/>
          </rPr>
          <t xml:space="preserve">
Calculated in R using CTD chlorophyll profiles, rather than just surface values</t>
        </r>
      </text>
    </comment>
    <comment ref="AQ4" authorId="0" shapeId="0">
      <text>
        <r>
          <rPr>
            <b/>
            <sz val="9"/>
            <color indexed="81"/>
            <rFont val="Tahoma"/>
            <family val="2"/>
          </rPr>
          <t>mcm:</t>
        </r>
        <r>
          <rPr>
            <sz val="9"/>
            <color indexed="81"/>
            <rFont val="Tahoma"/>
            <family val="2"/>
          </rPr>
          <t xml:space="preserve">
Cloern 1999
(Io/kH)(1-exp(-kH)</t>
        </r>
      </text>
    </comment>
    <comment ref="AY4" authorId="1" shapeId="0">
      <text>
        <r>
          <rPr>
            <sz val="9"/>
            <color indexed="81"/>
            <rFont val="Tahoma"/>
            <family val="2"/>
          </rPr>
          <t>Berounsky and Nixon 1993</t>
        </r>
      </text>
    </comment>
  </commentList>
</comments>
</file>

<file path=xl/comments4.xml><?xml version="1.0" encoding="utf-8"?>
<comments xmlns="http://schemas.openxmlformats.org/spreadsheetml/2006/main">
  <authors>
    <author>Michael Murrell</author>
  </authors>
  <commentList>
    <comment ref="A1" authorId="0" shapeId="0">
      <text>
        <r>
          <rPr>
            <sz val="8"/>
            <color indexed="81"/>
            <rFont val="Tahoma"/>
            <family val="2"/>
          </rPr>
          <t>Notes on creating this correlation matrix tool.
1.  There are 3 matrices required, inlcuding the correlation matrix itself and 2 supporting matricies (sample size and significance). The size of the matrix is currently fixed at 20 variables. It can be expanded or contracted, but it requires several steps (adding/deleting rows and columns and copying the formulas correctly).The conditional formatting feature was used to color/bold the statistically significant correlations.  The formatting for the correlation matrix is "conditioned" on the corresponding probability value in the significance matrix.  If = 1 bold black, If &lt;0.05 blue, If &lt;0.01 bold red
2.  The sample size matrix is used to provide the degrees of freedom for the significance matrix.  The formula in this matrix was a bit tricky.  It sums the product of 2 ISNUMBER ranges (columns) which are themselves called by the INDIRECT function. It tests row-by-row for cases of matched pairs of numbers ISNUMBER(Range1) X ISNUMBER(Range2). The product vector returns zero when one or both cells are non-numeric, and returns one when both adjacent cells are numeric. The SUM part of the function sums all the zeros and ones as an array formula.  I tried for a long time (without success) variations of the COUNT or COUNTIF function, but I finally found this approach in an EXCEL help example.
3.  The significance matrix contains a relatively complex formula that does a couple of different things in one formula.  First it converts the correlation coefficients to a t-statistic using t=r*sqrt((n-2)/(1-r^2)) (Sokal and Rohlf 1995 Table R).  This is nested within the TDIST function that calculates the 2-tailed probability for the t-statistic with df=n-2.
4.  The column headings serve as labels names for the corresponding cell ranges on the raw data sheet.  For example the name "temp" refers to the column of temperature data. The named cell ranges were referred to indirectly using the INDIRECT function.  While this may seem overly complicated, it makes changing and updating the matrices much simpler with copy-paste actions.
5. To use this matrix, copy this sheet into a workbook that has data of interest.  Select the block of cells containing data and column labels.  Use the insert/name/create menu and select "top row' to name ranges for variables. Then, back on the Correlation sheet, type in the names of the variables across the top row.</t>
        </r>
      </text>
    </comment>
  </commentList>
</comments>
</file>

<file path=xl/comments5.xml><?xml version="1.0" encoding="utf-8"?>
<comments xmlns="http://schemas.openxmlformats.org/spreadsheetml/2006/main">
  <authors>
    <author>EPA</author>
  </authors>
  <commentList>
    <comment ref="E1" authorId="0" shapeId="0">
      <text>
        <r>
          <rPr>
            <b/>
            <sz val="9"/>
            <color indexed="81"/>
            <rFont val="Tahoma"/>
            <charset val="1"/>
          </rPr>
          <t>EPA:</t>
        </r>
        <r>
          <rPr>
            <sz val="9"/>
            <color indexed="81"/>
            <rFont val="Tahoma"/>
            <charset val="1"/>
          </rPr>
          <t xml:space="preserve">
mmol O2 m-3 h-1</t>
        </r>
      </text>
    </comment>
    <comment ref="F1" authorId="0" shapeId="0">
      <text>
        <r>
          <rPr>
            <b/>
            <sz val="9"/>
            <color indexed="81"/>
            <rFont val="Tahoma"/>
            <charset val="1"/>
          </rPr>
          <t>EPA:</t>
        </r>
        <r>
          <rPr>
            <sz val="9"/>
            <color indexed="81"/>
            <rFont val="Tahoma"/>
            <charset val="1"/>
          </rPr>
          <t xml:space="preserve">
mmol O2 m-3 h-1</t>
        </r>
      </text>
    </comment>
  </commentList>
</comments>
</file>

<file path=xl/comments6.xml><?xml version="1.0" encoding="utf-8"?>
<comments xmlns="http://schemas.openxmlformats.org/spreadsheetml/2006/main">
  <authors>
    <author>EPA</author>
  </authors>
  <commentList>
    <comment ref="AE2" authorId="0" shapeId="0">
      <text>
        <r>
          <rPr>
            <b/>
            <sz val="9"/>
            <color indexed="81"/>
            <rFont val="Tahoma"/>
            <family val="2"/>
          </rPr>
          <t>EPA:</t>
        </r>
        <r>
          <rPr>
            <sz val="9"/>
            <color indexed="81"/>
            <rFont val="Tahoma"/>
            <family val="2"/>
          </rPr>
          <t xml:space="preserve">
generated from R version, using mean by calendar day and adding 0.5 m</t>
        </r>
      </text>
    </comment>
    <comment ref="P3" authorId="0" shapeId="0">
      <text>
        <r>
          <rPr>
            <b/>
            <sz val="9"/>
            <color indexed="81"/>
            <rFont val="Tahoma"/>
            <family val="2"/>
          </rPr>
          <t>EPA:</t>
        </r>
        <r>
          <rPr>
            <sz val="9"/>
            <color indexed="81"/>
            <rFont val="Tahoma"/>
            <family val="2"/>
          </rPr>
          <t xml:space="preserve">
-57.1 omitted</t>
        </r>
      </text>
    </comment>
  </commentList>
</comments>
</file>

<file path=xl/comments7.xml><?xml version="1.0" encoding="utf-8"?>
<comments xmlns="http://schemas.openxmlformats.org/spreadsheetml/2006/main">
  <authors>
    <author>mcm</author>
  </authors>
  <commentList>
    <comment ref="H2" authorId="0" shapeId="0">
      <text>
        <r>
          <rPr>
            <b/>
            <sz val="9"/>
            <color indexed="81"/>
            <rFont val="Tahoma"/>
            <family val="2"/>
          </rPr>
          <t>mcm:</t>
        </r>
        <r>
          <rPr>
            <sz val="9"/>
            <color indexed="81"/>
            <rFont val="Tahoma"/>
            <family val="2"/>
          </rPr>
          <t xml:space="preserve">
See column at right for adjusted CDOM for July-Sep</t>
        </r>
      </text>
    </comment>
  </commentList>
</comments>
</file>

<file path=xl/comments8.xml><?xml version="1.0" encoding="utf-8"?>
<comments xmlns="http://schemas.openxmlformats.org/spreadsheetml/2006/main">
  <authors>
    <author>EPA</author>
  </authors>
  <commentList>
    <comment ref="C10" authorId="0" shapeId="0">
      <text>
        <r>
          <rPr>
            <sz val="9"/>
            <color indexed="81"/>
            <rFont val="Tahoma"/>
            <family val="2"/>
          </rPr>
          <t>2.53</t>
        </r>
      </text>
    </comment>
    <comment ref="H10" authorId="0" shapeId="0">
      <text>
        <r>
          <rPr>
            <sz val="9"/>
            <color indexed="81"/>
            <rFont val="Tahoma"/>
            <family val="2"/>
          </rPr>
          <t>2.53</t>
        </r>
      </text>
    </comment>
    <comment ref="C28" authorId="0" shapeId="0">
      <text>
        <r>
          <rPr>
            <sz val="9"/>
            <color indexed="81"/>
            <rFont val="Tahoma"/>
            <family val="2"/>
          </rPr>
          <t xml:space="preserve">2.85
</t>
        </r>
      </text>
    </comment>
    <comment ref="H28" authorId="0" shapeId="0">
      <text>
        <r>
          <rPr>
            <sz val="9"/>
            <color indexed="81"/>
            <rFont val="Tahoma"/>
            <family val="2"/>
          </rPr>
          <t xml:space="preserve">2.85
</t>
        </r>
      </text>
    </comment>
  </commentList>
</comments>
</file>

<file path=xl/sharedStrings.xml><?xml version="1.0" encoding="utf-8"?>
<sst xmlns="http://schemas.openxmlformats.org/spreadsheetml/2006/main" count="2946" uniqueCount="492">
  <si>
    <t>SP01</t>
  </si>
  <si>
    <t>SP02</t>
  </si>
  <si>
    <t>Date</t>
  </si>
  <si>
    <t>SPAM Sampling Summary Surface Data</t>
  </si>
  <si>
    <t>Pycno</t>
  </si>
  <si>
    <t>Wsp</t>
  </si>
  <si>
    <t>Atemp</t>
  </si>
  <si>
    <t>PAR</t>
  </si>
  <si>
    <t>NumRecs</t>
  </si>
  <si>
    <t>DOC</t>
  </si>
  <si>
    <t>TN</t>
  </si>
  <si>
    <t>Shoal</t>
  </si>
  <si>
    <t>Channel</t>
  </si>
  <si>
    <t>Secchi</t>
  </si>
  <si>
    <t>Temp</t>
  </si>
  <si>
    <t>Sal</t>
  </si>
  <si>
    <t>SigT</t>
  </si>
  <si>
    <t>DO</t>
  </si>
  <si>
    <t>DOpsat</t>
  </si>
  <si>
    <t>Chl</t>
  </si>
  <si>
    <t>CDOM</t>
  </si>
  <si>
    <t>Turb</t>
  </si>
  <si>
    <t>DOF_d</t>
  </si>
  <si>
    <t>DOF_n</t>
  </si>
  <si>
    <t>D_d</t>
  </si>
  <si>
    <t>D_n</t>
  </si>
  <si>
    <t>Pg</t>
  </si>
  <si>
    <t>Rt</t>
  </si>
  <si>
    <t>NEM</t>
  </si>
  <si>
    <t>Site</t>
  </si>
  <si>
    <t>P</t>
  </si>
  <si>
    <t>R</t>
  </si>
  <si>
    <t>Plankton</t>
  </si>
  <si>
    <t>Pg_RA</t>
  </si>
  <si>
    <t>Rt_RA</t>
  </si>
  <si>
    <t xml:space="preserve">Pearson Coefficients: </t>
  </si>
  <si>
    <t>Sample Size (n)</t>
  </si>
  <si>
    <t>Significance</t>
  </si>
  <si>
    <t>Max</t>
  </si>
  <si>
    <t>Min</t>
  </si>
  <si>
    <t>Adjusted using post-calibration coefficients for second deployment</t>
  </si>
  <si>
    <t>S</t>
  </si>
  <si>
    <t>FDOM</t>
  </si>
  <si>
    <t>C</t>
  </si>
  <si>
    <t>The results of this analysis was summarized in text demonstrating how well FDOM fluorescence predicted salinity</t>
  </si>
  <si>
    <t>Avg</t>
  </si>
  <si>
    <t>Count</t>
  </si>
  <si>
    <t>Temperature</t>
  </si>
  <si>
    <t>Salinity</t>
  </si>
  <si>
    <t>Chl a</t>
  </si>
  <si>
    <t>Irradiance</t>
  </si>
  <si>
    <t>Ecosystem</t>
  </si>
  <si>
    <t>Cyano</t>
  </si>
  <si>
    <t>Stn</t>
  </si>
  <si>
    <t>7 day Running Avg</t>
  </si>
  <si>
    <t>I</t>
  </si>
  <si>
    <t>Y-Axis Scale Factor</t>
  </si>
  <si>
    <t>Model II</t>
  </si>
  <si>
    <t>Slope</t>
  </si>
  <si>
    <t>Int</t>
  </si>
  <si>
    <t>All</t>
  </si>
  <si>
    <t>x_y 1</t>
  </si>
  <si>
    <t>x_y 2</t>
  </si>
  <si>
    <t>dSigT</t>
  </si>
  <si>
    <t>Rn</t>
  </si>
  <si>
    <t>Average</t>
  </si>
  <si>
    <t>I.SWI</t>
  </si>
  <si>
    <t>Tide.R</t>
  </si>
  <si>
    <t>I.avg</t>
  </si>
  <si>
    <t>Respiration</t>
  </si>
  <si>
    <t>Net Metabolism</t>
  </si>
  <si>
    <t>nd</t>
  </si>
  <si>
    <t>chl.a</t>
  </si>
  <si>
    <t>FL.ctd</t>
  </si>
  <si>
    <t>FL.wqm</t>
  </si>
  <si>
    <t>dayhrs</t>
  </si>
  <si>
    <t>PgP_old</t>
  </si>
  <si>
    <t>Marker</t>
  </si>
  <si>
    <t>Pg.P</t>
  </si>
  <si>
    <t>NEM.P</t>
  </si>
  <si>
    <t>Pg.E</t>
  </si>
  <si>
    <t>Rt.E</t>
  </si>
  <si>
    <t>Temp.ctd</t>
  </si>
  <si>
    <t>Sal.ctd</t>
  </si>
  <si>
    <t>SigT.ctd</t>
  </si>
  <si>
    <t>DO.ctd</t>
  </si>
  <si>
    <t>Dosat.ctd</t>
  </si>
  <si>
    <t>Turb.ctd</t>
  </si>
  <si>
    <t>FDOM.ctd</t>
  </si>
  <si>
    <t>Kd.ctd</t>
  </si>
  <si>
    <t>Temp.wqm</t>
  </si>
  <si>
    <t>Sal.wqm</t>
  </si>
  <si>
    <t>SigT.wqm</t>
  </si>
  <si>
    <t>DO.wqm</t>
  </si>
  <si>
    <t>Dosat.wqm</t>
  </si>
  <si>
    <t>FDOM.wqm</t>
  </si>
  <si>
    <t>Turb.wqm</t>
  </si>
  <si>
    <t>null.3</t>
  </si>
  <si>
    <t>NH.4</t>
  </si>
  <si>
    <t>NO.2</t>
  </si>
  <si>
    <t>NO.x</t>
  </si>
  <si>
    <t>PO.4</t>
  </si>
  <si>
    <t>SiO.2</t>
  </si>
  <si>
    <t>ag.350</t>
  </si>
  <si>
    <t>ag.490</t>
  </si>
  <si>
    <t>ad.490</t>
  </si>
  <si>
    <t>aph.490</t>
  </si>
  <si>
    <t>aT.490</t>
  </si>
  <si>
    <t>null.2</t>
  </si>
  <si>
    <t>null.1</t>
  </si>
  <si>
    <t>S.350.440</t>
  </si>
  <si>
    <t>null.4</t>
  </si>
  <si>
    <t>Pn.m</t>
  </si>
  <si>
    <t>NEM.E</t>
  </si>
  <si>
    <t>Pg.B</t>
  </si>
  <si>
    <t>NEM.B</t>
  </si>
  <si>
    <t>Kd.s</t>
  </si>
  <si>
    <t>Bottom.Depth</t>
  </si>
  <si>
    <t>Pg.P.new</t>
  </si>
  <si>
    <t>Kd.hat</t>
  </si>
  <si>
    <t>Gross Production</t>
  </si>
  <si>
    <t>Rt.P</t>
  </si>
  <si>
    <t>Rn.se</t>
  </si>
  <si>
    <t>Pn.m.se</t>
  </si>
  <si>
    <t>Benthos</t>
  </si>
  <si>
    <t>chl.hat</t>
  </si>
  <si>
    <t>Channel Stats by period</t>
  </si>
  <si>
    <t>Shoal Stats by period</t>
  </si>
  <si>
    <t>SE</t>
  </si>
  <si>
    <t>alpha.se</t>
  </si>
  <si>
    <t>Spring</t>
  </si>
  <si>
    <t>Summer</t>
  </si>
  <si>
    <t>alpha</t>
  </si>
  <si>
    <t>Pm.chl</t>
  </si>
  <si>
    <t>Pm</t>
  </si>
  <si>
    <t>Pm.se</t>
  </si>
  <si>
    <t>raw.slope</t>
  </si>
  <si>
    <t>raw.slope.se</t>
  </si>
  <si>
    <t>Spring Channel</t>
  </si>
  <si>
    <t>Summer Channel</t>
  </si>
  <si>
    <t>All Data Channel</t>
  </si>
  <si>
    <t>Spring Shoal</t>
  </si>
  <si>
    <t>Summer Shoal</t>
  </si>
  <si>
    <t>All Data Shoal</t>
  </si>
  <si>
    <t>All Data ALL</t>
  </si>
  <si>
    <t>All Data</t>
  </si>
  <si>
    <t>M II Slope</t>
  </si>
  <si>
    <t>M II Int</t>
  </si>
  <si>
    <t>Murrell et al</t>
  </si>
  <si>
    <t>This</t>
  </si>
  <si>
    <t>dSal</t>
  </si>
  <si>
    <t>Variable</t>
  </si>
  <si>
    <t>Lag</t>
  </si>
  <si>
    <t>r</t>
  </si>
  <si>
    <t>Dissolved oxygen</t>
  </si>
  <si>
    <t>Turbidity</t>
  </si>
  <si>
    <t>-Rt</t>
  </si>
  <si>
    <t>fl.wqm</t>
  </si>
  <si>
    <t>Chlorophyll Sensor Calibration</t>
  </si>
  <si>
    <t>R2</t>
  </si>
  <si>
    <t>DO.wqm.mmol</t>
  </si>
  <si>
    <r>
      <t>α</t>
    </r>
    <r>
      <rPr>
        <vertAlign val="superscript"/>
        <sz val="12"/>
        <rFont val="Times New Roman"/>
        <family val="1"/>
      </rPr>
      <t>B</t>
    </r>
  </si>
  <si>
    <r>
      <t>P</t>
    </r>
    <r>
      <rPr>
        <vertAlign val="subscript"/>
        <sz val="12"/>
        <rFont val="Times New Roman"/>
        <family val="1"/>
      </rPr>
      <t>m</t>
    </r>
    <r>
      <rPr>
        <vertAlign val="superscript"/>
        <sz val="12"/>
        <rFont val="Times New Roman"/>
        <family val="1"/>
      </rPr>
      <t>B</t>
    </r>
    <r>
      <rPr>
        <sz val="10.199999999999999"/>
        <rFont val="Times New Roman"/>
        <family val="1"/>
      </rPr>
      <t/>
    </r>
  </si>
  <si>
    <t>P:R Ratio</t>
  </si>
  <si>
    <t>P:R</t>
  </si>
  <si>
    <t>Residual</t>
  </si>
  <si>
    <t>Residual P and R (Benthic)</t>
  </si>
  <si>
    <t>Pg.R</t>
  </si>
  <si>
    <t>Rt.R</t>
  </si>
  <si>
    <t>NEM.R</t>
  </si>
  <si>
    <t>Modeled Bentic P/R</t>
  </si>
  <si>
    <t>R.B</t>
  </si>
  <si>
    <t>-R.B</t>
  </si>
  <si>
    <t>Rsq</t>
  </si>
  <si>
    <t>neg.Rt.P</t>
  </si>
  <si>
    <t>neg.Rn</t>
  </si>
  <si>
    <t>neg.Rt.E</t>
  </si>
  <si>
    <t>neg.Rt.R</t>
  </si>
  <si>
    <t>P_R.R</t>
  </si>
  <si>
    <t>P_R.P</t>
  </si>
  <si>
    <t>P_R.E</t>
  </si>
  <si>
    <t>P_R</t>
  </si>
  <si>
    <t>neg.Rt_RA</t>
  </si>
  <si>
    <t>P:R_RA</t>
  </si>
  <si>
    <t>CDOM.hat</t>
  </si>
  <si>
    <t>tide.range</t>
  </si>
  <si>
    <t>wspm</t>
  </si>
  <si>
    <t>wspx</t>
  </si>
  <si>
    <t>Imported from R using calendar dates, daily mean and max, based on 30 minute averages</t>
  </si>
  <si>
    <t>Comparing daily averages based on met day vs calendar day</t>
  </si>
  <si>
    <t>Wsp_max</t>
  </si>
  <si>
    <t>Daily average turbidity at shoal site and daily max wind speed</t>
  </si>
  <si>
    <t>Cross correlation analysis for Jane.  Need to do 2 analyses due to gap in timeseries: Spring and Summer</t>
  </si>
  <si>
    <t>Daily P, and R and Tide Range</t>
  </si>
  <si>
    <t>P shoal</t>
  </si>
  <si>
    <t>R shoal</t>
  </si>
  <si>
    <t>P channel</t>
  </si>
  <si>
    <t>R channel</t>
  </si>
  <si>
    <t>Tide range</t>
  </si>
  <si>
    <t>Strat</t>
  </si>
  <si>
    <t>Temp.</t>
  </si>
  <si>
    <t>NR</t>
  </si>
  <si>
    <t>NR.se</t>
  </si>
  <si>
    <t>Alternative Ecosystem Metabolism at channel site during stratified conditions.  Adjust ecosystem to surface layer at pycnocline.  Lower layer P from plankton experiments, Benthic P from light model, Lower layer R from plankton, Benthic from channel sites in Murrell et al. 2009</t>
  </si>
  <si>
    <t>LL P</t>
  </si>
  <si>
    <t>Depth</t>
  </si>
  <si>
    <t>Total</t>
  </si>
  <si>
    <t>Surface
Layer</t>
  </si>
  <si>
    <t>Lower
Layer</t>
  </si>
  <si>
    <t>Total
 Components</t>
  </si>
  <si>
    <t>Total
Open Water</t>
  </si>
  <si>
    <t>wc.chl.a</t>
  </si>
  <si>
    <t>GPP</t>
  </si>
  <si>
    <t>Pg.R.RA</t>
  </si>
  <si>
    <t>NA</t>
  </si>
  <si>
    <t>From R versoin from Marcus 7/20/16</t>
  </si>
  <si>
    <t>From R version from Marcus 7/20/16</t>
  </si>
  <si>
    <t>N</t>
  </si>
  <si>
    <t xml:space="preserve">Duarte et al. 2004 model for oligotrophic Bay of Blanes in Mediterranean relating volumetric GPP to P:R ratio in mmol m-3 d-1. </t>
  </si>
  <si>
    <t>Pg.P.V</t>
  </si>
  <si>
    <t>Copy of IPP_SP0X phytoplankton P integrations for parsing into upper and lower water column layers</t>
  </si>
  <si>
    <t>Rt.P.V</t>
  </si>
  <si>
    <t>NEM.P.V</t>
  </si>
  <si>
    <t>Value</t>
  </si>
  <si>
    <t>&gt;100</t>
  </si>
  <si>
    <t>Frequency for Plankton at both sites</t>
  </si>
  <si>
    <t>wc.sal.ctd</t>
  </si>
  <si>
    <t>wc.temp.ctd</t>
  </si>
  <si>
    <t>Chlorophyll</t>
  </si>
  <si>
    <t xml:space="preserve">n </t>
  </si>
  <si>
    <t>P:R
Components</t>
  </si>
  <si>
    <t>P:R
Open Water</t>
  </si>
  <si>
    <t>mean.depth</t>
  </si>
  <si>
    <t>Difference</t>
  </si>
  <si>
    <r>
      <t>I</t>
    </r>
    <r>
      <rPr>
        <vertAlign val="subscript"/>
        <sz val="8.4"/>
        <rFont val="Times New Roman"/>
        <family val="1"/>
      </rPr>
      <t>avg</t>
    </r>
  </si>
  <si>
    <t>Pg.P.C</t>
  </si>
  <si>
    <t>Pg.E.C</t>
  </si>
  <si>
    <t>Pg.R.c</t>
  </si>
  <si>
    <t>Rt.P.c</t>
  </si>
  <si>
    <t>Rt.E.c</t>
  </si>
  <si>
    <t>Rt.R.c</t>
  </si>
  <si>
    <t>NEM.P.c</t>
  </si>
  <si>
    <t>NEM.E.c</t>
  </si>
  <si>
    <t>NEM.R.c</t>
  </si>
  <si>
    <t>wc.temp.ctd.c</t>
  </si>
  <si>
    <t>wc.sal.ctd.c</t>
  </si>
  <si>
    <t>wc.chl.a.c</t>
  </si>
  <si>
    <t>I.avg.c</t>
  </si>
  <si>
    <r>
      <t>I</t>
    </r>
    <r>
      <rPr>
        <vertAlign val="subscript"/>
        <sz val="12"/>
        <rFont val="Times New Roman"/>
        <family val="1"/>
      </rPr>
      <t>avg</t>
    </r>
  </si>
  <si>
    <t>For Table 4 correlations</t>
  </si>
  <si>
    <t>∆ Salnity</t>
  </si>
  <si>
    <t>dsal.c</t>
  </si>
  <si>
    <t>DOInitial</t>
  </si>
  <si>
    <t>Pm.chl.se</t>
  </si>
  <si>
    <t>Predicted O2 from Nit mmol/m3/d</t>
  </si>
  <si>
    <t>Nit Fraction of respiration</t>
  </si>
  <si>
    <r>
      <t>NH</t>
    </r>
    <r>
      <rPr>
        <vertAlign val="subscript"/>
        <sz val="12"/>
        <rFont val="Times New Roman"/>
        <family val="1"/>
      </rPr>
      <t>4</t>
    </r>
    <r>
      <rPr>
        <vertAlign val="superscript"/>
        <sz val="12"/>
        <rFont val="Times New Roman"/>
        <family val="1"/>
      </rPr>
      <t>+</t>
    </r>
  </si>
  <si>
    <r>
      <t>PO</t>
    </r>
    <r>
      <rPr>
        <vertAlign val="subscript"/>
        <sz val="12"/>
        <rFont val="Times New Roman"/>
        <family val="1"/>
      </rPr>
      <t>4</t>
    </r>
    <r>
      <rPr>
        <vertAlign val="superscript"/>
        <sz val="12"/>
        <rFont val="Times New Roman"/>
        <family val="1"/>
      </rPr>
      <t>3-</t>
    </r>
  </si>
  <si>
    <r>
      <t>SiO</t>
    </r>
    <r>
      <rPr>
        <vertAlign val="subscript"/>
        <sz val="12"/>
        <rFont val="Times New Roman"/>
        <family val="1"/>
      </rPr>
      <t>2</t>
    </r>
    <r>
      <rPr>
        <vertAlign val="superscript"/>
        <sz val="12"/>
        <rFont val="Times New Roman"/>
        <family val="1"/>
      </rPr>
      <t>2-</t>
    </r>
  </si>
  <si>
    <r>
      <t>NO</t>
    </r>
    <r>
      <rPr>
        <vertAlign val="subscript"/>
        <sz val="12"/>
        <rFont val="Times New Roman"/>
        <family val="1"/>
      </rPr>
      <t>2</t>
    </r>
    <r>
      <rPr>
        <vertAlign val="superscript"/>
        <sz val="12"/>
        <rFont val="Times New Roman"/>
        <family val="1"/>
      </rPr>
      <t>-</t>
    </r>
    <r>
      <rPr>
        <sz val="12"/>
        <rFont val="Times New Roman"/>
        <family val="1"/>
      </rPr>
      <t xml:space="preserve"> + NO</t>
    </r>
    <r>
      <rPr>
        <vertAlign val="subscript"/>
        <sz val="12"/>
        <rFont val="Times New Roman"/>
        <family val="1"/>
      </rPr>
      <t>3</t>
    </r>
    <r>
      <rPr>
        <vertAlign val="superscript"/>
        <sz val="12"/>
        <rFont val="Times New Roman"/>
        <family val="1"/>
      </rPr>
      <t>-</t>
    </r>
  </si>
  <si>
    <t>OWM</t>
  </si>
  <si>
    <t>site</t>
  </si>
  <si>
    <t>method</t>
  </si>
  <si>
    <t>season</t>
  </si>
  <si>
    <t>rn</t>
  </si>
  <si>
    <t>pn</t>
  </si>
  <si>
    <t>date</t>
  </si>
  <si>
    <t>Water Column</t>
  </si>
  <si>
    <t>Pycnocline (m)</t>
  </si>
  <si>
    <t>n</t>
  </si>
  <si>
    <t>F</t>
  </si>
  <si>
    <t>R-squared</t>
  </si>
  <si>
    <t>-1.61**</t>
  </si>
  <si>
    <t>Site x Season</t>
  </si>
  <si>
    <t>1.21**</t>
  </si>
  <si>
    <t>Season (Summer)</t>
  </si>
  <si>
    <t>4.13**</t>
  </si>
  <si>
    <t>Site (Shoal)</t>
  </si>
  <si>
    <t>0.80**</t>
  </si>
  <si>
    <t>0.57*</t>
  </si>
  <si>
    <t>Intercept</t>
  </si>
  <si>
    <t>Open Water</t>
  </si>
  <si>
    <t>1.16**</t>
  </si>
  <si>
    <t>-1.30**</t>
  </si>
  <si>
    <t>Incubation</t>
  </si>
  <si>
    <r>
      <t>O</t>
    </r>
    <r>
      <rPr>
        <vertAlign val="subscript"/>
        <sz val="12"/>
        <rFont val="Times New Roman"/>
        <family val="1"/>
      </rPr>
      <t>2</t>
    </r>
    <r>
      <rPr>
        <sz val="12"/>
        <rFont val="Times New Roman"/>
        <family val="1"/>
      </rPr>
      <t/>
    </r>
  </si>
  <si>
    <r>
      <t>O</t>
    </r>
    <r>
      <rPr>
        <vertAlign val="subscript"/>
        <sz val="12"/>
        <rFont val="Times New Roman"/>
        <family val="1"/>
      </rPr>
      <t>2</t>
    </r>
    <r>
      <rPr>
        <sz val="12"/>
        <rFont val="Times New Roman"/>
        <family val="1"/>
      </rPr>
      <t xml:space="preserve"> % saturation</t>
    </r>
  </si>
  <si>
    <t>0.54**</t>
  </si>
  <si>
    <t>1.76**</t>
  </si>
  <si>
    <t>ns</t>
  </si>
  <si>
    <r>
      <t xml:space="preserve">* </t>
    </r>
    <r>
      <rPr>
        <i/>
        <sz val="12"/>
        <color theme="1"/>
        <rFont val="Times New Roman"/>
        <family val="1"/>
      </rPr>
      <t>p</t>
    </r>
    <r>
      <rPr>
        <sz val="12"/>
        <color theme="1"/>
        <rFont val="Times New Roman"/>
        <family val="1"/>
      </rPr>
      <t xml:space="preserve"> &lt; 0.05, ** </t>
    </r>
    <r>
      <rPr>
        <i/>
        <sz val="12"/>
        <color theme="1"/>
        <rFont val="Times New Roman"/>
        <family val="1"/>
      </rPr>
      <t>p</t>
    </r>
    <r>
      <rPr>
        <sz val="12"/>
        <color theme="1"/>
        <rFont val="Times New Roman"/>
        <family val="1"/>
      </rPr>
      <t xml:space="preserve"> &lt; 0.01</t>
    </r>
  </si>
  <si>
    <t>107.7**</t>
  </si>
  <si>
    <t>-98.1**</t>
  </si>
  <si>
    <t>72.3*</t>
  </si>
  <si>
    <t>110.2**</t>
  </si>
  <si>
    <t>86.4**</t>
  </si>
  <si>
    <t>173.2**</t>
  </si>
  <si>
    <t>-202.2**</t>
  </si>
  <si>
    <t>-58.1**</t>
  </si>
  <si>
    <t>81.7**</t>
  </si>
  <si>
    <t>113.5**</t>
  </si>
  <si>
    <t>69.1**</t>
  </si>
  <si>
    <t>169.7**</t>
  </si>
  <si>
    <t>-184.1**</t>
  </si>
  <si>
    <r>
      <t>R</t>
    </r>
    <r>
      <rPr>
        <vertAlign val="subscript"/>
        <sz val="12"/>
        <rFont val="Times New Roman"/>
        <family val="1"/>
      </rPr>
      <t>n</t>
    </r>
  </si>
  <si>
    <t>Pa</t>
  </si>
  <si>
    <r>
      <t>P</t>
    </r>
    <r>
      <rPr>
        <vertAlign val="subscript"/>
        <sz val="12"/>
        <rFont val="Times New Roman"/>
        <family val="1"/>
      </rPr>
      <t>a</t>
    </r>
  </si>
  <si>
    <t>Open water values</t>
  </si>
  <si>
    <t>Bottle experiment values</t>
  </si>
  <si>
    <t>D</t>
  </si>
  <si>
    <t>Pa.E</t>
  </si>
  <si>
    <t>Rn.E</t>
  </si>
  <si>
    <t>D.E</t>
  </si>
  <si>
    <t>Resp</t>
  </si>
  <si>
    <t>Prod</t>
  </si>
  <si>
    <t>Iavg</t>
  </si>
  <si>
    <t>Xbar</t>
  </si>
  <si>
    <t>Ybar</t>
  </si>
  <si>
    <t>Shoal P</t>
  </si>
  <si>
    <t>Shoal R</t>
  </si>
  <si>
    <t>Stratification</t>
  </si>
  <si>
    <t>X0</t>
  </si>
  <si>
    <t>X1</t>
  </si>
  <si>
    <t>Y0</t>
  </si>
  <si>
    <t>Y1</t>
  </si>
  <si>
    <t>Avg. Irradiance</t>
  </si>
  <si>
    <t>Channel P</t>
  </si>
  <si>
    <t>Channel R</t>
  </si>
  <si>
    <t>Intercept (Channel, Spring)</t>
  </si>
  <si>
    <t>3.52**</t>
  </si>
  <si>
    <t>D/DOF_d</t>
  </si>
  <si>
    <t>D/DOF_n</t>
  </si>
  <si>
    <t>D/DOF</t>
  </si>
  <si>
    <t>SHOAL SITE: Output from Matlab OWM script 23 Nov 14.  WQM averages are based on metabolic day to match metabolism parameters</t>
  </si>
  <si>
    <t>CHANNEL SITE: Output from Matlab OWM script 23 Nov 14.  WQM averages are based on metabolic day to match metabolism parameters</t>
  </si>
  <si>
    <t>to 0.39</t>
  </si>
  <si>
    <t>to -3.5</t>
  </si>
  <si>
    <r>
      <t>R</t>
    </r>
    <r>
      <rPr>
        <b/>
        <vertAlign val="superscript"/>
        <sz val="13.8"/>
        <color rgb="FF333333"/>
        <rFont val="Times New Roman"/>
        <family val="1"/>
      </rPr>
      <t>2</t>
    </r>
  </si>
  <si>
    <t>Name</t>
  </si>
  <si>
    <t>Date of sampling</t>
  </si>
  <si>
    <t>Name of site sampled</t>
  </si>
  <si>
    <t>The water column depth (m) at the site</t>
  </si>
  <si>
    <t>The recorded Secchi disk depth (m) at the site</t>
  </si>
  <si>
    <t>Raw</t>
  </si>
  <si>
    <t>Units</t>
  </si>
  <si>
    <t>SUM</t>
  </si>
  <si>
    <t>mm/dd/yy</t>
  </si>
  <si>
    <t>m</t>
  </si>
  <si>
    <t>m-1</t>
  </si>
  <si>
    <t>kW m-2</t>
  </si>
  <si>
    <t>µg L-1</t>
  </si>
  <si>
    <t>°C</t>
  </si>
  <si>
    <t>psu</t>
  </si>
  <si>
    <t>h</t>
  </si>
  <si>
    <t>kg m-3</t>
  </si>
  <si>
    <t>mg L-1</t>
  </si>
  <si>
    <t>%</t>
  </si>
  <si>
    <t>arbitrary</t>
  </si>
  <si>
    <t>kd m-3</t>
  </si>
  <si>
    <t>m-1 (nm)-1</t>
  </si>
  <si>
    <t>X 10^9 L-1</t>
  </si>
  <si>
    <t>mmol m-3</t>
  </si>
  <si>
    <t>mmol O2 m-3 hr-1</t>
  </si>
  <si>
    <t>(mmol O2 m-3 hr-1) (mg Chl m-3)-1</t>
  </si>
  <si>
    <t>mmol O2 m-2 d-1</t>
  </si>
  <si>
    <t>W m-2</t>
  </si>
  <si>
    <t>mmol N m-3 d-1</t>
  </si>
  <si>
    <t>proportion</t>
  </si>
  <si>
    <t>SP01/SP02</t>
  </si>
  <si>
    <t>Tab(s)</t>
  </si>
  <si>
    <t>Description</t>
  </si>
  <si>
    <t>Daily Irradiance from Weather Station</t>
  </si>
  <si>
    <t>Chlorophyll a from sample analysis</t>
  </si>
  <si>
    <t>Water column average chlorophyll from CTD profiles (estimate)</t>
  </si>
  <si>
    <t>Water column average temperature from CTD profiles</t>
  </si>
  <si>
    <t>Water column average salinity from CTD profiles</t>
  </si>
  <si>
    <t>Daily tide range based on water level sensor on WQM at SP01</t>
  </si>
  <si>
    <t xml:space="preserve">Calculated daylight length using NOAA algorighms coded in R sunrise.set function </t>
  </si>
  <si>
    <t>Water temperature from CTD</t>
  </si>
  <si>
    <t>Salinity from CTD</t>
  </si>
  <si>
    <t>Salinity from WQM</t>
  </si>
  <si>
    <t>Sigma T from CTD</t>
  </si>
  <si>
    <t>Sigma T from WQM</t>
  </si>
  <si>
    <t>DO saturation  from CTD</t>
  </si>
  <si>
    <t>DO saturation  from WQM</t>
  </si>
  <si>
    <t>Dissolved (DO) oxygen from CTD</t>
  </si>
  <si>
    <t>Dissolved (DO) oxygen from WQM</t>
  </si>
  <si>
    <t>Chlorophyll fluorescence from CTD</t>
  </si>
  <si>
    <t>Chlorophyll fluorescence from WQM</t>
  </si>
  <si>
    <t>Turbidity from CTD</t>
  </si>
  <si>
    <t>Fluorescent Dissolved Organic Matter (FDOM) from CTD</t>
  </si>
  <si>
    <t>Diffuse downwelling attenuation coefficient</t>
  </si>
  <si>
    <t>Bottom minus surface Sigma T from CTD</t>
  </si>
  <si>
    <t>Bottom minus surface salinity from CTD</t>
  </si>
  <si>
    <t>Pycnocline Depth from CTD analysis</t>
  </si>
  <si>
    <t>DO concentration in bottle incubations at start of experiment</t>
  </si>
  <si>
    <t>Turbidity from WQM</t>
  </si>
  <si>
    <t>Fluorescent Dissolved Organic Matter (FDOM) from WQM</t>
  </si>
  <si>
    <t>Water temperature from Wetlabs Water Quality Monitor (WQM)</t>
  </si>
  <si>
    <t>Absorption Coefficient @ 350 nm</t>
  </si>
  <si>
    <t xml:space="preserve">Spectral slope </t>
  </si>
  <si>
    <t>Total Absorption Coefficient @ 490 nm</t>
  </si>
  <si>
    <t>Absorption Coefficient attributable to CDOM @ 490 nm</t>
  </si>
  <si>
    <t>Absorption Coefficient attributable to detritus @ 490 nm</t>
  </si>
  <si>
    <t>Absorption Coefficient attributable to phytoplankton @ 490 nm</t>
  </si>
  <si>
    <t>Cyanobacteria abundance from direct counts</t>
  </si>
  <si>
    <t xml:space="preserve">Ammonium </t>
  </si>
  <si>
    <t>Nitrite</t>
  </si>
  <si>
    <t>Nitrate</t>
  </si>
  <si>
    <t>Phosphate</t>
  </si>
  <si>
    <t>Silicate</t>
  </si>
  <si>
    <t>Dissolved Organic Carbon</t>
  </si>
  <si>
    <t>Total Nitrogen</t>
  </si>
  <si>
    <t>DO from WQM converted to different units</t>
  </si>
  <si>
    <t>Model calculation</t>
  </si>
  <si>
    <t>Results from Bottle incubation experiments Slope of net O2 flux vs. Irradiance</t>
  </si>
  <si>
    <t>Standard error of above</t>
  </si>
  <si>
    <t xml:space="preserve">Results from Bottle incubation experiments Maximum net O2 flux </t>
  </si>
  <si>
    <t xml:space="preserve">Results from Bottle incubation experiments Maximum gross O2 flux </t>
  </si>
  <si>
    <t xml:space="preserve">Results from Bottle incubation experiments Net O2 flux in the dark (Respiration) </t>
  </si>
  <si>
    <t>Raw slope (above) divided by chlorophyll concentration</t>
  </si>
  <si>
    <t>Maximum gross production calculated from Pn.m and Rn above, divided by chlorophyll concentration</t>
  </si>
  <si>
    <t xml:space="preserve">Results from Bottle incubation experiments Enhancement of O2 flux in Nutrient Amended Treatments </t>
  </si>
  <si>
    <t xml:space="preserve">Results from Bottle incubation experiments Negative Net O2 flux in the dark (Respiration) </t>
  </si>
  <si>
    <t>negative Daily Integrated Water column respiration</t>
  </si>
  <si>
    <t>Daily Integrated Gross water column Production</t>
  </si>
  <si>
    <t>Obsolete Version of Daily Integrated Gross water column Production</t>
  </si>
  <si>
    <t>Net Water Column Metabolism (Pg - Rt)</t>
  </si>
  <si>
    <t>Daily Integrated Water Column Respiration</t>
  </si>
  <si>
    <t>Daily Integrated Gross water column Production recalculated with vertically varying Chlorophyll Concentration</t>
  </si>
  <si>
    <t>Results from Open Water Model: Apparent daytime Production</t>
  </si>
  <si>
    <t>Results from Open Water Model: Night Respiration</t>
  </si>
  <si>
    <t>Results from Open Water Model: Daily average net Air Sea Flux</t>
  </si>
  <si>
    <t>Results from Open Water Model: Ecosystem Gross Production</t>
  </si>
  <si>
    <t>Results from Open Water Model: negative Ecosystem Respiration</t>
  </si>
  <si>
    <t>Results from Open Water Model: Ecosystem Respiration</t>
  </si>
  <si>
    <t>P:R Ratio (Pg/Rt) of water column</t>
  </si>
  <si>
    <t>P:R Ratio (Pg/Rt) of Ecosystem</t>
  </si>
  <si>
    <t>Net Ecosystem Metabolism (Pg - Rt)</t>
  </si>
  <si>
    <t>Residual Gross production (Pg.E - Pg.P)</t>
  </si>
  <si>
    <t>Residual Respiration (Rt.E - Rt.P)</t>
  </si>
  <si>
    <t>Negative Residual Respiration -(Rt.E - Rt.P)</t>
  </si>
  <si>
    <t>Residual Net Metabolism (NEM.E - NEM.P)</t>
  </si>
  <si>
    <t>Residual P:R ratio</t>
  </si>
  <si>
    <t>Water column diffuse light attenuation coefficient estimated from Secchi Disk data @ 1.4/Secchi</t>
  </si>
  <si>
    <t>Model estimate of kd</t>
  </si>
  <si>
    <t xml:space="preserve">Average Water Column Irradiance </t>
  </si>
  <si>
    <t>Irradiance at the Sediment-Water Interface</t>
  </si>
  <si>
    <t>Model estimate of Benthic Gross Production</t>
  </si>
  <si>
    <t>Model estimate of Benthic Respiration</t>
  </si>
  <si>
    <t>Negative Model estimate of Benthic Respiration</t>
  </si>
  <si>
    <t>Model estimate of Net Benthic Metabolism</t>
  </si>
  <si>
    <t>Model estimate of Nitrification</t>
  </si>
  <si>
    <t>Daily average Temperature from WQM</t>
  </si>
  <si>
    <t>Daily average Salinity from WQM</t>
  </si>
  <si>
    <t>Daily average Sigma T from WQM</t>
  </si>
  <si>
    <t>Daily average DO from WQM</t>
  </si>
  <si>
    <t>Daily average DO % saturation from WQM</t>
  </si>
  <si>
    <t>Daily average Chlorophyll Fluorescence from WQM</t>
  </si>
  <si>
    <t>Daily average FDOM Fluorescence from WQM</t>
  </si>
  <si>
    <t>Daily average Turbidity from WQM</t>
  </si>
  <si>
    <t>Net DO flux during daylight hours</t>
  </si>
  <si>
    <t>Net DO flux during night</t>
  </si>
  <si>
    <t>Modeled Air-Sea DO flux during daylight hours using Open Water Model</t>
  </si>
  <si>
    <t>Modeled Air-Sea DO flux during night hours using Open Water Model</t>
  </si>
  <si>
    <t>Ratio of Modeled Air-Sea DO flux and measured DO flux during daylight hours</t>
  </si>
  <si>
    <t>Ratio of Modeled Air-Sea DO flux and measured DO flux during night</t>
  </si>
  <si>
    <t>Daily gross production from Open Water Model</t>
  </si>
  <si>
    <t>Daily Ecosystem Respiration from Open Water Model</t>
  </si>
  <si>
    <t>Daily Ecosystem Gross Production from Open Water Model</t>
  </si>
  <si>
    <t>Daily average wind speed from Weather Station</t>
  </si>
  <si>
    <t>Daily average Air Temperature from Weather Station</t>
  </si>
  <si>
    <t>Daily average Irradiance from Weather Station</t>
  </si>
  <si>
    <t>m s-1</t>
  </si>
  <si>
    <t>arbitrary (NTU)</t>
  </si>
  <si>
    <t>mmol O2 m-2 h-1</t>
  </si>
  <si>
    <t>Integer</t>
  </si>
  <si>
    <t>ratio</t>
  </si>
  <si>
    <t>mg m-3</t>
  </si>
  <si>
    <t>Site name</t>
  </si>
  <si>
    <t>Text</t>
  </si>
  <si>
    <t>Sample Date</t>
  </si>
  <si>
    <t>Number of records use to calculate Open Water Model</t>
  </si>
  <si>
    <t>7 Day running average of Pg above</t>
  </si>
  <si>
    <t>7 Day running average of negative Rt</t>
  </si>
  <si>
    <t>7 Day running average of negative NEM</t>
  </si>
  <si>
    <t>7 Day running average of Rt</t>
  </si>
  <si>
    <t>7 Day running average of Pg/Rt</t>
  </si>
  <si>
    <t>7 Day running average of PAR</t>
  </si>
  <si>
    <t>Estimated chlorophyll from Fluorescnce vs. Extracted regression analysis</t>
  </si>
  <si>
    <t>Daily Tide Range from WQM</t>
  </si>
  <si>
    <t>Daily Mean Depth from WQM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</si>
</sst>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_);\(&quot;$&quot;#,##0\)"/>
    <numFmt numFmtId="43" formatCode="_(* #,##0.00_);_(* \(#,##0.00\);_(* &quot;-&quot;??_);_(@_)"/>
    <numFmt numFmtId="164" formatCode="0.0"/>
    <numFmt numFmtId="165" formatCode="0.000"/>
    <numFmt numFmtId="166" formatCode="#,##0.0"/>
    <numFmt numFmtId="167" formatCode="[$-409]d\-mmm;@"/>
    <numFmt numFmtId="168" formatCode="0.0000"/>
    <numFmt numFmtId="169" formatCode="_(* #,##0.0_);_(* \(#,##0.0\);_(* &quot;-&quot;??_);_(@_)"/>
    <numFmt numFmtId="170" formatCode="\±\ 0.0"/>
    <numFmt numFmtId="171" formatCode="m/d/yy;@"/>
    <numFmt numFmtId="172" formatCode="&quot;$&quot;#,##0.0"/>
    <numFmt numFmtId="173" formatCode="m/d"/>
    <numFmt numFmtId="174" formatCode="m/d;@"/>
    <numFmt numFmtId="175" formatCode="0.0%"/>
    <numFmt numFmtId="176" formatCode="\±0%"/>
    <numFmt numFmtId="177" formatCode="\±\ 0.00"/>
    <numFmt numFmtId="178" formatCode="[$-409]d\-mmm\-yy;@"/>
    <numFmt numFmtId="179" formatCode="\(0.00\)"/>
  </numFmts>
  <fonts count="87">
    <font>
      <sz val="10"/>
      <name val="Arial"/>
    </font>
    <font>
      <sz val="10"/>
      <color theme="1"/>
      <name val="Arial"/>
      <family val="2"/>
    </font>
    <font>
      <sz val="10"/>
      <color theme="1"/>
      <name val="Arial"/>
      <family val="2"/>
    </font>
    <font>
      <sz val="10"/>
      <color theme="1"/>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sz val="10"/>
      <name val="Arial"/>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8"/>
      <name val="Arial"/>
      <family val="2"/>
    </font>
    <font>
      <sz val="10"/>
      <color indexed="10"/>
      <name val="Arial"/>
      <family val="2"/>
    </font>
    <font>
      <sz val="10"/>
      <color indexed="8"/>
      <name val="Arial"/>
      <family val="2"/>
    </font>
    <font>
      <b/>
      <sz val="10"/>
      <name val="Arial"/>
      <family val="2"/>
    </font>
    <font>
      <sz val="14"/>
      <name val="Arial"/>
      <family val="2"/>
    </font>
    <font>
      <sz val="8"/>
      <color indexed="81"/>
      <name val="Tahoma"/>
      <family val="2"/>
    </font>
    <font>
      <sz val="12"/>
      <name val="Times New Roman"/>
      <family val="1"/>
    </font>
    <font>
      <b/>
      <sz val="12"/>
      <name val="Times New Roman"/>
      <family val="1"/>
    </font>
    <font>
      <vertAlign val="superscript"/>
      <sz val="12"/>
      <name val="Times New Roman"/>
      <family val="1"/>
    </font>
    <font>
      <b/>
      <u/>
      <sz val="10"/>
      <name val="Arial"/>
      <family val="2"/>
    </font>
    <font>
      <i/>
      <sz val="12"/>
      <name val="Times New Roman"/>
      <family val="1"/>
    </font>
    <font>
      <sz val="10"/>
      <name val="Times New Roman"/>
      <family val="1"/>
    </font>
    <font>
      <b/>
      <u/>
      <sz val="12"/>
      <name val="Times New Roman"/>
      <family val="1"/>
    </font>
    <font>
      <vertAlign val="subscript"/>
      <sz val="12"/>
      <name val="Times New Roman"/>
      <family val="1"/>
    </font>
    <font>
      <b/>
      <sz val="9"/>
      <name val="Arial"/>
      <family val="2"/>
    </font>
    <font>
      <sz val="10"/>
      <color indexed="12"/>
      <name val="Arial"/>
      <family val="2"/>
    </font>
    <font>
      <b/>
      <sz val="12"/>
      <color indexed="8"/>
      <name val="Arial"/>
      <family val="2"/>
    </font>
    <font>
      <sz val="8"/>
      <name val="Arial"/>
      <family val="2"/>
    </font>
    <font>
      <sz val="9"/>
      <name val="Arial"/>
      <family val="2"/>
    </font>
    <font>
      <sz val="8"/>
      <name val="Arial"/>
      <family val="2"/>
    </font>
    <font>
      <sz val="10"/>
      <color rgb="FFFF0000"/>
      <name val="Arial"/>
      <family val="2"/>
    </font>
    <font>
      <sz val="11"/>
      <color indexed="8"/>
      <name val="Arial"/>
      <family val="2"/>
    </font>
    <font>
      <sz val="10.199999999999999"/>
      <name val="Times New Roman"/>
      <family val="1"/>
    </font>
    <font>
      <sz val="11"/>
      <color theme="1"/>
      <name val="Calibri"/>
      <family val="2"/>
      <scheme val="minor"/>
    </font>
    <font>
      <sz val="12"/>
      <color theme="1"/>
      <name val="Times"/>
      <family val="1"/>
    </font>
    <font>
      <sz val="12"/>
      <color rgb="FF000000"/>
      <name val="Times"/>
      <family val="1"/>
    </font>
    <font>
      <sz val="8"/>
      <color rgb="FF000000"/>
      <name val="Lucida Sans"/>
      <family val="2"/>
    </font>
    <font>
      <b/>
      <sz val="8"/>
      <color rgb="FF555555"/>
      <name val="Lucida Sans"/>
      <family val="2"/>
    </font>
    <font>
      <b/>
      <sz val="7"/>
      <color rgb="FF555555"/>
      <name val="Lucida Sans"/>
      <family val="2"/>
    </font>
    <font>
      <sz val="7"/>
      <color rgb="FF000000"/>
      <name val="Lucida Sans"/>
      <family val="2"/>
    </font>
    <font>
      <b/>
      <sz val="10"/>
      <color theme="1"/>
      <name val="Arial"/>
      <family val="2"/>
    </font>
    <font>
      <sz val="10"/>
      <color rgb="FF000000"/>
      <name val="Arial"/>
      <family val="2"/>
    </font>
    <font>
      <i/>
      <sz val="10"/>
      <color rgb="FFB0B0B0"/>
      <name val="Arial"/>
      <family val="2"/>
    </font>
    <font>
      <b/>
      <sz val="12"/>
      <color theme="1"/>
      <name val="Times"/>
    </font>
    <font>
      <b/>
      <sz val="12"/>
      <color rgb="FF000000"/>
      <name val="Times"/>
    </font>
    <font>
      <i/>
      <sz val="12"/>
      <color theme="1"/>
      <name val="Times"/>
    </font>
    <font>
      <i/>
      <sz val="10"/>
      <name val="Arial"/>
      <family val="2"/>
    </font>
    <font>
      <vertAlign val="subscript"/>
      <sz val="8.4"/>
      <name val="Times New Roman"/>
      <family val="1"/>
    </font>
    <font>
      <b/>
      <sz val="9"/>
      <color indexed="81"/>
      <name val="Tahoma"/>
      <charset val="1"/>
    </font>
    <font>
      <sz val="9"/>
      <color indexed="81"/>
      <name val="Tahoma"/>
      <charset val="1"/>
    </font>
    <font>
      <sz val="12"/>
      <color theme="1"/>
      <name val="Times New Roman"/>
      <family val="1"/>
    </font>
    <font>
      <i/>
      <sz val="12"/>
      <color theme="1"/>
      <name val="Times New Roman"/>
      <family val="1"/>
    </font>
    <font>
      <sz val="12"/>
      <color rgb="FF333333"/>
      <name val="Times New Roman"/>
      <family val="1"/>
    </font>
    <font>
      <b/>
      <i/>
      <sz val="12"/>
      <color rgb="FF333333"/>
      <name val="Times New Roman"/>
      <family val="1"/>
    </font>
    <font>
      <b/>
      <sz val="12"/>
      <color rgb="FF333333"/>
      <name val="Times New Roman"/>
      <family val="1"/>
    </font>
    <font>
      <b/>
      <sz val="12"/>
      <color theme="1"/>
      <name val="Times New Roman"/>
      <family val="1"/>
    </font>
    <font>
      <b/>
      <vertAlign val="superscript"/>
      <sz val="13.8"/>
      <color rgb="FF333333"/>
      <name val="Times New Roman"/>
      <family val="1"/>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mediumGray">
        <fgColor indexed="22"/>
      </patternFill>
    </fill>
    <fill>
      <patternFill patternType="solid">
        <fgColor indexed="65"/>
        <bgColor indexed="22"/>
      </patternFill>
    </fill>
    <fill>
      <patternFill patternType="lightDown">
        <fgColor indexed="9"/>
        <bgColor indexed="4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7F8F9"/>
        <bgColor indexed="64"/>
      </patternFill>
    </fill>
    <fill>
      <patternFill patternType="solid">
        <fgColor rgb="FFFDFDFD"/>
        <bgColor indexed="64"/>
      </patternFill>
    </fill>
    <fill>
      <patternFill patternType="solid">
        <fgColor theme="0" tint="-0.24994659260841701"/>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bottom/>
      <diagonal/>
    </border>
    <border>
      <left/>
      <right/>
      <top style="thin">
        <color indexed="64"/>
      </top>
      <bottom/>
      <diagonal/>
    </border>
    <border>
      <left/>
      <right/>
      <top/>
      <bottom style="thin">
        <color indexed="64"/>
      </bottom>
      <diagonal/>
    </border>
    <border>
      <left/>
      <right style="double">
        <color indexed="64"/>
      </right>
      <top style="thin">
        <color indexed="64"/>
      </top>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rgb="FFCFD4D8"/>
      </right>
      <top/>
      <bottom style="medium">
        <color rgb="FFCFD4D8"/>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s>
  <cellStyleXfs count="90">
    <xf numFmtId="0" fontId="0" fillId="0" borderId="0"/>
    <xf numFmtId="0" fontId="4" fillId="2" borderId="0" applyNumberFormat="0" applyBorder="0" applyAlignment="0" applyProtection="0"/>
    <xf numFmtId="0" fontId="5"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6" borderId="0" applyNumberFormat="0" applyBorder="0" applyAlignment="0" applyProtection="0"/>
    <xf numFmtId="0" fontId="5" fillId="6" borderId="0" applyNumberFormat="0" applyBorder="0" applyAlignment="0" applyProtection="0"/>
    <xf numFmtId="0" fontId="4" fillId="7" borderId="0" applyNumberFormat="0" applyBorder="0" applyAlignment="0" applyProtection="0"/>
    <xf numFmtId="0" fontId="5" fillId="7" borderId="0" applyNumberFormat="0" applyBorder="0" applyAlignment="0" applyProtection="0"/>
    <xf numFmtId="0" fontId="4" fillId="8" borderId="0" applyNumberFormat="0" applyBorder="0" applyAlignment="0" applyProtection="0"/>
    <xf numFmtId="0" fontId="5" fillId="8" borderId="0" applyNumberFormat="0" applyBorder="0" applyAlignment="0" applyProtection="0"/>
    <xf numFmtId="0" fontId="4" fillId="9" borderId="0" applyNumberFormat="0" applyBorder="0" applyAlignment="0" applyProtection="0"/>
    <xf numFmtId="0" fontId="5" fillId="9"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8" borderId="0" applyNumberFormat="0" applyBorder="0" applyAlignment="0" applyProtection="0"/>
    <xf numFmtId="0" fontId="5" fillId="8" borderId="0" applyNumberFormat="0" applyBorder="0" applyAlignment="0" applyProtection="0"/>
    <xf numFmtId="0" fontId="4"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7" fillId="12" borderId="0" applyNumberFormat="0" applyBorder="0" applyAlignment="0" applyProtection="0"/>
    <xf numFmtId="0" fontId="6" fillId="9" borderId="0" applyNumberFormat="0" applyBorder="0" applyAlignment="0" applyProtection="0"/>
    <xf numFmtId="0" fontId="7" fillId="9" borderId="0" applyNumberFormat="0" applyBorder="0" applyAlignment="0" applyProtection="0"/>
    <xf numFmtId="0" fontId="6" fillId="10" borderId="0" applyNumberFormat="0" applyBorder="0" applyAlignment="0" applyProtection="0"/>
    <xf numFmtId="0" fontId="7" fillId="10" borderId="0" applyNumberFormat="0" applyBorder="0" applyAlignment="0" applyProtection="0"/>
    <xf numFmtId="0" fontId="6" fillId="13" borderId="0" applyNumberFormat="0" applyBorder="0" applyAlignment="0" applyProtection="0"/>
    <xf numFmtId="0" fontId="7" fillId="13" borderId="0" applyNumberFormat="0" applyBorder="0" applyAlignment="0" applyProtection="0"/>
    <xf numFmtId="0" fontId="6" fillId="14" borderId="0" applyNumberFormat="0" applyBorder="0" applyAlignment="0" applyProtection="0"/>
    <xf numFmtId="0" fontId="7" fillId="14" borderId="0" applyNumberFormat="0" applyBorder="0" applyAlignment="0" applyProtection="0"/>
    <xf numFmtId="0" fontId="6" fillId="15" borderId="0" applyNumberFormat="0" applyBorder="0" applyAlignment="0" applyProtection="0"/>
    <xf numFmtId="0" fontId="7" fillId="15" borderId="0" applyNumberFormat="0" applyBorder="0" applyAlignment="0" applyProtection="0"/>
    <xf numFmtId="0" fontId="6" fillId="16" borderId="0" applyNumberFormat="0" applyBorder="0" applyAlignment="0" applyProtection="0"/>
    <xf numFmtId="0" fontId="7" fillId="16" borderId="0" applyNumberFormat="0" applyBorder="0" applyAlignment="0" applyProtection="0"/>
    <xf numFmtId="0" fontId="6" fillId="17" borderId="0" applyNumberFormat="0" applyBorder="0" applyAlignment="0" applyProtection="0"/>
    <xf numFmtId="0" fontId="7" fillId="17" borderId="0" applyNumberFormat="0" applyBorder="0" applyAlignment="0" applyProtection="0"/>
    <xf numFmtId="0" fontId="6" fillId="18" borderId="0" applyNumberFormat="0" applyBorder="0" applyAlignment="0" applyProtection="0"/>
    <xf numFmtId="0" fontId="7" fillId="18" borderId="0" applyNumberFormat="0" applyBorder="0" applyAlignment="0" applyProtection="0"/>
    <xf numFmtId="0" fontId="6" fillId="13" borderId="0" applyNumberFormat="0" applyBorder="0" applyAlignment="0" applyProtection="0"/>
    <xf numFmtId="0" fontId="7" fillId="13" borderId="0" applyNumberFormat="0" applyBorder="0" applyAlignment="0" applyProtection="0"/>
    <xf numFmtId="0" fontId="6" fillId="14" borderId="0" applyNumberFormat="0" applyBorder="0" applyAlignment="0" applyProtection="0"/>
    <xf numFmtId="0" fontId="7" fillId="14" borderId="0" applyNumberFormat="0" applyBorder="0" applyAlignment="0" applyProtection="0"/>
    <xf numFmtId="0" fontId="6" fillId="19"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0" borderId="1" applyNumberFormat="0" applyAlignment="0" applyProtection="0"/>
    <xf numFmtId="0" fontId="12" fillId="21" borderId="2" applyNumberFormat="0" applyAlignment="0" applyProtection="0"/>
    <xf numFmtId="0" fontId="13" fillId="21" borderId="2" applyNumberFormat="0" applyAlignment="0" applyProtection="0"/>
    <xf numFmtId="43" fontId="14" fillId="0" borderId="0" applyFont="0" applyFill="0" applyBorder="0" applyAlignment="0" applyProtection="0"/>
    <xf numFmtId="3" fontId="14" fillId="0" borderId="0"/>
    <xf numFmtId="5" fontId="14" fillId="0" borderId="0"/>
    <xf numFmtId="14" fontId="14" fillId="0" borderId="0"/>
    <xf numFmtId="0" fontId="15" fillId="0" borderId="0" applyNumberFormat="0" applyFill="0" applyBorder="0" applyAlignment="0" applyProtection="0"/>
    <xf numFmtId="0" fontId="16" fillId="0" borderId="0" applyNumberFormat="0" applyFill="0" applyBorder="0" applyAlignment="0" applyProtection="0"/>
    <xf numFmtId="2" fontId="14" fillId="0" borderId="0"/>
    <xf numFmtId="0" fontId="17"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4" fillId="0" borderId="5"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30" fillId="22" borderId="0" applyNumberFormat="0" applyBorder="0" applyAlignment="0" applyProtection="0"/>
    <xf numFmtId="0" fontId="5" fillId="0" borderId="0"/>
    <xf numFmtId="0" fontId="14" fillId="0" borderId="0"/>
    <xf numFmtId="0" fontId="4" fillId="0" borderId="0"/>
    <xf numFmtId="0" fontId="42" fillId="0" borderId="0"/>
    <xf numFmtId="0" fontId="14" fillId="23" borderId="7" applyNumberFormat="0" applyFont="0" applyAlignment="0" applyProtection="0"/>
    <xf numFmtId="0" fontId="31" fillId="20" borderId="8" applyNumberFormat="0" applyAlignment="0" applyProtection="0"/>
    <xf numFmtId="9" fontId="14"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63" fillId="0" borderId="0"/>
    <xf numFmtId="0" fontId="3" fillId="0" borderId="0"/>
  </cellStyleXfs>
  <cellXfs count="390">
    <xf numFmtId="0" fontId="0" fillId="0" borderId="0" xfId="0"/>
    <xf numFmtId="167" fontId="36" fillId="0" borderId="0" xfId="0" applyNumberFormat="1" applyFont="1" applyAlignment="1">
      <alignment horizontal="center"/>
    </xf>
    <xf numFmtId="167" fontId="0" fillId="0" borderId="0" xfId="0" applyNumberFormat="1"/>
    <xf numFmtId="164" fontId="0" fillId="0" borderId="0" xfId="0" applyNumberFormat="1"/>
    <xf numFmtId="2" fontId="0" fillId="0" borderId="0" xfId="0" applyNumberFormat="1"/>
    <xf numFmtId="0" fontId="0" fillId="0" borderId="0" xfId="0" applyAlignment="1">
      <alignment horizontal="center"/>
    </xf>
    <xf numFmtId="2" fontId="0" fillId="0" borderId="0" xfId="0" applyNumberFormat="1" applyAlignment="1">
      <alignment horizontal="center"/>
    </xf>
    <xf numFmtId="1" fontId="0" fillId="0" borderId="0" xfId="0" applyNumberFormat="1"/>
    <xf numFmtId="2" fontId="41" fillId="0" borderId="0" xfId="0" applyNumberFormat="1" applyFont="1"/>
    <xf numFmtId="0" fontId="0" fillId="24" borderId="0" xfId="0" applyFill="1"/>
    <xf numFmtId="164" fontId="0" fillId="24" borderId="0" xfId="0" applyNumberFormat="1" applyFill="1"/>
    <xf numFmtId="1" fontId="0" fillId="24" borderId="0" xfId="0" applyNumberFormat="1" applyFill="1"/>
    <xf numFmtId="2" fontId="0" fillId="24" borderId="0" xfId="0" applyNumberFormat="1" applyFill="1"/>
    <xf numFmtId="164" fontId="41" fillId="0" borderId="0" xfId="0" applyNumberFormat="1" applyFont="1"/>
    <xf numFmtId="0" fontId="0" fillId="0" borderId="0" xfId="0" applyAlignment="1">
      <alignment wrapText="1"/>
    </xf>
    <xf numFmtId="0" fontId="0" fillId="0" borderId="0" xfId="0" applyAlignment="1">
      <alignment horizontal="center" wrapText="1"/>
    </xf>
    <xf numFmtId="0" fontId="14" fillId="0" borderId="0" xfId="0" applyFont="1" applyAlignment="1">
      <alignment horizontal="center" wrapText="1"/>
    </xf>
    <xf numFmtId="1" fontId="0" fillId="0" borderId="0" xfId="0" applyNumberFormat="1" applyAlignment="1">
      <alignment horizontal="center"/>
    </xf>
    <xf numFmtId="167" fontId="36" fillId="0" borderId="0" xfId="0" applyNumberFormat="1" applyFont="1"/>
    <xf numFmtId="0" fontId="41" fillId="0" borderId="0" xfId="0" applyFont="1"/>
    <xf numFmtId="168" fontId="41" fillId="0" borderId="0" xfId="0" applyNumberFormat="1" applyFont="1"/>
    <xf numFmtId="1" fontId="41" fillId="0" borderId="0" xfId="0" applyNumberFormat="1" applyFont="1"/>
    <xf numFmtId="165" fontId="14" fillId="0" borderId="0" xfId="0" applyNumberFormat="1" applyFont="1"/>
    <xf numFmtId="165" fontId="14" fillId="0" borderId="0" xfId="0" applyNumberFormat="1" applyFont="1" applyBorder="1"/>
    <xf numFmtId="164" fontId="14" fillId="0" borderId="0" xfId="0" applyNumberFormat="1" applyFont="1"/>
    <xf numFmtId="2" fontId="14" fillId="0" borderId="0" xfId="0" applyNumberFormat="1" applyFont="1"/>
    <xf numFmtId="165" fontId="0" fillId="0" borderId="0" xfId="0" applyNumberFormat="1"/>
    <xf numFmtId="0" fontId="0" fillId="0" borderId="0" xfId="0" applyAlignment="1"/>
    <xf numFmtId="0" fontId="44" fillId="0" borderId="0" xfId="0" applyFont="1" applyProtection="1"/>
    <xf numFmtId="0" fontId="0" fillId="0" borderId="0" xfId="0" applyProtection="1"/>
    <xf numFmtId="0" fontId="0" fillId="0" borderId="10" xfId="0" applyBorder="1" applyProtection="1"/>
    <xf numFmtId="0" fontId="0" fillId="0" borderId="11" xfId="0" applyBorder="1" applyProtection="1"/>
    <xf numFmtId="0" fontId="43" fillId="25" borderId="12" xfId="0" applyFont="1" applyFill="1" applyBorder="1" applyAlignment="1" applyProtection="1">
      <alignment horizontal="center"/>
    </xf>
    <xf numFmtId="2" fontId="37" fillId="25" borderId="13" xfId="0" applyNumberFormat="1" applyFont="1" applyFill="1" applyBorder="1" applyAlignment="1" applyProtection="1">
      <alignment horizontal="center"/>
    </xf>
    <xf numFmtId="0" fontId="43" fillId="26" borderId="12" xfId="0" applyFont="1" applyFill="1" applyBorder="1" applyAlignment="1" applyProtection="1">
      <alignment horizontal="center"/>
    </xf>
    <xf numFmtId="2" fontId="37" fillId="26" borderId="0" xfId="0" applyNumberFormat="1" applyFont="1" applyFill="1" applyBorder="1" applyAlignment="1" applyProtection="1">
      <alignment horizontal="center"/>
    </xf>
    <xf numFmtId="2" fontId="37" fillId="25" borderId="0" xfId="0" applyNumberFormat="1" applyFont="1" applyFill="1" applyBorder="1" applyAlignment="1" applyProtection="1">
      <alignment horizontal="center"/>
    </xf>
    <xf numFmtId="0" fontId="43" fillId="0" borderId="12" xfId="0" quotePrefix="1" applyFont="1" applyFill="1" applyBorder="1" applyAlignment="1" applyProtection="1">
      <alignment horizontal="center"/>
    </xf>
    <xf numFmtId="2" fontId="37" fillId="0" borderId="0" xfId="0" applyNumberFormat="1" applyFont="1" applyFill="1" applyBorder="1" applyAlignment="1" applyProtection="1">
      <alignment horizontal="center"/>
    </xf>
    <xf numFmtId="0" fontId="43" fillId="0" borderId="12" xfId="0" applyFont="1" applyFill="1" applyBorder="1" applyAlignment="1" applyProtection="1">
      <alignment horizontal="center"/>
    </xf>
    <xf numFmtId="0" fontId="43" fillId="25" borderId="10" xfId="0" applyFont="1" applyFill="1" applyBorder="1" applyAlignment="1" applyProtection="1">
      <alignment horizontal="center"/>
    </xf>
    <xf numFmtId="2" fontId="37" fillId="25" borderId="14" xfId="0" applyNumberFormat="1" applyFont="1" applyFill="1" applyBorder="1" applyAlignment="1" applyProtection="1">
      <alignment horizontal="center"/>
    </xf>
    <xf numFmtId="0" fontId="0" fillId="0" borderId="15" xfId="0" applyFill="1" applyBorder="1" applyProtection="1"/>
    <xf numFmtId="0" fontId="43" fillId="0" borderId="0" xfId="0" applyFont="1" applyAlignment="1" applyProtection="1">
      <alignment horizontal="center"/>
    </xf>
    <xf numFmtId="0" fontId="43" fillId="0" borderId="16" xfId="0" applyFont="1" applyBorder="1" applyAlignment="1" applyProtection="1">
      <alignment horizontal="center"/>
    </xf>
    <xf numFmtId="0" fontId="43" fillId="0" borderId="12" xfId="0" applyFont="1" applyBorder="1" applyAlignment="1" applyProtection="1">
      <alignment horizontal="center"/>
    </xf>
    <xf numFmtId="1" fontId="14" fillId="25" borderId="13" xfId="0" applyNumberFormat="1" applyFont="1" applyFill="1" applyBorder="1" applyAlignment="1" applyProtection="1">
      <alignment horizontal="center"/>
    </xf>
    <xf numFmtId="1" fontId="14" fillId="25" borderId="15"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12" xfId="0" applyNumberFormat="1" applyFont="1" applyFill="1" applyBorder="1" applyAlignment="1" applyProtection="1">
      <alignment horizontal="center"/>
    </xf>
    <xf numFmtId="1" fontId="14" fillId="25" borderId="0" xfId="0" applyNumberFormat="1" applyFont="1" applyFill="1" applyBorder="1" applyAlignment="1" applyProtection="1">
      <alignment horizontal="center"/>
    </xf>
    <xf numFmtId="1" fontId="14" fillId="25" borderId="12" xfId="0" applyNumberFormat="1" applyFont="1" applyFill="1" applyBorder="1" applyAlignment="1" applyProtection="1">
      <alignment horizontal="center"/>
    </xf>
    <xf numFmtId="1" fontId="14" fillId="25" borderId="14" xfId="0" applyNumberFormat="1" applyFont="1" applyFill="1" applyBorder="1" applyAlignment="1" applyProtection="1">
      <alignment horizontal="center"/>
    </xf>
    <xf numFmtId="1" fontId="14" fillId="25" borderId="10" xfId="0" applyNumberFormat="1" applyFont="1" applyFill="1" applyBorder="1" applyAlignment="1" applyProtection="1">
      <alignment horizontal="center"/>
    </xf>
    <xf numFmtId="0" fontId="36" fillId="0" borderId="0" xfId="0" applyFont="1" applyAlignment="1" applyProtection="1">
      <alignment horizontal="center"/>
    </xf>
    <xf numFmtId="0" fontId="44" fillId="0" borderId="0" xfId="0" applyFont="1" applyAlignment="1" applyProtection="1">
      <alignment horizontal="left"/>
    </xf>
    <xf numFmtId="0" fontId="43" fillId="0" borderId="0" xfId="0" applyFont="1" applyAlignment="1" applyProtection="1">
      <alignment horizontal="left"/>
    </xf>
    <xf numFmtId="2" fontId="0" fillId="0" borderId="0" xfId="0" applyNumberFormat="1" applyProtection="1"/>
    <xf numFmtId="0" fontId="43" fillId="0" borderId="14" xfId="0" applyFont="1" applyBorder="1" applyAlignment="1" applyProtection="1">
      <alignment horizontal="center"/>
    </xf>
    <xf numFmtId="168" fontId="14" fillId="25" borderId="13" xfId="0" applyNumberFormat="1" applyFont="1" applyFill="1" applyBorder="1" applyProtection="1"/>
    <xf numFmtId="168" fontId="14" fillId="25" borderId="15" xfId="0" applyNumberFormat="1" applyFont="1" applyFill="1" applyBorder="1" applyProtection="1"/>
    <xf numFmtId="168" fontId="14" fillId="0" borderId="16" xfId="0" applyNumberFormat="1" applyFont="1" applyFill="1" applyBorder="1" applyProtection="1"/>
    <xf numFmtId="168" fontId="14" fillId="0" borderId="0" xfId="0" applyNumberFormat="1" applyFont="1" applyFill="1" applyBorder="1" applyProtection="1"/>
    <xf numFmtId="168" fontId="14" fillId="0" borderId="12" xfId="0" applyNumberFormat="1" applyFont="1" applyFill="1" applyBorder="1" applyProtection="1"/>
    <xf numFmtId="168" fontId="14" fillId="25" borderId="16" xfId="0" applyNumberFormat="1" applyFont="1" applyFill="1" applyBorder="1" applyProtection="1"/>
    <xf numFmtId="168" fontId="14" fillId="25" borderId="0" xfId="0" applyNumberFormat="1" applyFont="1" applyFill="1" applyBorder="1" applyProtection="1"/>
    <xf numFmtId="168" fontId="14" fillId="25" borderId="12" xfId="0" applyNumberFormat="1" applyFont="1" applyFill="1" applyBorder="1" applyProtection="1"/>
    <xf numFmtId="168" fontId="14" fillId="25" borderId="11" xfId="0" applyNumberFormat="1" applyFont="1" applyFill="1" applyBorder="1" applyProtection="1"/>
    <xf numFmtId="168" fontId="14" fillId="25" borderId="14" xfId="0" applyNumberFormat="1" applyFont="1" applyFill="1" applyBorder="1" applyProtection="1"/>
    <xf numFmtId="168" fontId="14" fillId="25" borderId="10" xfId="0" applyNumberFormat="1" applyFont="1" applyFill="1" applyBorder="1" applyProtection="1"/>
    <xf numFmtId="0" fontId="0" fillId="0" borderId="0" xfId="0" applyBorder="1" applyProtection="1"/>
    <xf numFmtId="1" fontId="46" fillId="0" borderId="0" xfId="0" applyNumberFormat="1" applyFont="1" applyAlignment="1">
      <alignment horizontal="center"/>
    </xf>
    <xf numFmtId="2" fontId="46" fillId="0" borderId="0" xfId="0" applyNumberFormat="1" applyFont="1"/>
    <xf numFmtId="0" fontId="46" fillId="0" borderId="0" xfId="0" applyFont="1"/>
    <xf numFmtId="0" fontId="46" fillId="0" borderId="0" xfId="0" applyFont="1" applyAlignment="1">
      <alignment horizontal="center"/>
    </xf>
    <xf numFmtId="0" fontId="14" fillId="0" borderId="0" xfId="0" applyFont="1"/>
    <xf numFmtId="164" fontId="37" fillId="0" borderId="0" xfId="0" applyNumberFormat="1" applyFont="1"/>
    <xf numFmtId="164" fontId="41" fillId="0" borderId="0" xfId="0" applyNumberFormat="1" applyFont="1" applyAlignment="1">
      <alignment horizontal="center"/>
    </xf>
    <xf numFmtId="2" fontId="14" fillId="0" borderId="0" xfId="0" applyNumberFormat="1" applyFont="1" applyFill="1"/>
    <xf numFmtId="0" fontId="0" fillId="0" borderId="0" xfId="0" applyFill="1"/>
    <xf numFmtId="167" fontId="0" fillId="0" borderId="0" xfId="0" applyNumberFormat="1" applyAlignment="1">
      <alignment horizontal="right"/>
    </xf>
    <xf numFmtId="0" fontId="0" fillId="0" borderId="0" xfId="0" applyProtection="1">
      <protection locked="0"/>
    </xf>
    <xf numFmtId="1" fontId="46" fillId="0" borderId="0" xfId="0" applyNumberFormat="1" applyFont="1"/>
    <xf numFmtId="0" fontId="46" fillId="0" borderId="0" xfId="0" applyFont="1" applyAlignment="1">
      <alignment horizontal="right"/>
    </xf>
    <xf numFmtId="0" fontId="50" fillId="0" borderId="0" xfId="0" applyFont="1" applyAlignment="1">
      <alignment horizontal="right"/>
    </xf>
    <xf numFmtId="164" fontId="46" fillId="0" borderId="0" xfId="0" applyNumberFormat="1" applyFont="1" applyAlignment="1">
      <alignment horizontal="right"/>
    </xf>
    <xf numFmtId="164" fontId="50" fillId="0" borderId="0" xfId="0" applyNumberFormat="1" applyFont="1" applyAlignment="1">
      <alignment horizontal="right"/>
    </xf>
    <xf numFmtId="0" fontId="51" fillId="0" borderId="0" xfId="0" applyFont="1"/>
    <xf numFmtId="2" fontId="41" fillId="0" borderId="0" xfId="0" applyNumberFormat="1" applyFont="1" applyFill="1"/>
    <xf numFmtId="2" fontId="46" fillId="0" borderId="0" xfId="0" applyNumberFormat="1" applyFont="1" applyAlignment="1">
      <alignment horizontal="right"/>
    </xf>
    <xf numFmtId="2" fontId="47" fillId="0" borderId="0" xfId="0" applyNumberFormat="1" applyFont="1" applyAlignment="1">
      <alignment horizontal="right"/>
    </xf>
    <xf numFmtId="2" fontId="52" fillId="0" borderId="0" xfId="0" applyNumberFormat="1" applyFont="1" applyAlignment="1">
      <alignment horizontal="right"/>
    </xf>
    <xf numFmtId="171" fontId="0" fillId="0" borderId="0" xfId="0" applyNumberFormat="1"/>
    <xf numFmtId="164" fontId="42" fillId="0" borderId="7" xfId="0" applyNumberFormat="1" applyFont="1" applyFill="1" applyBorder="1" applyAlignment="1">
      <alignment horizontal="right" wrapText="1"/>
    </xf>
    <xf numFmtId="1" fontId="42" fillId="0" borderId="7" xfId="0" applyNumberFormat="1" applyFont="1" applyFill="1" applyBorder="1" applyAlignment="1">
      <alignment horizontal="right" wrapText="1"/>
    </xf>
    <xf numFmtId="164" fontId="42" fillId="0" borderId="0" xfId="0" applyNumberFormat="1" applyFont="1" applyFill="1" applyBorder="1" applyAlignment="1">
      <alignment horizontal="right" wrapText="1"/>
    </xf>
    <xf numFmtId="0" fontId="46" fillId="0" borderId="0" xfId="0" applyFont="1" applyAlignment="1">
      <alignment vertical="justify" wrapText="1"/>
    </xf>
    <xf numFmtId="0" fontId="54" fillId="0" borderId="0" xfId="0" applyFont="1" applyBorder="1" applyAlignment="1">
      <alignment horizontal="center"/>
    </xf>
    <xf numFmtId="167" fontId="0" fillId="0" borderId="0" xfId="0" applyNumberFormat="1" applyFill="1"/>
    <xf numFmtId="167" fontId="0" fillId="24" borderId="0" xfId="0" applyNumberFormat="1" applyFill="1"/>
    <xf numFmtId="164" fontId="0" fillId="0" borderId="0" xfId="0" applyNumberFormat="1" applyFill="1"/>
    <xf numFmtId="164" fontId="55" fillId="0" borderId="0" xfId="0" applyNumberFormat="1" applyFont="1"/>
    <xf numFmtId="164" fontId="55" fillId="0" borderId="0" xfId="0" applyNumberFormat="1" applyFont="1" applyFill="1"/>
    <xf numFmtId="164" fontId="55" fillId="24" borderId="0" xfId="0" applyNumberFormat="1" applyFont="1" applyFill="1"/>
    <xf numFmtId="169" fontId="41" fillId="0" borderId="0" xfId="55" applyNumberFormat="1" applyFont="1"/>
    <xf numFmtId="169" fontId="41" fillId="0" borderId="0" xfId="55" applyNumberFormat="1" applyFont="1" applyFill="1"/>
    <xf numFmtId="169" fontId="41" fillId="24" borderId="0" xfId="55" applyNumberFormat="1" applyFont="1" applyFill="1"/>
    <xf numFmtId="0" fontId="0" fillId="24" borderId="0" xfId="0" applyFill="1" applyAlignment="1">
      <alignment horizontal="center"/>
    </xf>
    <xf numFmtId="0" fontId="0" fillId="0" borderId="0" xfId="0" quotePrefix="1"/>
    <xf numFmtId="0" fontId="14" fillId="0" borderId="0" xfId="79"/>
    <xf numFmtId="0" fontId="0" fillId="0" borderId="0" xfId="0" applyFill="1" applyProtection="1"/>
    <xf numFmtId="0" fontId="0" fillId="0" borderId="0" xfId="0" applyFill="1" applyBorder="1" applyProtection="1"/>
    <xf numFmtId="2" fontId="0" fillId="0" borderId="0" xfId="0" applyNumberFormat="1" applyFill="1" applyProtection="1"/>
    <xf numFmtId="0" fontId="43" fillId="25" borderId="17" xfId="0" applyFont="1" applyFill="1" applyBorder="1" applyAlignment="1" applyProtection="1">
      <alignment horizontal="center"/>
    </xf>
    <xf numFmtId="0" fontId="43" fillId="26" borderId="18" xfId="0" applyFont="1" applyFill="1" applyBorder="1" applyAlignment="1" applyProtection="1">
      <alignment horizontal="center"/>
    </xf>
    <xf numFmtId="0" fontId="43" fillId="25" borderId="18" xfId="0" applyFont="1" applyFill="1" applyBorder="1" applyAlignment="1" applyProtection="1">
      <alignment horizontal="center"/>
    </xf>
    <xf numFmtId="0" fontId="43" fillId="0" borderId="18" xfId="0" applyFont="1" applyFill="1" applyBorder="1" applyAlignment="1" applyProtection="1">
      <alignment horizontal="center"/>
    </xf>
    <xf numFmtId="0" fontId="43" fillId="25" borderId="19" xfId="0" applyFont="1" applyFill="1" applyBorder="1" applyAlignment="1" applyProtection="1">
      <alignment horizontal="center"/>
    </xf>
    <xf numFmtId="0" fontId="36" fillId="25" borderId="17" xfId="0" applyFont="1" applyFill="1" applyBorder="1" applyAlignment="1" applyProtection="1">
      <alignment horizontal="center"/>
    </xf>
    <xf numFmtId="0" fontId="36" fillId="0" borderId="18" xfId="0" applyFont="1" applyFill="1" applyBorder="1" applyAlignment="1" applyProtection="1">
      <alignment horizontal="center"/>
    </xf>
    <xf numFmtId="0" fontId="36" fillId="25" borderId="18" xfId="0" applyFont="1" applyFill="1" applyBorder="1" applyAlignment="1" applyProtection="1">
      <alignment horizontal="center"/>
    </xf>
    <xf numFmtId="0" fontId="36" fillId="25" borderId="19" xfId="0" applyFont="1" applyFill="1" applyBorder="1" applyAlignment="1" applyProtection="1">
      <alignment horizontal="center"/>
    </xf>
    <xf numFmtId="0" fontId="33" fillId="0" borderId="20" xfId="81" applyFont="1" applyFill="1" applyBorder="1" applyAlignment="1" applyProtection="1">
      <alignment horizontal="center" wrapText="1" shrinkToFit="1"/>
    </xf>
    <xf numFmtId="0" fontId="33" fillId="0" borderId="21" xfId="81" applyFont="1" applyFill="1" applyBorder="1" applyAlignment="1" applyProtection="1">
      <alignment horizontal="center" wrapText="1" shrinkToFit="1"/>
    </xf>
    <xf numFmtId="0" fontId="33" fillId="0" borderId="22" xfId="81" applyFont="1" applyFill="1" applyBorder="1" applyAlignment="1" applyProtection="1">
      <alignment horizontal="center" wrapText="1" shrinkToFit="1"/>
    </xf>
    <xf numFmtId="0" fontId="56" fillId="27" borderId="20" xfId="81" applyFont="1" applyFill="1" applyBorder="1" applyAlignment="1" applyProtection="1">
      <alignment horizontal="center" wrapText="1" shrinkToFit="1"/>
      <protection locked="0"/>
    </xf>
    <xf numFmtId="0" fontId="56" fillId="27" borderId="21" xfId="81" applyFont="1" applyFill="1" applyBorder="1" applyAlignment="1" applyProtection="1">
      <alignment horizontal="center" wrapText="1" shrinkToFit="1"/>
      <protection locked="0"/>
    </xf>
    <xf numFmtId="164" fontId="14" fillId="0" borderId="0" xfId="79" applyNumberFormat="1"/>
    <xf numFmtId="2" fontId="14" fillId="24" borderId="0" xfId="79" applyNumberFormat="1" applyFill="1"/>
    <xf numFmtId="1" fontId="14" fillId="24" borderId="0" xfId="79" applyNumberFormat="1" applyFill="1"/>
    <xf numFmtId="0" fontId="14" fillId="24" borderId="0" xfId="79" applyFill="1"/>
    <xf numFmtId="2" fontId="14" fillId="0" borderId="0" xfId="79" applyNumberFormat="1"/>
    <xf numFmtId="1" fontId="14" fillId="0" borderId="0" xfId="79" applyNumberFormat="1"/>
    <xf numFmtId="164" fontId="14" fillId="24" borderId="0" xfId="79" applyNumberFormat="1" applyFill="1"/>
    <xf numFmtId="167" fontId="14" fillId="24" borderId="0" xfId="79" applyNumberFormat="1" applyFill="1"/>
    <xf numFmtId="0" fontId="14" fillId="24" borderId="0" xfId="79" applyFill="1" applyAlignment="1">
      <alignment horizontal="center"/>
    </xf>
    <xf numFmtId="167" fontId="14" fillId="0" borderId="0" xfId="79" applyNumberFormat="1"/>
    <xf numFmtId="0" fontId="14" fillId="0" borderId="0" xfId="79" applyAlignment="1">
      <alignment horizontal="center"/>
    </xf>
    <xf numFmtId="164" fontId="14" fillId="0" borderId="0" xfId="79" applyNumberFormat="1" applyFill="1"/>
    <xf numFmtId="167" fontId="14" fillId="0" borderId="0" xfId="79" applyNumberFormat="1" applyFill="1"/>
    <xf numFmtId="0" fontId="14" fillId="0" borderId="0" xfId="79" quotePrefix="1"/>
    <xf numFmtId="0" fontId="54" fillId="0" borderId="0" xfId="79" applyFont="1" applyBorder="1" applyAlignment="1">
      <alignment horizontal="center" shrinkToFit="1"/>
    </xf>
    <xf numFmtId="0" fontId="54" fillId="0" borderId="0" xfId="79" applyFont="1" applyBorder="1" applyAlignment="1">
      <alignment horizontal="center"/>
    </xf>
    <xf numFmtId="0" fontId="36" fillId="0" borderId="0" xfId="0" applyFont="1"/>
    <xf numFmtId="43" fontId="0" fillId="0" borderId="0" xfId="55" applyNumberFormat="1" applyFont="1"/>
    <xf numFmtId="167" fontId="14" fillId="24" borderId="0" xfId="0" applyNumberFormat="1" applyFont="1" applyFill="1"/>
    <xf numFmtId="164" fontId="14" fillId="24" borderId="0" xfId="0" applyNumberFormat="1" applyFont="1" applyFill="1"/>
    <xf numFmtId="2" fontId="0" fillId="0" borderId="0" xfId="0" applyNumberFormat="1" applyFill="1"/>
    <xf numFmtId="172" fontId="14" fillId="0" borderId="0" xfId="79" applyNumberFormat="1"/>
    <xf numFmtId="166" fontId="0" fillId="0" borderId="0" xfId="0" applyNumberFormat="1" applyAlignment="1">
      <alignment horizontal="center"/>
    </xf>
    <xf numFmtId="166" fontId="14" fillId="0" borderId="0" xfId="0" applyNumberFormat="1" applyFont="1" applyAlignment="1">
      <alignment horizontal="center"/>
    </xf>
    <xf numFmtId="166" fontId="0" fillId="24" borderId="0" xfId="0" applyNumberFormat="1" applyFill="1" applyAlignment="1">
      <alignment horizontal="center"/>
    </xf>
    <xf numFmtId="164" fontId="0" fillId="0" borderId="0" xfId="0" applyNumberFormat="1" applyAlignment="1">
      <alignment horizontal="center"/>
    </xf>
    <xf numFmtId="164" fontId="14" fillId="0" borderId="0" xfId="0" applyNumberFormat="1" applyFont="1" applyFill="1"/>
    <xf numFmtId="0" fontId="58" fillId="0" borderId="0" xfId="79" applyFont="1"/>
    <xf numFmtId="9" fontId="46" fillId="0" borderId="0" xfId="84" applyFont="1" applyAlignment="1">
      <alignment horizontal="right"/>
    </xf>
    <xf numFmtId="0" fontId="14" fillId="0" borderId="0" xfId="0" applyFont="1" applyAlignment="1">
      <alignment horizontal="center"/>
    </xf>
    <xf numFmtId="0" fontId="4" fillId="0" borderId="0" xfId="0" applyFont="1"/>
    <xf numFmtId="0" fontId="47" fillId="0" borderId="0" xfId="0" applyFont="1" applyAlignment="1">
      <alignment horizontal="left" vertical="justify" wrapText="1"/>
    </xf>
    <xf numFmtId="0" fontId="46" fillId="0" borderId="0" xfId="0" applyFont="1" applyAlignment="1">
      <alignment horizontal="left"/>
    </xf>
    <xf numFmtId="0" fontId="51" fillId="0" borderId="0" xfId="0" applyFont="1" applyAlignment="1">
      <alignment horizontal="left"/>
    </xf>
    <xf numFmtId="0" fontId="0" fillId="0" borderId="0" xfId="0"/>
    <xf numFmtId="14" fontId="0" fillId="0" borderId="0" xfId="0" applyNumberFormat="1"/>
    <xf numFmtId="1" fontId="0" fillId="0" borderId="0" xfId="0" applyNumberFormat="1"/>
    <xf numFmtId="167" fontId="0" fillId="0" borderId="0" xfId="0" applyNumberFormat="1"/>
    <xf numFmtId="167" fontId="14" fillId="24" borderId="0" xfId="0" applyNumberFormat="1" applyFont="1" applyFill="1"/>
    <xf numFmtId="0" fontId="0" fillId="0" borderId="0" xfId="0" applyAlignment="1">
      <alignment horizontal="center"/>
    </xf>
    <xf numFmtId="2" fontId="34" fillId="0" borderId="0" xfId="0" applyNumberFormat="1" applyFont="1" applyFill="1"/>
    <xf numFmtId="0" fontId="0" fillId="0" borderId="0" xfId="0" quotePrefix="1" applyAlignment="1">
      <alignment horizontal="center" wrapText="1"/>
    </xf>
    <xf numFmtId="164" fontId="60" fillId="0" borderId="0" xfId="0" applyNumberFormat="1" applyFont="1" applyFill="1"/>
    <xf numFmtId="173" fontId="0" fillId="24" borderId="0" xfId="0" applyNumberFormat="1" applyFill="1"/>
    <xf numFmtId="0" fontId="14" fillId="0" borderId="0" xfId="0" quotePrefix="1" applyFont="1" applyAlignment="1">
      <alignment horizontal="center" wrapText="1"/>
    </xf>
    <xf numFmtId="0" fontId="14" fillId="0" borderId="0" xfId="0" applyFont="1" applyAlignment="1"/>
    <xf numFmtId="164" fontId="61" fillId="0" borderId="0" xfId="0" applyNumberFormat="1" applyFont="1"/>
    <xf numFmtId="3" fontId="14" fillId="0" borderId="0" xfId="0" applyNumberFormat="1" applyFont="1"/>
    <xf numFmtId="0" fontId="47" fillId="0" borderId="0" xfId="0" applyFont="1" applyAlignment="1">
      <alignment horizontal="center"/>
    </xf>
    <xf numFmtId="170" fontId="50" fillId="0" borderId="0" xfId="0" applyNumberFormat="1" applyFont="1" applyAlignment="1">
      <alignment horizontal="left"/>
    </xf>
    <xf numFmtId="167" fontId="14" fillId="0" borderId="0" xfId="0" applyNumberFormat="1" applyFont="1" applyAlignment="1">
      <alignment horizontal="center"/>
    </xf>
    <xf numFmtId="167" fontId="49" fillId="0" borderId="0" xfId="0" applyNumberFormat="1" applyFont="1" applyAlignment="1">
      <alignment horizontal="center"/>
    </xf>
    <xf numFmtId="167" fontId="49" fillId="0" borderId="0" xfId="0" applyNumberFormat="1" applyFont="1" applyAlignment="1">
      <alignment horizontal="left"/>
    </xf>
    <xf numFmtId="167" fontId="49" fillId="0" borderId="0" xfId="0" applyNumberFormat="1" applyFont="1" applyAlignment="1"/>
    <xf numFmtId="0" fontId="36" fillId="0" borderId="0" xfId="0" applyFont="1" applyAlignment="1">
      <alignment horizontal="center"/>
    </xf>
    <xf numFmtId="165" fontId="41" fillId="0" borderId="0" xfId="0" applyNumberFormat="1" applyFont="1"/>
    <xf numFmtId="167" fontId="46" fillId="0" borderId="0" xfId="0" applyNumberFormat="1" applyFont="1" applyAlignment="1">
      <alignment horizontal="right"/>
    </xf>
    <xf numFmtId="0" fontId="47" fillId="0" borderId="0" xfId="0" applyFont="1" applyAlignment="1">
      <alignment horizontal="left"/>
    </xf>
    <xf numFmtId="0" fontId="0" fillId="0" borderId="0" xfId="0" applyFill="1" applyAlignment="1">
      <alignment horizontal="center" wrapText="1"/>
    </xf>
    <xf numFmtId="171" fontId="0" fillId="28" borderId="0" xfId="0" applyNumberFormat="1" applyFill="1"/>
    <xf numFmtId="1" fontId="0" fillId="0" borderId="0" xfId="0" applyNumberFormat="1" applyAlignment="1"/>
    <xf numFmtId="164" fontId="0" fillId="0" borderId="0" xfId="0" applyNumberFormat="1" applyAlignment="1"/>
    <xf numFmtId="166" fontId="60" fillId="24" borderId="0" xfId="0" applyNumberFormat="1" applyFont="1" applyFill="1"/>
    <xf numFmtId="0" fontId="64" fillId="0" borderId="0" xfId="88" applyFont="1"/>
    <xf numFmtId="0" fontId="64" fillId="0" borderId="0" xfId="88" applyFont="1" applyBorder="1" applyAlignment="1">
      <alignment horizontal="center"/>
    </xf>
    <xf numFmtId="0" fontId="64" fillId="0" borderId="0" xfId="88" applyFont="1" applyBorder="1"/>
    <xf numFmtId="0" fontId="65" fillId="0" borderId="0" xfId="88" applyFont="1" applyBorder="1" applyAlignment="1">
      <alignment vertical="center"/>
    </xf>
    <xf numFmtId="2" fontId="64" fillId="0" borderId="0" xfId="88" applyNumberFormat="1" applyFont="1" applyBorder="1" applyAlignment="1">
      <alignment horizontal="center"/>
    </xf>
    <xf numFmtId="174" fontId="0" fillId="0" borderId="0" xfId="0" applyNumberFormat="1"/>
    <xf numFmtId="174" fontId="0" fillId="29" borderId="0" xfId="0" applyNumberFormat="1" applyFill="1"/>
    <xf numFmtId="0" fontId="0" fillId="29" borderId="0" xfId="0" applyFill="1"/>
    <xf numFmtId="2" fontId="0" fillId="29" borderId="0" xfId="0" applyNumberFormat="1" applyFill="1"/>
    <xf numFmtId="2" fontId="60" fillId="0" borderId="0" xfId="0" applyNumberFormat="1" applyFont="1"/>
    <xf numFmtId="2" fontId="14" fillId="0" borderId="0" xfId="0" applyNumberFormat="1" applyFont="1" applyAlignment="1">
      <alignment horizontal="center"/>
    </xf>
    <xf numFmtId="2" fontId="60" fillId="29" borderId="0" xfId="0" applyNumberFormat="1" applyFont="1" applyFill="1"/>
    <xf numFmtId="2" fontId="60" fillId="29" borderId="0" xfId="0" applyNumberFormat="1" applyFont="1" applyFill="1" applyAlignment="1">
      <alignment horizontal="center"/>
    </xf>
    <xf numFmtId="2" fontId="60" fillId="0" borderId="0" xfId="0" applyNumberFormat="1" applyFont="1" applyAlignment="1">
      <alignment horizontal="center"/>
    </xf>
    <xf numFmtId="2" fontId="14" fillId="29" borderId="0" xfId="0" applyNumberFormat="1" applyFont="1" applyFill="1" applyAlignment="1">
      <alignment horizontal="center"/>
    </xf>
    <xf numFmtId="165" fontId="14" fillId="0" borderId="0" xfId="0" applyNumberFormat="1" applyFont="1" applyFill="1"/>
    <xf numFmtId="0" fontId="46" fillId="0" borderId="0" xfId="0" applyFont="1" applyAlignment="1">
      <alignment horizontal="center" wrapText="1"/>
    </xf>
    <xf numFmtId="164" fontId="46" fillId="0" borderId="0" xfId="0" applyNumberFormat="1" applyFont="1" applyAlignment="1">
      <alignment horizontal="right" wrapText="1"/>
    </xf>
    <xf numFmtId="164" fontId="50" fillId="0" borderId="0" xfId="0" applyNumberFormat="1" applyFont="1" applyAlignment="1">
      <alignment horizontal="center" wrapText="1"/>
    </xf>
    <xf numFmtId="0" fontId="51" fillId="0" borderId="0" xfId="0" applyFont="1" applyAlignment="1">
      <alignment wrapText="1"/>
    </xf>
    <xf numFmtId="1" fontId="46" fillId="0" borderId="0" xfId="0" applyNumberFormat="1" applyFont="1" applyAlignment="1">
      <alignment wrapText="1"/>
    </xf>
    <xf numFmtId="2" fontId="46" fillId="0" borderId="0" xfId="0" applyNumberFormat="1" applyFont="1" applyAlignment="1">
      <alignment horizontal="right" wrapText="1"/>
    </xf>
    <xf numFmtId="175" fontId="51" fillId="0" borderId="0" xfId="84" applyNumberFormat="1" applyFont="1"/>
    <xf numFmtId="176" fontId="50" fillId="0" borderId="0" xfId="84" applyNumberFormat="1" applyFont="1" applyAlignment="1">
      <alignment horizontal="left"/>
    </xf>
    <xf numFmtId="0" fontId="47" fillId="0" borderId="0" xfId="0" applyFont="1" applyAlignment="1">
      <alignment horizontal="center" vertical="justify" wrapText="1"/>
    </xf>
    <xf numFmtId="177" fontId="50" fillId="0" borderId="0" xfId="0" applyNumberFormat="1" applyFont="1" applyAlignment="1">
      <alignment horizontal="left"/>
    </xf>
    <xf numFmtId="166" fontId="14" fillId="24" borderId="0" xfId="0" applyNumberFormat="1" applyFont="1" applyFill="1"/>
    <xf numFmtId="0" fontId="0" fillId="0" borderId="0" xfId="0" applyNumberFormat="1"/>
    <xf numFmtId="0" fontId="14" fillId="0" borderId="0" xfId="0" applyFont="1" applyAlignment="1">
      <alignment horizontal="center"/>
    </xf>
    <xf numFmtId="4" fontId="14" fillId="0" borderId="0" xfId="0" applyNumberFormat="1" applyFont="1"/>
    <xf numFmtId="4" fontId="14" fillId="24" borderId="0" xfId="0" applyNumberFormat="1" applyFont="1" applyFill="1"/>
    <xf numFmtId="2" fontId="14" fillId="24" borderId="0" xfId="0" applyNumberFormat="1" applyFont="1" applyFill="1"/>
    <xf numFmtId="0" fontId="60" fillId="0" borderId="0" xfId="0" quotePrefix="1" applyFont="1" applyAlignment="1">
      <alignment horizontal="center"/>
    </xf>
    <xf numFmtId="0" fontId="60" fillId="0" borderId="0" xfId="0" applyFont="1"/>
    <xf numFmtId="164" fontId="60" fillId="0" borderId="0" xfId="0" applyNumberFormat="1" applyFont="1"/>
    <xf numFmtId="0" fontId="66" fillId="30" borderId="0" xfId="0" applyFont="1" applyFill="1" applyAlignment="1">
      <alignment horizontal="right" vertical="center"/>
    </xf>
    <xf numFmtId="0" fontId="67" fillId="31" borderId="0" xfId="0" applyFont="1" applyFill="1" applyAlignment="1">
      <alignment horizontal="right" vertical="center"/>
    </xf>
    <xf numFmtId="0" fontId="66" fillId="32" borderId="0" xfId="0" applyFont="1" applyFill="1" applyAlignment="1">
      <alignment horizontal="right" vertical="center"/>
    </xf>
    <xf numFmtId="0" fontId="66" fillId="30" borderId="0" xfId="0" applyFont="1" applyFill="1" applyAlignment="1">
      <alignment vertical="center"/>
    </xf>
    <xf numFmtId="0" fontId="66" fillId="32" borderId="0" xfId="0" applyFont="1" applyFill="1" applyAlignment="1">
      <alignment vertical="center"/>
    </xf>
    <xf numFmtId="2" fontId="36" fillId="0" borderId="0" xfId="0" applyNumberFormat="1" applyFont="1"/>
    <xf numFmtId="2" fontId="49" fillId="0" borderId="0" xfId="0" applyNumberFormat="1" applyFont="1"/>
    <xf numFmtId="164" fontId="51" fillId="0" borderId="0" xfId="0" applyNumberFormat="1" applyFont="1"/>
    <xf numFmtId="2" fontId="47" fillId="0" borderId="0" xfId="0" applyNumberFormat="1" applyFont="1"/>
    <xf numFmtId="2" fontId="52" fillId="0" borderId="0" xfId="0" applyNumberFormat="1" applyFont="1"/>
    <xf numFmtId="0" fontId="68" fillId="31" borderId="23" xfId="0" applyFont="1" applyFill="1" applyBorder="1" applyAlignment="1">
      <alignment horizontal="right" vertical="center"/>
    </xf>
    <xf numFmtId="0" fontId="69" fillId="30" borderId="23" xfId="0" applyFont="1" applyFill="1" applyBorder="1" applyAlignment="1">
      <alignment horizontal="right" vertical="center"/>
    </xf>
    <xf numFmtId="0" fontId="69" fillId="32" borderId="23" xfId="0" applyFont="1" applyFill="1" applyBorder="1" applyAlignment="1">
      <alignment horizontal="right" vertical="center"/>
    </xf>
    <xf numFmtId="173" fontId="36" fillId="24" borderId="0" xfId="0" applyNumberFormat="1" applyFont="1" applyFill="1"/>
    <xf numFmtId="0" fontId="3" fillId="0" borderId="0" xfId="89"/>
    <xf numFmtId="164" fontId="3" fillId="0" borderId="0" xfId="89" applyNumberFormat="1"/>
    <xf numFmtId="173" fontId="3" fillId="24" borderId="0" xfId="89" applyNumberFormat="1" applyFill="1"/>
    <xf numFmtId="2" fontId="51" fillId="0" borderId="0" xfId="0" applyNumberFormat="1" applyFont="1"/>
    <xf numFmtId="1" fontId="51" fillId="0" borderId="0" xfId="0" applyNumberFormat="1" applyFont="1"/>
    <xf numFmtId="164" fontId="2" fillId="0" borderId="0" xfId="0" applyNumberFormat="1" applyFont="1"/>
    <xf numFmtId="0" fontId="71" fillId="30" borderId="23" xfId="0" applyFont="1" applyFill="1" applyBorder="1" applyAlignment="1">
      <alignment horizontal="right" vertical="center"/>
    </xf>
    <xf numFmtId="0" fontId="71" fillId="32" borderId="23" xfId="0" applyFont="1" applyFill="1" applyBorder="1" applyAlignment="1">
      <alignment horizontal="right" vertical="center"/>
    </xf>
    <xf numFmtId="0" fontId="72" fillId="32" borderId="23" xfId="0" applyFont="1" applyFill="1" applyBorder="1" applyAlignment="1">
      <alignment horizontal="right" vertical="center"/>
    </xf>
    <xf numFmtId="0" fontId="72" fillId="30" borderId="23" xfId="0" applyFont="1" applyFill="1" applyBorder="1" applyAlignment="1">
      <alignment horizontal="right" vertical="center"/>
    </xf>
    <xf numFmtId="0" fontId="0" fillId="0" borderId="0" xfId="0" applyAlignment="1">
      <alignment horizontal="center"/>
    </xf>
    <xf numFmtId="171" fontId="0" fillId="0" borderId="0" xfId="0" applyNumberFormat="1" applyFill="1"/>
    <xf numFmtId="0" fontId="60" fillId="0" borderId="0" xfId="0" applyFont="1" applyAlignment="1">
      <alignment horizontal="center" wrapText="1"/>
    </xf>
    <xf numFmtId="2" fontId="60" fillId="24" borderId="0" xfId="0" applyNumberFormat="1" applyFont="1" applyFill="1"/>
    <xf numFmtId="164" fontId="60" fillId="24" borderId="0" xfId="0" applyNumberFormat="1" applyFont="1" applyFill="1"/>
    <xf numFmtId="0" fontId="73" fillId="0" borderId="0" xfId="88" applyFont="1" applyBorder="1" applyAlignment="1">
      <alignment horizontal="center"/>
    </xf>
    <xf numFmtId="0" fontId="74" fillId="0" borderId="0" xfId="88" applyFont="1" applyBorder="1" applyAlignment="1">
      <alignment vertical="center"/>
    </xf>
    <xf numFmtId="0" fontId="75" fillId="0" borderId="0" xfId="88" applyFont="1" applyBorder="1" applyAlignment="1">
      <alignment horizontal="center"/>
    </xf>
    <xf numFmtId="0" fontId="0" fillId="0" borderId="24" xfId="0" applyBorder="1"/>
    <xf numFmtId="0" fontId="0" fillId="0" borderId="13" xfId="0" applyBorder="1"/>
    <xf numFmtId="0" fontId="0" fillId="0" borderId="25" xfId="0" applyBorder="1"/>
    <xf numFmtId="0" fontId="0" fillId="0" borderId="26" xfId="0" applyBorder="1"/>
    <xf numFmtId="0" fontId="0" fillId="0" borderId="27" xfId="0" applyBorder="1"/>
    <xf numFmtId="167" fontId="76" fillId="0" borderId="0" xfId="0" applyNumberFormat="1" applyFont="1" applyBorder="1" applyAlignment="1">
      <alignment horizontal="center" wrapText="1"/>
    </xf>
    <xf numFmtId="164" fontId="0" fillId="0" borderId="0" xfId="0" applyNumberFormat="1" applyBorder="1" applyAlignment="1">
      <alignment horizontal="center"/>
    </xf>
    <xf numFmtId="0" fontId="0" fillId="0" borderId="0" xfId="0" applyBorder="1"/>
    <xf numFmtId="164" fontId="0" fillId="0" borderId="0" xfId="0" applyNumberFormat="1" applyBorder="1"/>
    <xf numFmtId="0" fontId="0" fillId="0" borderId="0" xfId="0" applyBorder="1" applyAlignment="1">
      <alignment horizontal="center"/>
    </xf>
    <xf numFmtId="0" fontId="0" fillId="0" borderId="28" xfId="0" applyBorder="1"/>
    <xf numFmtId="0" fontId="0" fillId="0" borderId="14" xfId="0" applyBorder="1"/>
    <xf numFmtId="0" fontId="0" fillId="0" borderId="29" xfId="0" applyBorder="1"/>
    <xf numFmtId="0" fontId="0" fillId="0" borderId="0" xfId="0" applyBorder="1" applyAlignment="1">
      <alignment horizontal="center" vertical="center" wrapText="1"/>
    </xf>
    <xf numFmtId="2" fontId="0" fillId="0" borderId="0" xfId="0" applyNumberFormat="1" applyBorder="1" applyAlignment="1">
      <alignment horizontal="center"/>
    </xf>
    <xf numFmtId="9" fontId="0" fillId="0" borderId="0" xfId="84" applyFont="1" applyBorder="1"/>
    <xf numFmtId="0" fontId="0" fillId="0" borderId="30" xfId="0" applyBorder="1"/>
    <xf numFmtId="164" fontId="0" fillId="0" borderId="0" xfId="0" applyNumberFormat="1" applyBorder="1" applyAlignment="1"/>
    <xf numFmtId="167" fontId="36" fillId="0" borderId="0" xfId="0" applyNumberFormat="1" applyFont="1" applyAlignment="1">
      <alignment horizontal="center" wrapText="1"/>
    </xf>
    <xf numFmtId="167" fontId="14" fillId="0" borderId="0" xfId="0" applyNumberFormat="1" applyFont="1" applyAlignment="1">
      <alignment horizontal="center" wrapText="1"/>
    </xf>
    <xf numFmtId="0" fontId="60" fillId="0" borderId="0" xfId="0" applyFont="1" applyAlignment="1">
      <alignment wrapText="1"/>
    </xf>
    <xf numFmtId="166" fontId="0" fillId="0" borderId="0" xfId="0" applyNumberFormat="1" applyFill="1"/>
    <xf numFmtId="166" fontId="14" fillId="0" borderId="0" xfId="0" applyNumberFormat="1" applyFont="1" applyFill="1"/>
    <xf numFmtId="173" fontId="0" fillId="33" borderId="0" xfId="0" applyNumberFormat="1" applyFill="1"/>
    <xf numFmtId="164" fontId="0" fillId="33" borderId="0" xfId="0" applyNumberFormat="1" applyFill="1"/>
    <xf numFmtId="2" fontId="0" fillId="33" borderId="0" xfId="0" applyNumberFormat="1" applyFill="1"/>
    <xf numFmtId="166" fontId="0" fillId="33" borderId="0" xfId="0" applyNumberFormat="1" applyFill="1"/>
    <xf numFmtId="164" fontId="14" fillId="33" borderId="0" xfId="0" applyNumberFormat="1" applyFont="1" applyFill="1"/>
    <xf numFmtId="0" fontId="14" fillId="0" borderId="0" xfId="0" applyFont="1" applyFill="1" applyAlignment="1">
      <alignment horizontal="center" wrapText="1"/>
    </xf>
    <xf numFmtId="2" fontId="0" fillId="34" borderId="0" xfId="0" applyNumberFormat="1" applyFill="1"/>
    <xf numFmtId="164" fontId="0" fillId="34" borderId="0" xfId="0" applyNumberFormat="1" applyFill="1"/>
    <xf numFmtId="167" fontId="14" fillId="34" borderId="0" xfId="0" applyNumberFormat="1" applyFont="1" applyFill="1" applyAlignment="1">
      <alignment horizontal="center" wrapText="1"/>
    </xf>
    <xf numFmtId="171" fontId="0" fillId="34" borderId="0" xfId="0" applyNumberFormat="1" applyFill="1"/>
    <xf numFmtId="167" fontId="14" fillId="34" borderId="0" xfId="0" applyNumberFormat="1" applyFont="1" applyFill="1"/>
    <xf numFmtId="43" fontId="0" fillId="34" borderId="0" xfId="0" applyNumberFormat="1" applyFill="1"/>
    <xf numFmtId="2" fontId="60" fillId="34" borderId="0" xfId="0" applyNumberFormat="1" applyFont="1" applyFill="1"/>
    <xf numFmtId="164" fontId="14" fillId="34" borderId="0" xfId="0" applyNumberFormat="1" applyFont="1" applyFill="1"/>
    <xf numFmtId="2" fontId="14" fillId="34" borderId="0" xfId="0" applyNumberFormat="1" applyFont="1" applyFill="1"/>
    <xf numFmtId="0" fontId="0" fillId="34" borderId="0" xfId="0" applyFill="1"/>
    <xf numFmtId="164" fontId="60" fillId="34" borderId="0" xfId="0" applyNumberFormat="1" applyFont="1" applyFill="1"/>
    <xf numFmtId="164" fontId="34" fillId="34" borderId="0" xfId="0" applyNumberFormat="1" applyFont="1" applyFill="1"/>
    <xf numFmtId="2" fontId="34" fillId="34" borderId="0" xfId="0" applyNumberFormat="1" applyFont="1" applyFill="1"/>
    <xf numFmtId="165" fontId="14" fillId="34" borderId="0" xfId="0" applyNumberFormat="1" applyFont="1" applyFill="1"/>
    <xf numFmtId="165" fontId="14" fillId="34" borderId="0" xfId="0" applyNumberFormat="1" applyFont="1" applyFill="1" applyBorder="1"/>
    <xf numFmtId="164" fontId="0" fillId="34" borderId="0" xfId="0" applyNumberFormat="1" applyFill="1" applyAlignment="1"/>
    <xf numFmtId="1" fontId="0" fillId="34" borderId="0" xfId="0" applyNumberFormat="1" applyFill="1" applyAlignment="1"/>
    <xf numFmtId="1" fontId="0" fillId="34" borderId="0" xfId="0" applyNumberFormat="1" applyFill="1"/>
    <xf numFmtId="164" fontId="36" fillId="34" borderId="0" xfId="0" applyNumberFormat="1" applyFont="1" applyFill="1"/>
    <xf numFmtId="2" fontId="41" fillId="34" borderId="0" xfId="0" applyNumberFormat="1" applyFont="1" applyFill="1"/>
    <xf numFmtId="165" fontId="0" fillId="34" borderId="0" xfId="0" applyNumberFormat="1" applyFill="1"/>
    <xf numFmtId="2" fontId="0" fillId="34" borderId="0" xfId="0" applyNumberFormat="1" applyFill="1" applyAlignment="1"/>
    <xf numFmtId="2" fontId="34" fillId="34" borderId="0" xfId="0" applyNumberFormat="1" applyFont="1" applyFill="1" applyAlignment="1"/>
    <xf numFmtId="2" fontId="14" fillId="34" borderId="0" xfId="0" applyNumberFormat="1" applyFont="1" applyFill="1" applyAlignment="1"/>
    <xf numFmtId="164" fontId="0" fillId="34" borderId="0" xfId="0" applyNumberFormat="1" applyFill="1" applyAlignment="1">
      <alignment horizontal="center"/>
    </xf>
    <xf numFmtId="165" fontId="0" fillId="34" borderId="0" xfId="0" applyNumberFormat="1" applyFill="1" applyAlignment="1">
      <alignment horizontal="center"/>
    </xf>
    <xf numFmtId="1" fontId="0" fillId="34" borderId="0" xfId="0" applyNumberFormat="1" applyFill="1" applyAlignment="1">
      <alignment horizontal="center"/>
    </xf>
    <xf numFmtId="171" fontId="36" fillId="34" borderId="0" xfId="0" applyNumberFormat="1" applyFont="1" applyFill="1"/>
    <xf numFmtId="167" fontId="0" fillId="34" borderId="0" xfId="0" applyNumberFormat="1" applyFill="1" applyAlignment="1">
      <alignment horizontal="center" wrapText="1"/>
    </xf>
    <xf numFmtId="167" fontId="0" fillId="34" borderId="0" xfId="0" applyNumberFormat="1" applyFill="1" applyAlignment="1">
      <alignment wrapText="1"/>
    </xf>
    <xf numFmtId="2" fontId="1" fillId="34" borderId="0" xfId="0" applyNumberFormat="1" applyFont="1" applyFill="1"/>
    <xf numFmtId="164" fontId="1" fillId="34" borderId="0" xfId="0" applyNumberFormat="1" applyFont="1" applyFill="1"/>
    <xf numFmtId="0" fontId="60" fillId="0" borderId="0" xfId="0" applyFont="1" applyFill="1" applyAlignment="1">
      <alignment horizontal="center" wrapText="1"/>
    </xf>
    <xf numFmtId="2" fontId="60" fillId="0" borderId="0" xfId="0" applyNumberFormat="1" applyFont="1" applyFill="1"/>
    <xf numFmtId="2" fontId="1" fillId="0" borderId="0" xfId="0" applyNumberFormat="1" applyFont="1" applyFill="1"/>
    <xf numFmtId="164" fontId="1" fillId="0" borderId="0" xfId="0" applyNumberFormat="1" applyFont="1" applyFill="1"/>
    <xf numFmtId="0" fontId="0" fillId="0" borderId="0" xfId="0" applyAlignment="1">
      <alignment horizontal="center"/>
    </xf>
    <xf numFmtId="0" fontId="47" fillId="0" borderId="0" xfId="0" applyFont="1" applyAlignment="1">
      <alignment horizontal="center"/>
    </xf>
    <xf numFmtId="0" fontId="0" fillId="0" borderId="0" xfId="0" applyAlignment="1">
      <alignment horizontal="center"/>
    </xf>
    <xf numFmtId="0" fontId="14" fillId="0" borderId="0" xfId="0" applyFont="1" applyAlignment="1">
      <alignment horizontal="center"/>
    </xf>
    <xf numFmtId="4" fontId="0" fillId="0" borderId="0" xfId="0" applyNumberFormat="1"/>
    <xf numFmtId="0" fontId="14" fillId="0" borderId="0" xfId="0" applyFont="1" applyAlignment="1">
      <alignment wrapText="1"/>
    </xf>
    <xf numFmtId="9" fontId="0" fillId="0" borderId="0" xfId="84" applyFont="1"/>
    <xf numFmtId="167" fontId="36" fillId="0" borderId="0" xfId="0" applyNumberFormat="1" applyFont="1" applyFill="1" applyAlignment="1">
      <alignment horizontal="center" wrapText="1"/>
    </xf>
    <xf numFmtId="167" fontId="14" fillId="0" borderId="0" xfId="0" applyNumberFormat="1" applyFont="1" applyFill="1"/>
    <xf numFmtId="178" fontId="0" fillId="0" borderId="0" xfId="0" applyNumberFormat="1"/>
    <xf numFmtId="164" fontId="70" fillId="0" borderId="0" xfId="89" applyNumberFormat="1" applyFont="1"/>
    <xf numFmtId="0" fontId="14" fillId="0" borderId="0" xfId="0" applyFont="1" applyFill="1"/>
    <xf numFmtId="14" fontId="71" fillId="0" borderId="0" xfId="0" applyNumberFormat="1" applyFont="1" applyFill="1" applyAlignment="1">
      <alignment vertical="center"/>
    </xf>
    <xf numFmtId="0" fontId="63" fillId="0" borderId="0" xfId="88"/>
    <xf numFmtId="0" fontId="80" fillId="0" borderId="0" xfId="88" applyFont="1"/>
    <xf numFmtId="0" fontId="80" fillId="0" borderId="0" xfId="88" applyFont="1" applyFill="1" applyBorder="1"/>
    <xf numFmtId="0" fontId="80" fillId="0" borderId="30" xfId="88" applyFont="1" applyFill="1" applyBorder="1"/>
    <xf numFmtId="0" fontId="80" fillId="0" borderId="14" xfId="88" applyFont="1" applyFill="1" applyBorder="1"/>
    <xf numFmtId="0" fontId="84" fillId="0" borderId="14" xfId="88" applyFont="1" applyFill="1" applyBorder="1" applyAlignment="1">
      <alignment horizontal="center" wrapText="1"/>
    </xf>
    <xf numFmtId="0" fontId="84" fillId="0" borderId="0" xfId="88" applyFont="1" applyFill="1" applyBorder="1" applyAlignment="1">
      <alignment vertical="top" wrapText="1"/>
    </xf>
    <xf numFmtId="0" fontId="82" fillId="0" borderId="0" xfId="88" applyFont="1" applyFill="1" applyBorder="1" applyAlignment="1">
      <alignment horizontal="center" vertical="top" wrapText="1"/>
    </xf>
    <xf numFmtId="0" fontId="82" fillId="0" borderId="0" xfId="88" quotePrefix="1" applyFont="1" applyFill="1" applyBorder="1" applyAlignment="1">
      <alignment horizontal="center" vertical="top" wrapText="1"/>
    </xf>
    <xf numFmtId="0" fontId="84" fillId="0" borderId="30" xfId="88" applyFont="1" applyFill="1" applyBorder="1" applyAlignment="1">
      <alignment horizontal="left" vertical="top" wrapText="1"/>
    </xf>
    <xf numFmtId="0" fontId="82" fillId="0" borderId="30" xfId="88" applyFont="1" applyFill="1" applyBorder="1" applyAlignment="1">
      <alignment horizontal="center" vertical="top" wrapText="1"/>
    </xf>
    <xf numFmtId="0" fontId="84" fillId="0" borderId="0" xfId="88" applyFont="1" applyFill="1" applyBorder="1" applyAlignment="1">
      <alignment horizontal="left" vertical="top" wrapText="1"/>
    </xf>
    <xf numFmtId="0" fontId="83" fillId="0" borderId="14" xfId="88" applyFont="1" applyFill="1" applyBorder="1" applyAlignment="1">
      <alignment horizontal="left" vertical="top" wrapText="1"/>
    </xf>
    <xf numFmtId="0" fontId="82" fillId="0" borderId="14" xfId="88" applyFont="1" applyFill="1" applyBorder="1" applyAlignment="1">
      <alignment horizontal="center" vertical="top" wrapText="1"/>
    </xf>
    <xf numFmtId="2" fontId="71" fillId="0" borderId="0" xfId="0" applyNumberFormat="1" applyFont="1" applyFill="1" applyAlignment="1">
      <alignment horizontal="right" vertical="center"/>
    </xf>
    <xf numFmtId="2" fontId="82" fillId="0" borderId="0" xfId="88" applyNumberFormat="1" applyFont="1" applyFill="1" applyBorder="1" applyAlignment="1">
      <alignment horizontal="center" vertical="top" wrapText="1"/>
    </xf>
    <xf numFmtId="2" fontId="82" fillId="0" borderId="30" xfId="88" quotePrefix="1" applyNumberFormat="1" applyFont="1" applyFill="1" applyBorder="1" applyAlignment="1">
      <alignment horizontal="center" vertical="top" wrapText="1"/>
    </xf>
    <xf numFmtId="164" fontId="82" fillId="0" borderId="0" xfId="88" applyNumberFormat="1" applyFont="1" applyFill="1" applyBorder="1" applyAlignment="1">
      <alignment horizontal="center" vertical="top" wrapText="1"/>
    </xf>
    <xf numFmtId="3" fontId="0" fillId="0" borderId="0" xfId="0" applyNumberFormat="1"/>
    <xf numFmtId="166" fontId="0" fillId="0" borderId="0" xfId="0" applyNumberFormat="1"/>
    <xf numFmtId="0" fontId="46" fillId="0" borderId="26" xfId="0" applyFont="1" applyBorder="1"/>
    <xf numFmtId="167" fontId="50" fillId="0" borderId="0" xfId="0" applyNumberFormat="1" applyFont="1" applyBorder="1" applyAlignment="1">
      <alignment horizontal="center"/>
    </xf>
    <xf numFmtId="167" fontId="50" fillId="0" borderId="0" xfId="0" applyNumberFormat="1" applyFont="1" applyBorder="1" applyAlignment="1">
      <alignment horizontal="center" wrapText="1"/>
    </xf>
    <xf numFmtId="174" fontId="46" fillId="0" borderId="0" xfId="0" applyNumberFormat="1" applyFont="1" applyBorder="1"/>
    <xf numFmtId="164" fontId="46" fillId="0" borderId="0" xfId="0" applyNumberFormat="1" applyFont="1" applyBorder="1" applyAlignment="1">
      <alignment horizontal="center"/>
    </xf>
    <xf numFmtId="0" fontId="46" fillId="0" borderId="0" xfId="0" applyFont="1" applyBorder="1"/>
    <xf numFmtId="164" fontId="46" fillId="0" borderId="0" xfId="0" applyNumberFormat="1" applyFont="1" applyBorder="1"/>
    <xf numFmtId="0" fontId="46" fillId="0" borderId="0" xfId="0" applyFont="1" applyBorder="1" applyAlignment="1">
      <alignment horizontal="right"/>
    </xf>
    <xf numFmtId="0" fontId="46" fillId="0" borderId="0" xfId="0" applyFont="1" applyBorder="1" applyAlignment="1">
      <alignment horizontal="center"/>
    </xf>
    <xf numFmtId="179" fontId="82" fillId="0" borderId="0" xfId="88" applyNumberFormat="1" applyFont="1" applyFill="1" applyBorder="1" applyAlignment="1">
      <alignment horizontal="center" vertical="top" wrapText="1"/>
    </xf>
    <xf numFmtId="0" fontId="58" fillId="0" borderId="0" xfId="0" applyFont="1"/>
    <xf numFmtId="175" fontId="0" fillId="0" borderId="0" xfId="84" applyNumberFormat="1" applyFont="1"/>
    <xf numFmtId="10" fontId="0" fillId="0" borderId="0" xfId="84" applyNumberFormat="1" applyFont="1"/>
    <xf numFmtId="0" fontId="14" fillId="0" borderId="0" xfId="0" applyFont="1" applyAlignment="1">
      <alignment horizontal="center"/>
    </xf>
    <xf numFmtId="0" fontId="14" fillId="0" borderId="0" xfId="0" applyFont="1" applyAlignment="1">
      <alignment horizontal="center"/>
    </xf>
    <xf numFmtId="0" fontId="47" fillId="0" borderId="0" xfId="0" applyFont="1" applyAlignment="1">
      <alignment horizontal="center" vertical="justify" wrapText="1"/>
    </xf>
    <xf numFmtId="0" fontId="47" fillId="0" borderId="0" xfId="0" applyFont="1" applyAlignment="1">
      <alignment horizontal="center" wrapText="1"/>
    </xf>
    <xf numFmtId="0" fontId="64" fillId="0" borderId="0" xfId="88" applyFont="1" applyBorder="1" applyAlignment="1">
      <alignment horizontal="left" vertical="top" wrapText="1"/>
    </xf>
    <xf numFmtId="0" fontId="73" fillId="0" borderId="0" xfId="88" applyFont="1" applyBorder="1" applyAlignment="1">
      <alignment horizontal="center"/>
    </xf>
    <xf numFmtId="0" fontId="80" fillId="0" borderId="14" xfId="88" applyFont="1" applyFill="1" applyBorder="1" applyAlignment="1">
      <alignment horizontal="left" vertical="top" wrapText="1"/>
    </xf>
    <xf numFmtId="0" fontId="85" fillId="0" borderId="30" xfId="88" applyFont="1" applyFill="1" applyBorder="1" applyAlignment="1">
      <alignment horizontal="center"/>
    </xf>
    <xf numFmtId="0" fontId="46" fillId="0" borderId="0" xfId="0" applyFont="1" applyAlignment="1">
      <alignment horizontal="left" vertical="justify" wrapText="1"/>
    </xf>
    <xf numFmtId="0" fontId="47" fillId="0" borderId="0" xfId="0" applyFont="1" applyAlignment="1">
      <alignment horizontal="center"/>
    </xf>
    <xf numFmtId="0" fontId="47" fillId="0" borderId="0" xfId="0" applyFont="1" applyBorder="1" applyAlignment="1">
      <alignment horizontal="center"/>
    </xf>
    <xf numFmtId="0" fontId="36" fillId="0" borderId="0" xfId="0" applyFont="1" applyAlignment="1">
      <alignment horizontal="center" wrapText="1"/>
    </xf>
    <xf numFmtId="49" fontId="36" fillId="0" borderId="0" xfId="0" applyNumberFormat="1" applyFont="1" applyAlignment="1">
      <alignment horizontal="center" wrapText="1"/>
    </xf>
    <xf numFmtId="167" fontId="14" fillId="0" borderId="0" xfId="0" applyNumberFormat="1" applyFont="1" applyAlignment="1">
      <alignment horizontal="left"/>
    </xf>
    <xf numFmtId="0" fontId="14" fillId="0" borderId="0" xfId="0" applyFont="1" applyAlignment="1">
      <alignment horizontal="left"/>
    </xf>
    <xf numFmtId="0" fontId="60" fillId="0" borderId="0" xfId="0" applyFont="1" applyFill="1" applyAlignment="1">
      <alignment horizontal="left"/>
    </xf>
    <xf numFmtId="167" fontId="14" fillId="0" borderId="0" xfId="0" applyNumberFormat="1" applyFont="1" applyAlignment="1"/>
    <xf numFmtId="0" fontId="14" fillId="0" borderId="0" xfId="0" applyFont="1" applyFill="1" applyAlignment="1"/>
    <xf numFmtId="0" fontId="14" fillId="0" borderId="0" xfId="0" quotePrefix="1" applyFont="1" applyAlignment="1"/>
    <xf numFmtId="0" fontId="60" fillId="0" borderId="0" xfId="0" applyFont="1" applyAlignment="1"/>
    <xf numFmtId="0" fontId="41" fillId="0" borderId="0" xfId="0" applyFont="1" applyAlignment="1"/>
    <xf numFmtId="0" fontId="60" fillId="0" borderId="0" xfId="0" quotePrefix="1" applyFont="1" applyAlignment="1">
      <alignment horizontal="left"/>
    </xf>
  </cellXfs>
  <cellStyles count="90">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hidden="1" customBuiltin="1"/>
    <cellStyle name="Bad 2" xfId="50"/>
    <cellStyle name="Calculation" xfId="51" builtinId="22" hidden="1" customBuiltin="1"/>
    <cellStyle name="Calculation 2" xfId="52"/>
    <cellStyle name="Check Cell" xfId="53" builtinId="23" hidden="1" customBuiltin="1"/>
    <cellStyle name="Check Cell 2" xfId="54"/>
    <cellStyle name="Comma" xfId="55" builtinId="3"/>
    <cellStyle name="Comma0" xfId="56"/>
    <cellStyle name="Currency0" xfId="57"/>
    <cellStyle name="Date" xfId="58"/>
    <cellStyle name="Explanatory Text" xfId="59" builtinId="53" hidden="1" customBuiltin="1"/>
    <cellStyle name="Explanatory Text 2" xfId="60"/>
    <cellStyle name="Fixed" xfId="61"/>
    <cellStyle name="Good" xfId="62" builtinId="26" customBuiltin="1"/>
    <cellStyle name="Good 2" xfId="63"/>
    <cellStyle name="Heading 1" xfId="64" builtinId="16" customBuiltin="1"/>
    <cellStyle name="Heading 1 2" xfId="65"/>
    <cellStyle name="Heading 2" xfId="66" builtinId="17" customBuiltin="1"/>
    <cellStyle name="Heading 2 2" xfId="67"/>
    <cellStyle name="Heading 3" xfId="68" builtinId="18" customBuiltin="1"/>
    <cellStyle name="Heading 3 2" xfId="69"/>
    <cellStyle name="Heading 4" xfId="70" builtinId="19" customBuiltin="1"/>
    <cellStyle name="Heading 4 2" xfId="71"/>
    <cellStyle name="Input" xfId="72" builtinId="20" customBuiltin="1"/>
    <cellStyle name="Input 2" xfId="73"/>
    <cellStyle name="Linked Cell" xfId="74" builtinId="24" customBuiltin="1"/>
    <cellStyle name="Linked Cell 2" xfId="75"/>
    <cellStyle name="Neutral" xfId="76" builtinId="28" customBuiltin="1"/>
    <cellStyle name="Neutral 2" xfId="77"/>
    <cellStyle name="Normal" xfId="0" builtinId="0"/>
    <cellStyle name="Normal 2" xfId="78"/>
    <cellStyle name="Normal 3" xfId="79"/>
    <cellStyle name="Normal 4" xfId="80"/>
    <cellStyle name="Normal 5" xfId="88"/>
    <cellStyle name="Normal 6" xfId="89"/>
    <cellStyle name="Normal_Sheet1" xfId="81"/>
    <cellStyle name="Note" xfId="82" builtinId="10" customBuiltin="1"/>
    <cellStyle name="Output" xfId="83" builtinId="21" hidden="1" customBuiltin="1"/>
    <cellStyle name="Percent" xfId="84" builtinId="5"/>
    <cellStyle name="Title" xfId="85" builtinId="15" customBuiltin="1"/>
    <cellStyle name="Total" xfId="86" builtinId="25" customBuiltin="1"/>
    <cellStyle name="Warning Text" xfId="87" builtinId="11" customBuiltin="1"/>
  </cellStyles>
  <dxfs count="16">
    <dxf>
      <font>
        <b/>
        <i val="0"/>
        <condense val="0"/>
        <extend val="0"/>
        <color indexed="8"/>
      </font>
    </dxf>
    <dxf>
      <font>
        <b/>
        <i val="0"/>
        <condense val="0"/>
        <extend val="0"/>
        <color indexed="8"/>
      </font>
    </dxf>
    <dxf>
      <font>
        <b/>
        <i val="0"/>
        <condense val="0"/>
        <extend val="0"/>
        <color indexed="8"/>
      </font>
    </dxf>
    <dxf>
      <font>
        <b/>
        <i val="0"/>
        <condense val="0"/>
        <extend val="0"/>
        <color indexed="8"/>
      </font>
    </dxf>
    <dxf>
      <font>
        <b/>
        <i val="0"/>
        <condense val="0"/>
        <extend val="0"/>
        <color indexed="10"/>
      </font>
    </dxf>
    <dxf>
      <font>
        <b val="0"/>
        <i/>
        <condense val="0"/>
        <extend val="0"/>
        <color indexed="12"/>
      </font>
    </dxf>
    <dxf>
      <font>
        <b/>
        <i/>
        <condense val="0"/>
        <extend val="0"/>
        <color indexed="10"/>
      </font>
    </dxf>
    <dxf>
      <font>
        <b/>
        <i val="0"/>
        <condense val="0"/>
        <extend val="0"/>
        <color indexed="8"/>
      </font>
    </dxf>
    <dxf>
      <font>
        <b val="0"/>
        <i/>
        <condense val="0"/>
        <extend val="0"/>
        <color indexed="12"/>
      </font>
    </dxf>
    <dxf>
      <font>
        <b/>
        <i/>
        <condense val="0"/>
        <extend val="0"/>
        <color indexed="10"/>
      </font>
    </dxf>
    <dxf>
      <font>
        <b/>
        <i val="0"/>
        <condense val="0"/>
        <extend val="0"/>
        <color indexed="8"/>
      </font>
    </dxf>
    <dxf>
      <font>
        <b val="0"/>
        <i/>
        <condense val="0"/>
        <extend val="0"/>
        <color indexed="48"/>
      </font>
    </dxf>
    <dxf>
      <font>
        <b/>
        <i/>
        <condense val="0"/>
        <extend val="0"/>
        <color indexed="10"/>
      </font>
    </dxf>
    <dxf>
      <font>
        <b/>
        <i val="0"/>
        <condense val="0"/>
        <extend val="0"/>
        <color indexed="8"/>
      </font>
    </dxf>
    <dxf>
      <font>
        <b/>
        <i/>
        <condense val="0"/>
        <extend val="0"/>
        <color indexed="10"/>
      </font>
    </dxf>
    <dxf>
      <font>
        <b val="0"/>
        <i/>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76640419947524"/>
          <c:y val="7.3170993131882869E-2"/>
          <c:w val="0.76911132983377073"/>
          <c:h val="0.67561205890930331"/>
        </c:manualLayout>
      </c:layout>
      <c:scatterChart>
        <c:scatterStyle val="lineMarker"/>
        <c:varyColors val="0"/>
        <c:ser>
          <c:idx val="0"/>
          <c:order val="0"/>
          <c:spPr>
            <a:ln w="28575">
              <a:noFill/>
            </a:ln>
          </c:spPr>
          <c:marker>
            <c:symbol val="circle"/>
            <c:size val="7"/>
            <c:spPr>
              <a:solidFill>
                <a:srgbClr val="000080"/>
              </a:solidFill>
              <a:ln>
                <a:solidFill>
                  <a:sysClr val="windowText" lastClr="000000"/>
                </a:solidFill>
                <a:prstDash val="solid"/>
              </a:ln>
            </c:spPr>
          </c:marker>
          <c:trendline>
            <c:spPr>
              <a:ln w="25400">
                <a:solidFill>
                  <a:srgbClr val="000000"/>
                </a:solidFill>
                <a:prstDash val="solid"/>
              </a:ln>
            </c:spPr>
            <c:trendlineType val="linear"/>
            <c:dispRSqr val="1"/>
            <c:dispEq val="1"/>
            <c:trendlineLbl>
              <c:layout>
                <c:manualLayout>
                  <c:x val="9.8773840769903767E-2"/>
                  <c:y val="-0.47986439195100644"/>
                </c:manualLayout>
              </c:layout>
              <c:numFmt formatCode="General" sourceLinked="0"/>
              <c:spPr>
                <a:noFill/>
                <a:ln w="25400">
                  <a:noFill/>
                </a:ln>
              </c:spPr>
              <c:txPr>
                <a:bodyPr/>
                <a:lstStyle/>
                <a:p>
                  <a:pPr>
                    <a:defRPr sz="1200" b="0" i="0" u="none" strike="noStrike" baseline="0">
                      <a:solidFill>
                        <a:srgbClr val="000000"/>
                      </a:solidFill>
                      <a:latin typeface="Arial"/>
                      <a:ea typeface="Arial"/>
                      <a:cs typeface="Arial"/>
                    </a:defRPr>
                  </a:pPr>
                  <a:endParaRPr lang="en-US"/>
                </a:p>
              </c:txPr>
            </c:trendlineLbl>
          </c:trendline>
          <c:yVal>
            <c:numLit>
              <c:formatCode>General</c:formatCode>
              <c:ptCount val="20"/>
              <c:pt idx="0">
                <c:v>1.88404386160819</c:v>
              </c:pt>
              <c:pt idx="1">
                <c:v>58.0687083233042</c:v>
              </c:pt>
              <c:pt idx="2">
                <c:v>25.102044450971501</c:v>
              </c:pt>
              <c:pt idx="3">
                <c:v>6.6417371206362299</c:v>
              </c:pt>
              <c:pt idx="4">
                <c:v>-7.7523446114502796</c:v>
              </c:pt>
              <c:pt idx="5">
                <c:v>-1.3139402113455401</c:v>
              </c:pt>
              <c:pt idx="6">
                <c:v>68.113305643542901</c:v>
              </c:pt>
              <c:pt idx="7">
                <c:v>-13.287457859075801</c:v>
              </c:pt>
              <c:pt idx="8">
                <c:v>12.5855696631422</c:v>
              </c:pt>
              <c:pt idx="9">
                <c:v>118.526329444276</c:v>
              </c:pt>
              <c:pt idx="10">
                <c:v>-26.980348635402802</c:v>
              </c:pt>
              <c:pt idx="11">
                <c:v>152.36893673390901</c:v>
              </c:pt>
              <c:pt idx="12">
                <c:v>-61.173775309819298</c:v>
              </c:pt>
              <c:pt idx="13">
                <c:v>110.237318537525</c:v>
              </c:pt>
              <c:pt idx="14">
                <c:v>134.42521139908499</c:v>
              </c:pt>
              <c:pt idx="15">
                <c:v>161.61482271545</c:v>
              </c:pt>
              <c:pt idx="16">
                <c:v>131.31034737456099</c:v>
              </c:pt>
              <c:pt idx="17">
                <c:v>156.07755286337101</c:v>
              </c:pt>
              <c:pt idx="18">
                <c:v>189.28496025209901</c:v>
              </c:pt>
              <c:pt idx="19">
                <c:v>-30.052534321044</c:v>
              </c:pt>
            </c:numLit>
          </c:yVal>
          <c:smooth val="0"/>
          <c:extLst>
            <c:ext xmlns:c16="http://schemas.microsoft.com/office/drawing/2014/chart" uri="{C3380CC4-5D6E-409C-BE32-E72D297353CC}">
              <c16:uniqueId val="{00000000-0815-4D01-BEE1-D53D6E9BE75C}"/>
            </c:ext>
          </c:extLst>
        </c:ser>
        <c:ser>
          <c:idx val="1"/>
          <c:order val="1"/>
          <c:spPr>
            <a:ln w="28575">
              <a:noFill/>
            </a:ln>
          </c:spPr>
          <c:marker>
            <c:symbol val="circle"/>
            <c:size val="7"/>
            <c:spPr>
              <a:noFill/>
              <a:ln>
                <a:solidFill>
                  <a:sysClr val="windowText" lastClr="000000"/>
                </a:solidFill>
              </a:ln>
            </c:spPr>
          </c:marker>
          <c:yVal>
            <c:numLit>
              <c:formatCode>General</c:formatCode>
              <c:ptCount val="20"/>
              <c:pt idx="0">
                <c:v>40.950791596371403</c:v>
              </c:pt>
              <c:pt idx="1">
                <c:v>29.1573720455347</c:v>
              </c:pt>
              <c:pt idx="2">
                <c:v>32.927781346178797</c:v>
              </c:pt>
              <c:pt idx="3">
                <c:v>5.0514100521733498</c:v>
              </c:pt>
              <c:pt idx="4">
                <c:v>-4.1271343368888802</c:v>
              </c:pt>
              <c:pt idx="5">
                <c:v>-7.97424770304643</c:v>
              </c:pt>
              <c:pt idx="6">
                <c:v>90.082898301926406</c:v>
              </c:pt>
              <c:pt idx="7">
                <c:v>-7.17465823374304</c:v>
              </c:pt>
              <c:pt idx="8">
                <c:v>39.685366019917502</c:v>
              </c:pt>
              <c:pt idx="9">
                <c:v>122.331254089678</c:v>
              </c:pt>
              <c:pt idx="10">
                <c:v>62.266578092553502</c:v>
              </c:pt>
              <c:pt idx="11">
                <c:v>153.900697326787</c:v>
              </c:pt>
              <c:pt idx="12">
                <c:v>130.73900267589599</c:v>
              </c:pt>
              <c:pt idx="13">
                <c:v>146.758550270249</c:v>
              </c:pt>
              <c:pt idx="14">
                <c:v>164.86959110682599</c:v>
              </c:pt>
              <c:pt idx="15">
                <c:v>188.618416162888</c:v>
              </c:pt>
              <c:pt idx="16">
                <c:v>42.664608512325401</c:v>
              </c:pt>
              <c:pt idx="17">
                <c:v>304.27478039028603</c:v>
              </c:pt>
              <c:pt idx="18">
                <c:v>517.35349827742402</c:v>
              </c:pt>
              <c:pt idx="19">
                <c:v>166.12465554544301</c:v>
              </c:pt>
            </c:numLit>
          </c:yVal>
          <c:smooth val="0"/>
          <c:extLst>
            <c:ext xmlns:c16="http://schemas.microsoft.com/office/drawing/2014/chart" uri="{C3380CC4-5D6E-409C-BE32-E72D297353CC}">
              <c16:uniqueId val="{00000001-0815-4D01-BEE1-D53D6E9BE75C}"/>
            </c:ext>
          </c:extLst>
        </c:ser>
        <c:dLbls>
          <c:showLegendKey val="0"/>
          <c:showVal val="0"/>
          <c:showCatName val="0"/>
          <c:showSerName val="0"/>
          <c:showPercent val="0"/>
          <c:showBubbleSize val="0"/>
        </c:dLbls>
        <c:axId val="141456448"/>
        <c:axId val="141456840"/>
      </c:scatterChart>
      <c:valAx>
        <c:axId val="14145644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Stratification Strenth</a:t>
                </a:r>
              </a:p>
            </c:rich>
          </c:tx>
          <c:layout>
            <c:manualLayout>
              <c:xMode val="edge"/>
              <c:yMode val="edge"/>
              <c:x val="0.40013079615048119"/>
              <c:y val="0.867798863271587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1456840"/>
        <c:crossesAt val="-100"/>
        <c:crossBetween val="midCat"/>
      </c:valAx>
      <c:valAx>
        <c:axId val="141456840"/>
        <c:scaling>
          <c:orientation val="minMax"/>
        </c:scaling>
        <c:delete val="0"/>
        <c:axPos val="l"/>
        <c:title>
          <c:tx>
            <c:rich>
              <a:bodyPr/>
              <a:lstStyle/>
              <a:p>
                <a:pPr>
                  <a:defRPr sz="1200" b="0" i="0" u="none" strike="noStrike" baseline="0">
                    <a:solidFill>
                      <a:srgbClr val="000000"/>
                    </a:solidFill>
                    <a:latin typeface="Arial"/>
                    <a:ea typeface="Arial"/>
                    <a:cs typeface="Arial"/>
                  </a:defRPr>
                </a:pPr>
                <a:r>
                  <a:rPr lang="en-US" b="0"/>
                  <a:t>Residual P and R</a:t>
                </a:r>
              </a:p>
            </c:rich>
          </c:tx>
          <c:layout>
            <c:manualLayout>
              <c:xMode val="edge"/>
              <c:yMode val="edge"/>
              <c:x val="3.8277996500437443E-2"/>
              <c:y val="0.1718620064578258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1456448"/>
        <c:crosses val="autoZero"/>
        <c:crossBetween val="midCat"/>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56310679611655"/>
          <c:y val="0.12222238799694554"/>
          <c:w val="0.83009708737864085"/>
          <c:h val="0.6222230661662681"/>
        </c:manualLayout>
      </c:layout>
      <c:barChart>
        <c:barDir val="col"/>
        <c:grouping val="clustered"/>
        <c:varyColors val="0"/>
        <c:ser>
          <c:idx val="0"/>
          <c:order val="0"/>
          <c:tx>
            <c:v>Mean</c:v>
          </c:tx>
          <c:spPr>
            <a:solidFill>
              <a:schemeClr val="bg1">
                <a:lumMod val="85000"/>
              </a:schemeClr>
            </a:solidFill>
            <a:ln w="6350">
              <a:solidFill>
                <a:schemeClr val="tx1"/>
              </a:solidFill>
            </a:ln>
          </c:spPr>
          <c:invertIfNegative val="0"/>
          <c:cat>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cat>
          <c:val>
            <c:numRef>
              <c:f>'SP02'!$AH$3:$AH$174</c:f>
              <c:numCache>
                <c:formatCode>0.00</c:formatCode>
                <c:ptCount val="172"/>
                <c:pt idx="0">
                  <c:v>3.7202139999999999</c:v>
                </c:pt>
                <c:pt idx="1">
                  <c:v>2.899521</c:v>
                </c:pt>
                <c:pt idx="2">
                  <c:v>4.8886459999999996</c:v>
                </c:pt>
                <c:pt idx="3">
                  <c:v>3.1722709999999998</c:v>
                </c:pt>
                <c:pt idx="4">
                  <c:v>3.0150800000000002</c:v>
                </c:pt>
                <c:pt idx="5">
                  <c:v>3.1713300000000002</c:v>
                </c:pt>
                <c:pt idx="6">
                  <c:v>3.5094379999999998</c:v>
                </c:pt>
                <c:pt idx="7">
                  <c:v>5.1058940000000002</c:v>
                </c:pt>
                <c:pt idx="8">
                  <c:v>6.2934169999999998</c:v>
                </c:pt>
                <c:pt idx="9">
                  <c:v>4.116104</c:v>
                </c:pt>
                <c:pt idx="10">
                  <c:v>4.8101250000000002</c:v>
                </c:pt>
                <c:pt idx="11">
                  <c:v>3.3438750000000002</c:v>
                </c:pt>
                <c:pt idx="12">
                  <c:v>1.6358330000000001</c:v>
                </c:pt>
                <c:pt idx="13">
                  <c:v>4.840687</c:v>
                </c:pt>
                <c:pt idx="14">
                  <c:v>4.1500389999999996</c:v>
                </c:pt>
                <c:pt idx="15">
                  <c:v>2.7183329999999999</c:v>
                </c:pt>
                <c:pt idx="16">
                  <c:v>1.581917</c:v>
                </c:pt>
                <c:pt idx="17">
                  <c:v>2.3703539999999998</c:v>
                </c:pt>
                <c:pt idx="18">
                  <c:v>3.2462710000000001</c:v>
                </c:pt>
                <c:pt idx="19">
                  <c:v>7.5643960000000003</c:v>
                </c:pt>
                <c:pt idx="20">
                  <c:v>7.2947920000000002</c:v>
                </c:pt>
                <c:pt idx="21">
                  <c:v>6.1182499999999997</c:v>
                </c:pt>
                <c:pt idx="22">
                  <c:v>8.2313960000000002</c:v>
                </c:pt>
                <c:pt idx="23">
                  <c:v>7.029833</c:v>
                </c:pt>
                <c:pt idx="24">
                  <c:v>7.4815829999999997</c:v>
                </c:pt>
                <c:pt idx="25">
                  <c:v>5.3975629999999999</c:v>
                </c:pt>
                <c:pt idx="26">
                  <c:v>3.1301459999999999</c:v>
                </c:pt>
                <c:pt idx="27">
                  <c:v>2.651208</c:v>
                </c:pt>
                <c:pt idx="28">
                  <c:v>3.2996880000000002</c:v>
                </c:pt>
                <c:pt idx="29">
                  <c:v>2.3694169999999999</c:v>
                </c:pt>
                <c:pt idx="30">
                  <c:v>4.7656669999999997</c:v>
                </c:pt>
                <c:pt idx="31">
                  <c:v>4.9914170000000002</c:v>
                </c:pt>
                <c:pt idx="32">
                  <c:v>2.8013750000000002</c:v>
                </c:pt>
                <c:pt idx="33">
                  <c:v>2.3287079999999998</c:v>
                </c:pt>
                <c:pt idx="34">
                  <c:v>2.1404580000000002</c:v>
                </c:pt>
                <c:pt idx="35">
                  <c:v>2.466583</c:v>
                </c:pt>
                <c:pt idx="36">
                  <c:v>3.534583</c:v>
                </c:pt>
                <c:pt idx="37">
                  <c:v>2.7442709999999999</c:v>
                </c:pt>
                <c:pt idx="38">
                  <c:v>2.5617079999999999</c:v>
                </c:pt>
                <c:pt idx="39">
                  <c:v>2.3833959999999998</c:v>
                </c:pt>
                <c:pt idx="40">
                  <c:v>2.9189790000000002</c:v>
                </c:pt>
                <c:pt idx="41">
                  <c:v>4.451937</c:v>
                </c:pt>
                <c:pt idx="42">
                  <c:v>5.4042500000000002</c:v>
                </c:pt>
                <c:pt idx="43">
                  <c:v>4.320417</c:v>
                </c:pt>
                <c:pt idx="44">
                  <c:v>2.197854</c:v>
                </c:pt>
                <c:pt idx="45">
                  <c:v>1.9939370000000001</c:v>
                </c:pt>
                <c:pt idx="46">
                  <c:v>2.3910420000000001</c:v>
                </c:pt>
                <c:pt idx="47">
                  <c:v>3.2411880000000002</c:v>
                </c:pt>
                <c:pt idx="48">
                  <c:v>3.7436669999999999</c:v>
                </c:pt>
                <c:pt idx="49">
                  <c:v>3.2762709999999999</c:v>
                </c:pt>
                <c:pt idx="50">
                  <c:v>2.295042</c:v>
                </c:pt>
                <c:pt idx="51">
                  <c:v>2.7138960000000001</c:v>
                </c:pt>
                <c:pt idx="52">
                  <c:v>2.3724379999999998</c:v>
                </c:pt>
                <c:pt idx="53">
                  <c:v>1.8794169999999999</c:v>
                </c:pt>
                <c:pt idx="54">
                  <c:v>2.2806250000000001</c:v>
                </c:pt>
                <c:pt idx="55">
                  <c:v>4.6571249999999997</c:v>
                </c:pt>
                <c:pt idx="56">
                  <c:v>4.9258329999999999</c:v>
                </c:pt>
                <c:pt idx="57">
                  <c:v>2.8467920000000002</c:v>
                </c:pt>
                <c:pt idx="58">
                  <c:v>4.4096669999999998</c:v>
                </c:pt>
                <c:pt idx="59">
                  <c:v>3.1724600000000001</c:v>
                </c:pt>
                <c:pt idx="60">
                  <c:v>3.8299400000000001</c:v>
                </c:pt>
                <c:pt idx="61">
                  <c:v>4.0007200000000003</c:v>
                </c:pt>
                <c:pt idx="62">
                  <c:v>5.2652869999999998</c:v>
                </c:pt>
                <c:pt idx="63">
                  <c:v>4.2456199999999997</c:v>
                </c:pt>
                <c:pt idx="64">
                  <c:v>3.268281</c:v>
                </c:pt>
                <c:pt idx="65">
                  <c:v>2.9359609999999998</c:v>
                </c:pt>
                <c:pt idx="66">
                  <c:v>5.0936459999999997</c:v>
                </c:pt>
                <c:pt idx="67">
                  <c:v>6.4315420000000003</c:v>
                </c:pt>
                <c:pt idx="68">
                  <c:v>2.710423</c:v>
                </c:pt>
                <c:pt idx="69">
                  <c:v>2.714826</c:v>
                </c:pt>
                <c:pt idx="70">
                  <c:v>3.1531600000000002</c:v>
                </c:pt>
                <c:pt idx="71">
                  <c:v>2.475117</c:v>
                </c:pt>
                <c:pt idx="72">
                  <c:v>2.8045450000000001</c:v>
                </c:pt>
                <c:pt idx="73">
                  <c:v>2.2098719999999998</c:v>
                </c:pt>
                <c:pt idx="74">
                  <c:v>2.2411569999999998</c:v>
                </c:pt>
                <c:pt idx="75">
                  <c:v>2.756154</c:v>
                </c:pt>
                <c:pt idx="76">
                  <c:v>3.2746960000000001</c:v>
                </c:pt>
                <c:pt idx="77">
                  <c:v>4.790483</c:v>
                </c:pt>
                <c:pt idx="78">
                  <c:v>5.0547079999999998</c:v>
                </c:pt>
                <c:pt idx="79">
                  <c:v>2.323769</c:v>
                </c:pt>
                <c:pt idx="80">
                  <c:v>3.911924</c:v>
                </c:pt>
                <c:pt idx="81">
                  <c:v>1.952083</c:v>
                </c:pt>
                <c:pt idx="82">
                  <c:v>4.3449169999999997</c:v>
                </c:pt>
                <c:pt idx="83">
                  <c:v>3.9589370000000002</c:v>
                </c:pt>
                <c:pt idx="84">
                  <c:v>3.5373749999999999</c:v>
                </c:pt>
                <c:pt idx="85">
                  <c:v>3.2100209999999998</c:v>
                </c:pt>
                <c:pt idx="86">
                  <c:v>1.8146880000000001</c:v>
                </c:pt>
                <c:pt idx="87">
                  <c:v>2.2746879999999998</c:v>
                </c:pt>
                <c:pt idx="88">
                  <c:v>2.4886460000000001</c:v>
                </c:pt>
                <c:pt idx="89">
                  <c:v>3.1290209999999998</c:v>
                </c:pt>
                <c:pt idx="90">
                  <c:v>4.1867710000000002</c:v>
                </c:pt>
                <c:pt idx="91">
                  <c:v>2.9640209999999998</c:v>
                </c:pt>
                <c:pt idx="92">
                  <c:v>2.5702919999999998</c:v>
                </c:pt>
                <c:pt idx="93">
                  <c:v>3.1874380000000002</c:v>
                </c:pt>
                <c:pt idx="94">
                  <c:v>3.9957289999999999</c:v>
                </c:pt>
                <c:pt idx="95">
                  <c:v>6.3804379999999998</c:v>
                </c:pt>
                <c:pt idx="96">
                  <c:v>3.8943539999999999</c:v>
                </c:pt>
                <c:pt idx="97">
                  <c:v>2.7886869999999999</c:v>
                </c:pt>
                <c:pt idx="98">
                  <c:v>3.3527079999999998</c:v>
                </c:pt>
                <c:pt idx="99">
                  <c:v>4.6639379999999999</c:v>
                </c:pt>
                <c:pt idx="100">
                  <c:v>5.7056040000000001</c:v>
                </c:pt>
                <c:pt idx="101">
                  <c:v>5.998875</c:v>
                </c:pt>
                <c:pt idx="102">
                  <c:v>5.9307080000000001</c:v>
                </c:pt>
                <c:pt idx="103">
                  <c:v>6.2224170000000001</c:v>
                </c:pt>
                <c:pt idx="104">
                  <c:v>4.6510829999999999</c:v>
                </c:pt>
                <c:pt idx="105">
                  <c:v>3.6501869999999998</c:v>
                </c:pt>
                <c:pt idx="106">
                  <c:v>3.3814790000000001</c:v>
                </c:pt>
                <c:pt idx="107">
                  <c:v>3.7816040000000002</c:v>
                </c:pt>
                <c:pt idx="108">
                  <c:v>1.9661040000000001</c:v>
                </c:pt>
                <c:pt idx="109">
                  <c:v>2.4223750000000002</c:v>
                </c:pt>
                <c:pt idx="110">
                  <c:v>3.5685829999999998</c:v>
                </c:pt>
                <c:pt idx="111">
                  <c:v>3.9798960000000001</c:v>
                </c:pt>
                <c:pt idx="112">
                  <c:v>2.4691459999999998</c:v>
                </c:pt>
                <c:pt idx="113">
                  <c:v>3.9476040000000001</c:v>
                </c:pt>
                <c:pt idx="114">
                  <c:v>3.9378329999999999</c:v>
                </c:pt>
                <c:pt idx="115">
                  <c:v>3.651729</c:v>
                </c:pt>
                <c:pt idx="116">
                  <c:v>3.0103330000000001</c:v>
                </c:pt>
                <c:pt idx="117">
                  <c:v>2.3420000000000001</c:v>
                </c:pt>
                <c:pt idx="118">
                  <c:v>3.0640420000000002</c:v>
                </c:pt>
                <c:pt idx="119">
                  <c:v>1.8982289999999999</c:v>
                </c:pt>
                <c:pt idx="120">
                  <c:v>2.0131250000000001</c:v>
                </c:pt>
                <c:pt idx="121">
                  <c:v>1.816792</c:v>
                </c:pt>
                <c:pt idx="122">
                  <c:v>2.4383330000000001</c:v>
                </c:pt>
                <c:pt idx="123">
                  <c:v>4.213813</c:v>
                </c:pt>
                <c:pt idx="124">
                  <c:v>4.2518330000000004</c:v>
                </c:pt>
                <c:pt idx="125">
                  <c:v>3.0281039999999999</c:v>
                </c:pt>
                <c:pt idx="126">
                  <c:v>3.1330420000000001</c:v>
                </c:pt>
                <c:pt idx="127">
                  <c:v>4.540063</c:v>
                </c:pt>
                <c:pt idx="128">
                  <c:v>4.6361249999999998</c:v>
                </c:pt>
                <c:pt idx="129">
                  <c:v>2.2278129999999998</c:v>
                </c:pt>
                <c:pt idx="130">
                  <c:v>3.0793539999999999</c:v>
                </c:pt>
                <c:pt idx="131">
                  <c:v>3.7958750000000001</c:v>
                </c:pt>
                <c:pt idx="132">
                  <c:v>3.5695420000000002</c:v>
                </c:pt>
                <c:pt idx="133">
                  <c:v>2.6731880000000001</c:v>
                </c:pt>
                <c:pt idx="134">
                  <c:v>2.4690210000000001</c:v>
                </c:pt>
                <c:pt idx="135">
                  <c:v>5.135313</c:v>
                </c:pt>
                <c:pt idx="136">
                  <c:v>4.7839790000000004</c:v>
                </c:pt>
                <c:pt idx="137">
                  <c:v>3.1770420000000001</c:v>
                </c:pt>
                <c:pt idx="138">
                  <c:v>3.3358539999999999</c:v>
                </c:pt>
                <c:pt idx="139">
                  <c:v>3.3749790000000002</c:v>
                </c:pt>
                <c:pt idx="140">
                  <c:v>4.9439580000000003</c:v>
                </c:pt>
                <c:pt idx="141">
                  <c:v>4.1982499999999998</c:v>
                </c:pt>
                <c:pt idx="142">
                  <c:v>2.8919169999999998</c:v>
                </c:pt>
                <c:pt idx="143">
                  <c:v>4.0958540000000001</c:v>
                </c:pt>
                <c:pt idx="144">
                  <c:v>3.3008540000000002</c:v>
                </c:pt>
                <c:pt idx="145">
                  <c:v>2.4898539999999998</c:v>
                </c:pt>
                <c:pt idx="146">
                  <c:v>2.2183959999999998</c:v>
                </c:pt>
                <c:pt idx="147">
                  <c:v>2.5474380000000001</c:v>
                </c:pt>
                <c:pt idx="148">
                  <c:v>2.4630000000000001</c:v>
                </c:pt>
                <c:pt idx="149">
                  <c:v>2.283229</c:v>
                </c:pt>
                <c:pt idx="150">
                  <c:v>2.666042</c:v>
                </c:pt>
                <c:pt idx="151">
                  <c:v>3.4813329999999998</c:v>
                </c:pt>
                <c:pt idx="152">
                  <c:v>3.6297709999999999</c:v>
                </c:pt>
                <c:pt idx="153">
                  <c:v>3.186896</c:v>
                </c:pt>
                <c:pt idx="154">
                  <c:v>3.4217710000000001</c:v>
                </c:pt>
                <c:pt idx="155">
                  <c:v>4.2127499999999998</c:v>
                </c:pt>
                <c:pt idx="156">
                  <c:v>2.9398960000000001</c:v>
                </c:pt>
                <c:pt idx="157">
                  <c:v>2.718896</c:v>
                </c:pt>
                <c:pt idx="158">
                  <c:v>3.4024169999999998</c:v>
                </c:pt>
                <c:pt idx="159">
                  <c:v>6.2785419999999998</c:v>
                </c:pt>
                <c:pt idx="160">
                  <c:v>4.9218120000000001</c:v>
                </c:pt>
                <c:pt idx="161">
                  <c:v>2.6094580000000001</c:v>
                </c:pt>
                <c:pt idx="162">
                  <c:v>3.8734380000000002</c:v>
                </c:pt>
                <c:pt idx="163">
                  <c:v>4.8496670000000002</c:v>
                </c:pt>
                <c:pt idx="164">
                  <c:v>2.8697080000000001</c:v>
                </c:pt>
                <c:pt idx="165">
                  <c:v>4.4394580000000001</c:v>
                </c:pt>
                <c:pt idx="166">
                  <c:v>2.2131880000000002</c:v>
                </c:pt>
                <c:pt idx="167">
                  <c:v>3.058646</c:v>
                </c:pt>
                <c:pt idx="168">
                  <c:v>4.9978749999999996</c:v>
                </c:pt>
                <c:pt idx="169">
                  <c:v>4.9861040000000001</c:v>
                </c:pt>
                <c:pt idx="170">
                  <c:v>3.6594380000000002</c:v>
                </c:pt>
                <c:pt idx="171">
                  <c:v>2.6903329999999999</c:v>
                </c:pt>
              </c:numCache>
            </c:numRef>
          </c:val>
          <c:extLst>
            <c:ext xmlns:c16="http://schemas.microsoft.com/office/drawing/2014/chart" uri="{C3380CC4-5D6E-409C-BE32-E72D297353CC}">
              <c16:uniqueId val="{00000000-5039-4315-BF34-A29F93BE8CFF}"/>
            </c:ext>
          </c:extLst>
        </c:ser>
        <c:dLbls>
          <c:showLegendKey val="0"/>
          <c:showVal val="0"/>
          <c:showCatName val="0"/>
          <c:showSerName val="0"/>
          <c:showPercent val="0"/>
          <c:showBubbleSize val="0"/>
        </c:dLbls>
        <c:gapWidth val="187"/>
        <c:axId val="299797528"/>
        <c:axId val="299797920"/>
      </c:barChart>
      <c:lineChart>
        <c:grouping val="standard"/>
        <c:varyColors val="0"/>
        <c:ser>
          <c:idx val="1"/>
          <c:order val="1"/>
          <c:tx>
            <c:v>Max</c:v>
          </c:tx>
          <c:spPr>
            <a:ln w="9525">
              <a:solidFill>
                <a:schemeClr val="tx1"/>
              </a:solidFill>
            </a:ln>
          </c:spPr>
          <c:marker>
            <c:symbol val="none"/>
          </c:marker>
          <c:cat>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cat>
          <c:val>
            <c:numRef>
              <c:f>'SP02'!$AI$3:$AI$174</c:f>
              <c:numCache>
                <c:formatCode>0.00</c:formatCode>
                <c:ptCount val="172"/>
                <c:pt idx="0">
                  <c:v>4.6989999999999998</c:v>
                </c:pt>
                <c:pt idx="1">
                  <c:v>6.1920000000000002</c:v>
                </c:pt>
                <c:pt idx="2">
                  <c:v>11.952</c:v>
                </c:pt>
                <c:pt idx="3">
                  <c:v>5.22</c:v>
                </c:pt>
                <c:pt idx="4">
                  <c:v>5.758</c:v>
                </c:pt>
                <c:pt idx="5">
                  <c:v>5.4770000000000003</c:v>
                </c:pt>
                <c:pt idx="6">
                  <c:v>5.274</c:v>
                </c:pt>
                <c:pt idx="7">
                  <c:v>11.457000000000001</c:v>
                </c:pt>
                <c:pt idx="8">
                  <c:v>9.7929999999999993</c:v>
                </c:pt>
                <c:pt idx="9">
                  <c:v>7.4790000000000001</c:v>
                </c:pt>
                <c:pt idx="10">
                  <c:v>7.2619999999999996</c:v>
                </c:pt>
                <c:pt idx="11">
                  <c:v>6.3970000000000002</c:v>
                </c:pt>
                <c:pt idx="12">
                  <c:v>3.863</c:v>
                </c:pt>
                <c:pt idx="13">
                  <c:v>8.0429999999999993</c:v>
                </c:pt>
                <c:pt idx="14">
                  <c:v>7.9729999999999999</c:v>
                </c:pt>
                <c:pt idx="15">
                  <c:v>5.0949999999999998</c:v>
                </c:pt>
                <c:pt idx="16">
                  <c:v>3.5760000000000001</c:v>
                </c:pt>
                <c:pt idx="17">
                  <c:v>5.2249999999999996</c:v>
                </c:pt>
                <c:pt idx="18">
                  <c:v>6.0129999999999999</c:v>
                </c:pt>
                <c:pt idx="19">
                  <c:v>11.047000000000001</c:v>
                </c:pt>
                <c:pt idx="20">
                  <c:v>11.257</c:v>
                </c:pt>
                <c:pt idx="21">
                  <c:v>9.6880000000000006</c:v>
                </c:pt>
                <c:pt idx="22">
                  <c:v>11.678000000000001</c:v>
                </c:pt>
                <c:pt idx="23">
                  <c:v>12.858000000000001</c:v>
                </c:pt>
                <c:pt idx="24">
                  <c:v>10.404</c:v>
                </c:pt>
                <c:pt idx="25">
                  <c:v>9.2349999999999994</c:v>
                </c:pt>
                <c:pt idx="26">
                  <c:v>6.7480000000000002</c:v>
                </c:pt>
                <c:pt idx="27">
                  <c:v>4.4660000000000002</c:v>
                </c:pt>
                <c:pt idx="28">
                  <c:v>9.5719999999999992</c:v>
                </c:pt>
                <c:pt idx="29">
                  <c:v>5.14</c:v>
                </c:pt>
                <c:pt idx="30">
                  <c:v>8.3119999999999994</c:v>
                </c:pt>
                <c:pt idx="31">
                  <c:v>8.6880000000000006</c:v>
                </c:pt>
                <c:pt idx="32">
                  <c:v>4.4589999999999996</c:v>
                </c:pt>
                <c:pt idx="33">
                  <c:v>4.6829999999999998</c:v>
                </c:pt>
                <c:pt idx="34">
                  <c:v>3.7320000000000002</c:v>
                </c:pt>
                <c:pt idx="35">
                  <c:v>4.1760000000000002</c:v>
                </c:pt>
                <c:pt idx="36">
                  <c:v>6.6349999999999998</c:v>
                </c:pt>
                <c:pt idx="37">
                  <c:v>5.9059999999999997</c:v>
                </c:pt>
                <c:pt idx="38">
                  <c:v>5.9889999999999999</c:v>
                </c:pt>
                <c:pt idx="39">
                  <c:v>3.7160000000000002</c:v>
                </c:pt>
                <c:pt idx="40">
                  <c:v>5.5510000000000002</c:v>
                </c:pt>
                <c:pt idx="41">
                  <c:v>7.641</c:v>
                </c:pt>
                <c:pt idx="42">
                  <c:v>6.7610000000000001</c:v>
                </c:pt>
                <c:pt idx="43">
                  <c:v>9.2989999999999995</c:v>
                </c:pt>
                <c:pt idx="44">
                  <c:v>4.7869999999999999</c:v>
                </c:pt>
                <c:pt idx="45">
                  <c:v>3.3559999999999999</c:v>
                </c:pt>
                <c:pt idx="46">
                  <c:v>3.851</c:v>
                </c:pt>
                <c:pt idx="47">
                  <c:v>5.1379999999999999</c:v>
                </c:pt>
                <c:pt idx="48">
                  <c:v>6.0140000000000002</c:v>
                </c:pt>
                <c:pt idx="49">
                  <c:v>5.0810000000000004</c:v>
                </c:pt>
                <c:pt idx="50">
                  <c:v>3.42</c:v>
                </c:pt>
                <c:pt idx="51">
                  <c:v>5.8330000000000002</c:v>
                </c:pt>
                <c:pt idx="52">
                  <c:v>3.93</c:v>
                </c:pt>
                <c:pt idx="53">
                  <c:v>3.7309999999999999</c:v>
                </c:pt>
                <c:pt idx="54">
                  <c:v>3.7130000000000001</c:v>
                </c:pt>
                <c:pt idx="55">
                  <c:v>9.2880000000000003</c:v>
                </c:pt>
                <c:pt idx="56">
                  <c:v>7.2110000000000003</c:v>
                </c:pt>
                <c:pt idx="57">
                  <c:v>4.4279999999999999</c:v>
                </c:pt>
                <c:pt idx="58">
                  <c:v>8.3740000000000006</c:v>
                </c:pt>
                <c:pt idx="59">
                  <c:v>6.1269999999999998</c:v>
                </c:pt>
                <c:pt idx="60">
                  <c:v>6.56</c:v>
                </c:pt>
                <c:pt idx="61">
                  <c:v>6.8739999999999997</c:v>
                </c:pt>
                <c:pt idx="62">
                  <c:v>10.225</c:v>
                </c:pt>
                <c:pt idx="63">
                  <c:v>8.3019999999999996</c:v>
                </c:pt>
                <c:pt idx="64">
                  <c:v>5.4729999999999999</c:v>
                </c:pt>
                <c:pt idx="65">
                  <c:v>5.0519999999999996</c:v>
                </c:pt>
                <c:pt idx="66">
                  <c:v>7.0090000000000003</c:v>
                </c:pt>
                <c:pt idx="67">
                  <c:v>9.32</c:v>
                </c:pt>
                <c:pt idx="68">
                  <c:v>5.7359999999999998</c:v>
                </c:pt>
                <c:pt idx="69">
                  <c:v>4.8659999999999997</c:v>
                </c:pt>
                <c:pt idx="70">
                  <c:v>6.016</c:v>
                </c:pt>
                <c:pt idx="71">
                  <c:v>4.5223139999999997</c:v>
                </c:pt>
                <c:pt idx="72">
                  <c:v>5.8289999999999997</c:v>
                </c:pt>
                <c:pt idx="73">
                  <c:v>3.9761009999999999</c:v>
                </c:pt>
                <c:pt idx="74">
                  <c:v>3.64236</c:v>
                </c:pt>
                <c:pt idx="75">
                  <c:v>5.0068479999999997</c:v>
                </c:pt>
                <c:pt idx="76">
                  <c:v>5.0068479999999997</c:v>
                </c:pt>
                <c:pt idx="77">
                  <c:v>8.9830000000000005</c:v>
                </c:pt>
                <c:pt idx="78">
                  <c:v>10.183</c:v>
                </c:pt>
                <c:pt idx="79">
                  <c:v>5.3019999999999996</c:v>
                </c:pt>
                <c:pt idx="80">
                  <c:v>7.2060000000000004</c:v>
                </c:pt>
                <c:pt idx="81">
                  <c:v>3.7130000000000001</c:v>
                </c:pt>
                <c:pt idx="82">
                  <c:v>7.8979999999999997</c:v>
                </c:pt>
                <c:pt idx="83">
                  <c:v>7.1289999999999996</c:v>
                </c:pt>
                <c:pt idx="84">
                  <c:v>9.4879999999999995</c:v>
                </c:pt>
                <c:pt idx="85">
                  <c:v>10.215</c:v>
                </c:pt>
                <c:pt idx="86">
                  <c:v>3.391</c:v>
                </c:pt>
                <c:pt idx="87">
                  <c:v>4.351</c:v>
                </c:pt>
                <c:pt idx="88">
                  <c:v>4.8780000000000001</c:v>
                </c:pt>
                <c:pt idx="89">
                  <c:v>6.4340000000000002</c:v>
                </c:pt>
                <c:pt idx="90">
                  <c:v>8.6460000000000008</c:v>
                </c:pt>
                <c:pt idx="91">
                  <c:v>6.0720000000000001</c:v>
                </c:pt>
                <c:pt idx="92">
                  <c:v>8.157</c:v>
                </c:pt>
                <c:pt idx="93">
                  <c:v>6.0529999999999999</c:v>
                </c:pt>
                <c:pt idx="94">
                  <c:v>8.2810000000000006</c:v>
                </c:pt>
                <c:pt idx="95">
                  <c:v>10.340999999999999</c:v>
                </c:pt>
                <c:pt idx="96">
                  <c:v>6.18</c:v>
                </c:pt>
                <c:pt idx="97">
                  <c:v>5.5860000000000003</c:v>
                </c:pt>
                <c:pt idx="98">
                  <c:v>6.9279999999999999</c:v>
                </c:pt>
                <c:pt idx="99">
                  <c:v>9.0670000000000002</c:v>
                </c:pt>
                <c:pt idx="100">
                  <c:v>13.016</c:v>
                </c:pt>
                <c:pt idx="101">
                  <c:v>10.92</c:v>
                </c:pt>
                <c:pt idx="102">
                  <c:v>11.068</c:v>
                </c:pt>
                <c:pt idx="103">
                  <c:v>10.067</c:v>
                </c:pt>
                <c:pt idx="104">
                  <c:v>8.8350000000000009</c:v>
                </c:pt>
                <c:pt idx="105">
                  <c:v>5.9550000000000001</c:v>
                </c:pt>
                <c:pt idx="106">
                  <c:v>8.0470000000000006</c:v>
                </c:pt>
                <c:pt idx="107">
                  <c:v>8.8140000000000001</c:v>
                </c:pt>
                <c:pt idx="108">
                  <c:v>4.01</c:v>
                </c:pt>
                <c:pt idx="109">
                  <c:v>4.7</c:v>
                </c:pt>
                <c:pt idx="110">
                  <c:v>5.077</c:v>
                </c:pt>
                <c:pt idx="111">
                  <c:v>8.7609999999999992</c:v>
                </c:pt>
                <c:pt idx="112">
                  <c:v>4.4720000000000004</c:v>
                </c:pt>
                <c:pt idx="113">
                  <c:v>6.4619999999999997</c:v>
                </c:pt>
                <c:pt idx="114">
                  <c:v>8.1180000000000003</c:v>
                </c:pt>
                <c:pt idx="115">
                  <c:v>7.319</c:v>
                </c:pt>
                <c:pt idx="116">
                  <c:v>6.9240000000000004</c:v>
                </c:pt>
                <c:pt idx="117">
                  <c:v>4.0179999999999998</c:v>
                </c:pt>
                <c:pt idx="118">
                  <c:v>6.1689999999999996</c:v>
                </c:pt>
                <c:pt idx="119">
                  <c:v>4.3109999999999999</c:v>
                </c:pt>
                <c:pt idx="120">
                  <c:v>5.0659999999999998</c:v>
                </c:pt>
                <c:pt idx="121">
                  <c:v>8.0220000000000002</c:v>
                </c:pt>
                <c:pt idx="122">
                  <c:v>5.0119999999999996</c:v>
                </c:pt>
                <c:pt idx="123">
                  <c:v>9.3719999999999999</c:v>
                </c:pt>
                <c:pt idx="124">
                  <c:v>8.7509999999999994</c:v>
                </c:pt>
                <c:pt idx="125">
                  <c:v>6.585</c:v>
                </c:pt>
                <c:pt idx="126">
                  <c:v>4.407</c:v>
                </c:pt>
                <c:pt idx="127">
                  <c:v>8.5609999999999999</c:v>
                </c:pt>
                <c:pt idx="128">
                  <c:v>9.3829999999999991</c:v>
                </c:pt>
                <c:pt idx="129">
                  <c:v>4.72</c:v>
                </c:pt>
                <c:pt idx="130">
                  <c:v>4.665</c:v>
                </c:pt>
                <c:pt idx="131">
                  <c:v>5.7530000000000001</c:v>
                </c:pt>
                <c:pt idx="132">
                  <c:v>5.532</c:v>
                </c:pt>
                <c:pt idx="133">
                  <c:v>4.3639999999999999</c:v>
                </c:pt>
                <c:pt idx="134">
                  <c:v>7.06</c:v>
                </c:pt>
                <c:pt idx="135">
                  <c:v>9.6669999999999998</c:v>
                </c:pt>
                <c:pt idx="136">
                  <c:v>9.2669999999999995</c:v>
                </c:pt>
                <c:pt idx="137">
                  <c:v>5.7489999999999997</c:v>
                </c:pt>
                <c:pt idx="138">
                  <c:v>4.7750000000000004</c:v>
                </c:pt>
                <c:pt idx="139">
                  <c:v>6.4779999999999998</c:v>
                </c:pt>
                <c:pt idx="140">
                  <c:v>8.4979999999999993</c:v>
                </c:pt>
                <c:pt idx="141">
                  <c:v>9.8360000000000003</c:v>
                </c:pt>
                <c:pt idx="142">
                  <c:v>8.0180000000000007</c:v>
                </c:pt>
                <c:pt idx="143">
                  <c:v>7.1180000000000003</c:v>
                </c:pt>
                <c:pt idx="144">
                  <c:v>5.8310000000000004</c:v>
                </c:pt>
                <c:pt idx="145">
                  <c:v>4.1909999999999998</c:v>
                </c:pt>
                <c:pt idx="146">
                  <c:v>3.867</c:v>
                </c:pt>
                <c:pt idx="147">
                  <c:v>4.6529999999999996</c:v>
                </c:pt>
                <c:pt idx="148">
                  <c:v>4.3710000000000004</c:v>
                </c:pt>
                <c:pt idx="149">
                  <c:v>3.7759999999999998</c:v>
                </c:pt>
                <c:pt idx="150">
                  <c:v>5.3730000000000002</c:v>
                </c:pt>
                <c:pt idx="151">
                  <c:v>6.4710000000000001</c:v>
                </c:pt>
                <c:pt idx="152">
                  <c:v>6.9429999999999996</c:v>
                </c:pt>
                <c:pt idx="153">
                  <c:v>4.7720000000000002</c:v>
                </c:pt>
                <c:pt idx="154">
                  <c:v>6.1050000000000004</c:v>
                </c:pt>
                <c:pt idx="155">
                  <c:v>7.2350000000000003</c:v>
                </c:pt>
                <c:pt idx="156">
                  <c:v>5.774</c:v>
                </c:pt>
                <c:pt idx="157">
                  <c:v>11.298999999999999</c:v>
                </c:pt>
                <c:pt idx="158">
                  <c:v>9.8569999999999993</c:v>
                </c:pt>
                <c:pt idx="159">
                  <c:v>8.8350000000000009</c:v>
                </c:pt>
                <c:pt idx="160">
                  <c:v>8.8249999999999993</c:v>
                </c:pt>
                <c:pt idx="161">
                  <c:v>5.2750000000000004</c:v>
                </c:pt>
                <c:pt idx="162">
                  <c:v>9.1620000000000008</c:v>
                </c:pt>
                <c:pt idx="163">
                  <c:v>6.5540000000000003</c:v>
                </c:pt>
                <c:pt idx="164">
                  <c:v>6.2939999999999996</c:v>
                </c:pt>
                <c:pt idx="165">
                  <c:v>8.5190000000000001</c:v>
                </c:pt>
                <c:pt idx="166">
                  <c:v>4.2140000000000004</c:v>
                </c:pt>
                <c:pt idx="167">
                  <c:v>7.5640000000000001</c:v>
                </c:pt>
                <c:pt idx="168">
                  <c:v>8.125</c:v>
                </c:pt>
                <c:pt idx="169">
                  <c:v>7.3049999999999997</c:v>
                </c:pt>
                <c:pt idx="170">
                  <c:v>7.9169999999999998</c:v>
                </c:pt>
                <c:pt idx="171">
                  <c:v>4.3609999999999998</c:v>
                </c:pt>
              </c:numCache>
            </c:numRef>
          </c:val>
          <c:smooth val="0"/>
          <c:extLst>
            <c:ext xmlns:c16="http://schemas.microsoft.com/office/drawing/2014/chart" uri="{C3380CC4-5D6E-409C-BE32-E72D297353CC}">
              <c16:uniqueId val="{00000001-5039-4315-BF34-A29F93BE8CFF}"/>
            </c:ext>
          </c:extLst>
        </c:ser>
        <c:dLbls>
          <c:showLegendKey val="0"/>
          <c:showVal val="0"/>
          <c:showCatName val="0"/>
          <c:showSerName val="0"/>
          <c:showPercent val="0"/>
          <c:showBubbleSize val="0"/>
        </c:dLbls>
        <c:marker val="1"/>
        <c:smooth val="0"/>
        <c:axId val="299797528"/>
        <c:axId val="299797920"/>
      </c:lineChart>
      <c:dateAx>
        <c:axId val="299797528"/>
        <c:scaling>
          <c:orientation val="minMax"/>
          <c:max val="41548"/>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9797920"/>
        <c:crosses val="autoZero"/>
        <c:auto val="0"/>
        <c:lblOffset val="100"/>
        <c:baseTimeUnit val="days"/>
        <c:majorUnit val="1"/>
        <c:majorTimeUnit val="months"/>
        <c:minorUnit val="30"/>
      </c:dateAx>
      <c:valAx>
        <c:axId val="299797920"/>
        <c:scaling>
          <c:orientation val="minMax"/>
          <c:max val="13"/>
          <c:min val="0"/>
        </c:scaling>
        <c:delete val="0"/>
        <c:axPos val="l"/>
        <c:title>
          <c:tx>
            <c:rich>
              <a:bodyPr/>
              <a:lstStyle/>
              <a:p>
                <a:pPr>
                  <a:defRPr sz="1000" b="0" i="0" u="none" strike="noStrike" baseline="0">
                    <a:solidFill>
                      <a:srgbClr val="000000"/>
                    </a:solidFill>
                    <a:latin typeface="Arial"/>
                    <a:ea typeface="Arial"/>
                    <a:cs typeface="Arial"/>
                  </a:defRPr>
                </a:pPr>
                <a:r>
                  <a:rPr lang="en-US"/>
                  <a:t>Wind Speed</a:t>
                </a:r>
              </a:p>
              <a:p>
                <a:pPr>
                  <a:defRPr sz="1000" b="0" i="0" u="none" strike="noStrike" baseline="0">
                    <a:solidFill>
                      <a:srgbClr val="000000"/>
                    </a:solidFill>
                    <a:latin typeface="Arial"/>
                    <a:ea typeface="Arial"/>
                    <a:cs typeface="Arial"/>
                  </a:defRPr>
                </a:pPr>
                <a:r>
                  <a:rPr lang="en-US"/>
                  <a:t> (m s</a:t>
                </a:r>
                <a:r>
                  <a:rPr lang="en-US" baseline="30000"/>
                  <a:t>-1</a:t>
                </a:r>
                <a:r>
                  <a:rPr lang="en-US"/>
                  <a:t>)</a:t>
                </a:r>
              </a:p>
            </c:rich>
          </c:tx>
          <c:layout>
            <c:manualLayout>
              <c:xMode val="edge"/>
              <c:yMode val="edge"/>
              <c:x val="9.7358099051311556E-3"/>
              <c:y val="0.1205932705385244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9797528"/>
        <c:crossesAt val="41365"/>
        <c:crossBetween val="between"/>
        <c:majorUnit val="2"/>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56310679611655"/>
          <c:y val="0.12222238799694554"/>
          <c:w val="0.83009708737864085"/>
          <c:h val="0.6222230661662681"/>
        </c:manualLayout>
      </c:layout>
      <c:barChart>
        <c:barDir val="col"/>
        <c:grouping val="clustered"/>
        <c:varyColors val="0"/>
        <c:ser>
          <c:idx val="0"/>
          <c:order val="0"/>
          <c:tx>
            <c:v>Mean</c:v>
          </c:tx>
          <c:spPr>
            <a:solidFill>
              <a:schemeClr val="bg1">
                <a:lumMod val="85000"/>
              </a:schemeClr>
            </a:solidFill>
            <a:ln w="3175">
              <a:solidFill>
                <a:schemeClr val="tx1"/>
              </a:solidFill>
            </a:ln>
          </c:spPr>
          <c:invertIfNegative val="0"/>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'SP02'!$AH$3:$AH$176</c:f>
              <c:numCache>
                <c:formatCode>0.00</c:formatCode>
                <c:ptCount val="174"/>
                <c:pt idx="0">
                  <c:v>3.7202139999999999</c:v>
                </c:pt>
                <c:pt idx="1">
                  <c:v>2.899521</c:v>
                </c:pt>
                <c:pt idx="2">
                  <c:v>4.8886459999999996</c:v>
                </c:pt>
                <c:pt idx="3">
                  <c:v>3.1722709999999998</c:v>
                </c:pt>
                <c:pt idx="4">
                  <c:v>3.0150800000000002</c:v>
                </c:pt>
                <c:pt idx="5">
                  <c:v>3.1713300000000002</c:v>
                </c:pt>
                <c:pt idx="6">
                  <c:v>3.5094379999999998</c:v>
                </c:pt>
                <c:pt idx="7">
                  <c:v>5.1058940000000002</c:v>
                </c:pt>
                <c:pt idx="8">
                  <c:v>6.2934169999999998</c:v>
                </c:pt>
                <c:pt idx="9">
                  <c:v>4.116104</c:v>
                </c:pt>
                <c:pt idx="10">
                  <c:v>4.8101250000000002</c:v>
                </c:pt>
                <c:pt idx="11">
                  <c:v>3.3438750000000002</c:v>
                </c:pt>
                <c:pt idx="12">
                  <c:v>1.6358330000000001</c:v>
                </c:pt>
                <c:pt idx="13">
                  <c:v>4.840687</c:v>
                </c:pt>
                <c:pt idx="14">
                  <c:v>4.1500389999999996</c:v>
                </c:pt>
                <c:pt idx="15">
                  <c:v>2.7183329999999999</c:v>
                </c:pt>
                <c:pt idx="16">
                  <c:v>1.581917</c:v>
                </c:pt>
                <c:pt idx="17">
                  <c:v>2.3703539999999998</c:v>
                </c:pt>
                <c:pt idx="18">
                  <c:v>3.2462710000000001</c:v>
                </c:pt>
                <c:pt idx="19">
                  <c:v>7.5643960000000003</c:v>
                </c:pt>
                <c:pt idx="20">
                  <c:v>7.2947920000000002</c:v>
                </c:pt>
                <c:pt idx="21">
                  <c:v>6.1182499999999997</c:v>
                </c:pt>
                <c:pt idx="22">
                  <c:v>8.2313960000000002</c:v>
                </c:pt>
                <c:pt idx="23">
                  <c:v>7.029833</c:v>
                </c:pt>
                <c:pt idx="24">
                  <c:v>7.4815829999999997</c:v>
                </c:pt>
                <c:pt idx="25">
                  <c:v>5.3975629999999999</c:v>
                </c:pt>
                <c:pt idx="26">
                  <c:v>3.1301459999999999</c:v>
                </c:pt>
                <c:pt idx="27">
                  <c:v>2.651208</c:v>
                </c:pt>
                <c:pt idx="28">
                  <c:v>3.2996880000000002</c:v>
                </c:pt>
                <c:pt idx="29">
                  <c:v>2.3694169999999999</c:v>
                </c:pt>
                <c:pt idx="30">
                  <c:v>4.7656669999999997</c:v>
                </c:pt>
                <c:pt idx="31">
                  <c:v>4.9914170000000002</c:v>
                </c:pt>
                <c:pt idx="32">
                  <c:v>2.8013750000000002</c:v>
                </c:pt>
                <c:pt idx="33">
                  <c:v>2.3287079999999998</c:v>
                </c:pt>
                <c:pt idx="34">
                  <c:v>2.1404580000000002</c:v>
                </c:pt>
                <c:pt idx="35">
                  <c:v>2.466583</c:v>
                </c:pt>
                <c:pt idx="36">
                  <c:v>3.534583</c:v>
                </c:pt>
                <c:pt idx="37">
                  <c:v>2.7442709999999999</c:v>
                </c:pt>
                <c:pt idx="38">
                  <c:v>2.5617079999999999</c:v>
                </c:pt>
                <c:pt idx="39">
                  <c:v>2.3833959999999998</c:v>
                </c:pt>
                <c:pt idx="40">
                  <c:v>2.9189790000000002</c:v>
                </c:pt>
                <c:pt idx="41">
                  <c:v>4.451937</c:v>
                </c:pt>
                <c:pt idx="42">
                  <c:v>5.4042500000000002</c:v>
                </c:pt>
                <c:pt idx="43">
                  <c:v>4.320417</c:v>
                </c:pt>
                <c:pt idx="44">
                  <c:v>2.197854</c:v>
                </c:pt>
                <c:pt idx="45">
                  <c:v>1.9939370000000001</c:v>
                </c:pt>
                <c:pt idx="46">
                  <c:v>2.3910420000000001</c:v>
                </c:pt>
                <c:pt idx="47">
                  <c:v>3.2411880000000002</c:v>
                </c:pt>
                <c:pt idx="48">
                  <c:v>3.7436669999999999</c:v>
                </c:pt>
                <c:pt idx="49">
                  <c:v>3.2762709999999999</c:v>
                </c:pt>
                <c:pt idx="50">
                  <c:v>2.295042</c:v>
                </c:pt>
                <c:pt idx="51">
                  <c:v>2.7138960000000001</c:v>
                </c:pt>
                <c:pt idx="52">
                  <c:v>2.3724379999999998</c:v>
                </c:pt>
                <c:pt idx="53">
                  <c:v>1.8794169999999999</c:v>
                </c:pt>
                <c:pt idx="54">
                  <c:v>2.2806250000000001</c:v>
                </c:pt>
                <c:pt idx="55">
                  <c:v>4.6571249999999997</c:v>
                </c:pt>
                <c:pt idx="56">
                  <c:v>4.9258329999999999</c:v>
                </c:pt>
                <c:pt idx="57">
                  <c:v>2.8467920000000002</c:v>
                </c:pt>
                <c:pt idx="58">
                  <c:v>4.4096669999999998</c:v>
                </c:pt>
                <c:pt idx="59">
                  <c:v>3.1724600000000001</c:v>
                </c:pt>
                <c:pt idx="60">
                  <c:v>3.8299400000000001</c:v>
                </c:pt>
                <c:pt idx="61">
                  <c:v>4.0007200000000003</c:v>
                </c:pt>
                <c:pt idx="62">
                  <c:v>5.2652869999999998</c:v>
                </c:pt>
                <c:pt idx="63">
                  <c:v>4.2456199999999997</c:v>
                </c:pt>
                <c:pt idx="64">
                  <c:v>3.268281</c:v>
                </c:pt>
                <c:pt idx="65">
                  <c:v>2.9359609999999998</c:v>
                </c:pt>
                <c:pt idx="66">
                  <c:v>5.0936459999999997</c:v>
                </c:pt>
                <c:pt idx="67">
                  <c:v>6.4315420000000003</c:v>
                </c:pt>
                <c:pt idx="68">
                  <c:v>2.710423</c:v>
                </c:pt>
                <c:pt idx="69">
                  <c:v>2.714826</c:v>
                </c:pt>
                <c:pt idx="70">
                  <c:v>3.1531600000000002</c:v>
                </c:pt>
                <c:pt idx="71">
                  <c:v>2.475117</c:v>
                </c:pt>
                <c:pt idx="72">
                  <c:v>2.8045450000000001</c:v>
                </c:pt>
                <c:pt idx="73">
                  <c:v>2.2098719999999998</c:v>
                </c:pt>
                <c:pt idx="74">
                  <c:v>2.2411569999999998</c:v>
                </c:pt>
                <c:pt idx="75">
                  <c:v>2.756154</c:v>
                </c:pt>
                <c:pt idx="76">
                  <c:v>3.2746960000000001</c:v>
                </c:pt>
                <c:pt idx="77">
                  <c:v>4.790483</c:v>
                </c:pt>
                <c:pt idx="78">
                  <c:v>5.0547079999999998</c:v>
                </c:pt>
                <c:pt idx="79">
                  <c:v>2.323769</c:v>
                </c:pt>
                <c:pt idx="80">
                  <c:v>3.911924</c:v>
                </c:pt>
                <c:pt idx="81">
                  <c:v>1.952083</c:v>
                </c:pt>
                <c:pt idx="82">
                  <c:v>4.3449169999999997</c:v>
                </c:pt>
                <c:pt idx="83">
                  <c:v>3.9589370000000002</c:v>
                </c:pt>
                <c:pt idx="84">
                  <c:v>3.5373749999999999</c:v>
                </c:pt>
                <c:pt idx="85">
                  <c:v>3.2100209999999998</c:v>
                </c:pt>
                <c:pt idx="86">
                  <c:v>1.8146880000000001</c:v>
                </c:pt>
                <c:pt idx="87">
                  <c:v>2.2746879999999998</c:v>
                </c:pt>
                <c:pt idx="88">
                  <c:v>2.4886460000000001</c:v>
                </c:pt>
                <c:pt idx="89">
                  <c:v>3.1290209999999998</c:v>
                </c:pt>
                <c:pt idx="90">
                  <c:v>4.1867710000000002</c:v>
                </c:pt>
                <c:pt idx="91">
                  <c:v>2.9640209999999998</c:v>
                </c:pt>
                <c:pt idx="92">
                  <c:v>2.5702919999999998</c:v>
                </c:pt>
                <c:pt idx="93">
                  <c:v>3.1874380000000002</c:v>
                </c:pt>
                <c:pt idx="94">
                  <c:v>3.9957289999999999</c:v>
                </c:pt>
                <c:pt idx="95">
                  <c:v>6.3804379999999998</c:v>
                </c:pt>
                <c:pt idx="96">
                  <c:v>3.8943539999999999</c:v>
                </c:pt>
                <c:pt idx="97">
                  <c:v>2.7886869999999999</c:v>
                </c:pt>
                <c:pt idx="98">
                  <c:v>3.3527079999999998</c:v>
                </c:pt>
                <c:pt idx="99">
                  <c:v>4.6639379999999999</c:v>
                </c:pt>
                <c:pt idx="100">
                  <c:v>5.7056040000000001</c:v>
                </c:pt>
                <c:pt idx="101">
                  <c:v>5.998875</c:v>
                </c:pt>
                <c:pt idx="102">
                  <c:v>5.9307080000000001</c:v>
                </c:pt>
                <c:pt idx="103">
                  <c:v>6.2224170000000001</c:v>
                </c:pt>
                <c:pt idx="104">
                  <c:v>4.6510829999999999</c:v>
                </c:pt>
                <c:pt idx="105">
                  <c:v>3.6501869999999998</c:v>
                </c:pt>
                <c:pt idx="106">
                  <c:v>3.3814790000000001</c:v>
                </c:pt>
                <c:pt idx="107">
                  <c:v>3.7816040000000002</c:v>
                </c:pt>
                <c:pt idx="108">
                  <c:v>1.9661040000000001</c:v>
                </c:pt>
                <c:pt idx="109">
                  <c:v>2.4223750000000002</c:v>
                </c:pt>
                <c:pt idx="110">
                  <c:v>3.5685829999999998</c:v>
                </c:pt>
                <c:pt idx="111">
                  <c:v>3.9798960000000001</c:v>
                </c:pt>
                <c:pt idx="112">
                  <c:v>2.4691459999999998</c:v>
                </c:pt>
                <c:pt idx="113">
                  <c:v>3.9476040000000001</c:v>
                </c:pt>
                <c:pt idx="114">
                  <c:v>3.9378329999999999</c:v>
                </c:pt>
                <c:pt idx="115">
                  <c:v>3.651729</c:v>
                </c:pt>
                <c:pt idx="116">
                  <c:v>3.0103330000000001</c:v>
                </c:pt>
                <c:pt idx="117">
                  <c:v>2.3420000000000001</c:v>
                </c:pt>
                <c:pt idx="118">
                  <c:v>3.0640420000000002</c:v>
                </c:pt>
                <c:pt idx="119">
                  <c:v>1.8982289999999999</c:v>
                </c:pt>
                <c:pt idx="120">
                  <c:v>2.0131250000000001</c:v>
                </c:pt>
                <c:pt idx="121">
                  <c:v>1.816792</c:v>
                </c:pt>
                <c:pt idx="122">
                  <c:v>2.4383330000000001</c:v>
                </c:pt>
                <c:pt idx="123">
                  <c:v>4.213813</c:v>
                </c:pt>
                <c:pt idx="124">
                  <c:v>4.2518330000000004</c:v>
                </c:pt>
                <c:pt idx="125">
                  <c:v>3.0281039999999999</c:v>
                </c:pt>
                <c:pt idx="126">
                  <c:v>3.1330420000000001</c:v>
                </c:pt>
                <c:pt idx="127">
                  <c:v>4.540063</c:v>
                </c:pt>
                <c:pt idx="128">
                  <c:v>4.6361249999999998</c:v>
                </c:pt>
                <c:pt idx="129">
                  <c:v>2.2278129999999998</c:v>
                </c:pt>
                <c:pt idx="130">
                  <c:v>3.0793539999999999</c:v>
                </c:pt>
                <c:pt idx="131">
                  <c:v>3.7958750000000001</c:v>
                </c:pt>
                <c:pt idx="132">
                  <c:v>3.5695420000000002</c:v>
                </c:pt>
                <c:pt idx="133">
                  <c:v>2.6731880000000001</c:v>
                </c:pt>
                <c:pt idx="134">
                  <c:v>2.4690210000000001</c:v>
                </c:pt>
                <c:pt idx="135">
                  <c:v>5.135313</c:v>
                </c:pt>
                <c:pt idx="136">
                  <c:v>4.7839790000000004</c:v>
                </c:pt>
                <c:pt idx="137">
                  <c:v>3.1770420000000001</c:v>
                </c:pt>
                <c:pt idx="138">
                  <c:v>3.3358539999999999</c:v>
                </c:pt>
                <c:pt idx="139">
                  <c:v>3.3749790000000002</c:v>
                </c:pt>
                <c:pt idx="140">
                  <c:v>4.9439580000000003</c:v>
                </c:pt>
                <c:pt idx="141">
                  <c:v>4.1982499999999998</c:v>
                </c:pt>
                <c:pt idx="142">
                  <c:v>2.8919169999999998</c:v>
                </c:pt>
                <c:pt idx="143">
                  <c:v>4.0958540000000001</c:v>
                </c:pt>
                <c:pt idx="144">
                  <c:v>3.3008540000000002</c:v>
                </c:pt>
                <c:pt idx="145">
                  <c:v>2.4898539999999998</c:v>
                </c:pt>
                <c:pt idx="146">
                  <c:v>2.2183959999999998</c:v>
                </c:pt>
                <c:pt idx="147">
                  <c:v>2.5474380000000001</c:v>
                </c:pt>
                <c:pt idx="148">
                  <c:v>2.4630000000000001</c:v>
                </c:pt>
                <c:pt idx="149">
                  <c:v>2.283229</c:v>
                </c:pt>
                <c:pt idx="150">
                  <c:v>2.666042</c:v>
                </c:pt>
                <c:pt idx="151">
                  <c:v>3.4813329999999998</c:v>
                </c:pt>
                <c:pt idx="152">
                  <c:v>3.6297709999999999</c:v>
                </c:pt>
                <c:pt idx="153">
                  <c:v>3.186896</c:v>
                </c:pt>
                <c:pt idx="154">
                  <c:v>3.4217710000000001</c:v>
                </c:pt>
                <c:pt idx="155">
                  <c:v>4.2127499999999998</c:v>
                </c:pt>
                <c:pt idx="156">
                  <c:v>2.9398960000000001</c:v>
                </c:pt>
                <c:pt idx="157">
                  <c:v>2.718896</c:v>
                </c:pt>
                <c:pt idx="158">
                  <c:v>3.4024169999999998</c:v>
                </c:pt>
                <c:pt idx="159">
                  <c:v>6.2785419999999998</c:v>
                </c:pt>
                <c:pt idx="160">
                  <c:v>4.9218120000000001</c:v>
                </c:pt>
                <c:pt idx="161">
                  <c:v>2.6094580000000001</c:v>
                </c:pt>
                <c:pt idx="162">
                  <c:v>3.8734380000000002</c:v>
                </c:pt>
                <c:pt idx="163">
                  <c:v>4.8496670000000002</c:v>
                </c:pt>
                <c:pt idx="164">
                  <c:v>2.8697080000000001</c:v>
                </c:pt>
                <c:pt idx="165">
                  <c:v>4.4394580000000001</c:v>
                </c:pt>
                <c:pt idx="166">
                  <c:v>2.2131880000000002</c:v>
                </c:pt>
                <c:pt idx="167">
                  <c:v>3.058646</c:v>
                </c:pt>
                <c:pt idx="168">
                  <c:v>4.9978749999999996</c:v>
                </c:pt>
                <c:pt idx="169">
                  <c:v>4.9861040000000001</c:v>
                </c:pt>
                <c:pt idx="170">
                  <c:v>3.6594380000000002</c:v>
                </c:pt>
                <c:pt idx="171">
                  <c:v>2.6903329999999999</c:v>
                </c:pt>
                <c:pt idx="172">
                  <c:v>3.5944790000000002</c:v>
                </c:pt>
                <c:pt idx="173">
                  <c:v>5.0595210000000002</c:v>
                </c:pt>
              </c:numCache>
            </c:numRef>
          </c:val>
          <c:extLst>
            <c:ext xmlns:c16="http://schemas.microsoft.com/office/drawing/2014/chart" uri="{C3380CC4-5D6E-409C-BE32-E72D297353CC}">
              <c16:uniqueId val="{00000000-5039-4315-BF34-A29F93BE8CFF}"/>
            </c:ext>
          </c:extLst>
        </c:ser>
        <c:dLbls>
          <c:showLegendKey val="0"/>
          <c:showVal val="0"/>
          <c:showCatName val="0"/>
          <c:showSerName val="0"/>
          <c:showPercent val="0"/>
          <c:showBubbleSize val="0"/>
        </c:dLbls>
        <c:gapWidth val="150"/>
        <c:axId val="299798704"/>
        <c:axId val="299799096"/>
      </c:barChart>
      <c:lineChart>
        <c:grouping val="standard"/>
        <c:varyColors val="0"/>
        <c:ser>
          <c:idx val="1"/>
          <c:order val="1"/>
          <c:tx>
            <c:v>Max</c:v>
          </c:tx>
          <c:spPr>
            <a:ln w="12700">
              <a:solidFill>
                <a:schemeClr val="tx1"/>
              </a:solidFill>
            </a:ln>
          </c:spPr>
          <c:marker>
            <c:symbol val="none"/>
          </c:marker>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'SP02'!$AI$3:$AI$176</c:f>
              <c:numCache>
                <c:formatCode>0.00</c:formatCode>
                <c:ptCount val="174"/>
                <c:pt idx="0">
                  <c:v>4.6989999999999998</c:v>
                </c:pt>
                <c:pt idx="1">
                  <c:v>6.1920000000000002</c:v>
                </c:pt>
                <c:pt idx="2">
                  <c:v>11.952</c:v>
                </c:pt>
                <c:pt idx="3">
                  <c:v>5.22</c:v>
                </c:pt>
                <c:pt idx="4">
                  <c:v>5.758</c:v>
                </c:pt>
                <c:pt idx="5">
                  <c:v>5.4770000000000003</c:v>
                </c:pt>
                <c:pt idx="6">
                  <c:v>5.274</c:v>
                </c:pt>
                <c:pt idx="7">
                  <c:v>11.457000000000001</c:v>
                </c:pt>
                <c:pt idx="8">
                  <c:v>9.7929999999999993</c:v>
                </c:pt>
                <c:pt idx="9">
                  <c:v>7.4790000000000001</c:v>
                </c:pt>
                <c:pt idx="10">
                  <c:v>7.2619999999999996</c:v>
                </c:pt>
                <c:pt idx="11">
                  <c:v>6.3970000000000002</c:v>
                </c:pt>
                <c:pt idx="12">
                  <c:v>3.863</c:v>
                </c:pt>
                <c:pt idx="13">
                  <c:v>8.0429999999999993</c:v>
                </c:pt>
                <c:pt idx="14">
                  <c:v>7.9729999999999999</c:v>
                </c:pt>
                <c:pt idx="15">
                  <c:v>5.0949999999999998</c:v>
                </c:pt>
                <c:pt idx="16">
                  <c:v>3.5760000000000001</c:v>
                </c:pt>
                <c:pt idx="17">
                  <c:v>5.2249999999999996</c:v>
                </c:pt>
                <c:pt idx="18">
                  <c:v>6.0129999999999999</c:v>
                </c:pt>
                <c:pt idx="19">
                  <c:v>11.047000000000001</c:v>
                </c:pt>
                <c:pt idx="20">
                  <c:v>11.257</c:v>
                </c:pt>
                <c:pt idx="21">
                  <c:v>9.6880000000000006</c:v>
                </c:pt>
                <c:pt idx="22">
                  <c:v>11.678000000000001</c:v>
                </c:pt>
                <c:pt idx="23">
                  <c:v>12.858000000000001</c:v>
                </c:pt>
                <c:pt idx="24">
                  <c:v>10.404</c:v>
                </c:pt>
                <c:pt idx="25">
                  <c:v>9.2349999999999994</c:v>
                </c:pt>
                <c:pt idx="26">
                  <c:v>6.7480000000000002</c:v>
                </c:pt>
                <c:pt idx="27">
                  <c:v>4.4660000000000002</c:v>
                </c:pt>
                <c:pt idx="28">
                  <c:v>9.5719999999999992</c:v>
                </c:pt>
                <c:pt idx="29">
                  <c:v>5.14</c:v>
                </c:pt>
                <c:pt idx="30">
                  <c:v>8.3119999999999994</c:v>
                </c:pt>
                <c:pt idx="31">
                  <c:v>8.6880000000000006</c:v>
                </c:pt>
                <c:pt idx="32">
                  <c:v>4.4589999999999996</c:v>
                </c:pt>
                <c:pt idx="33">
                  <c:v>4.6829999999999998</c:v>
                </c:pt>
                <c:pt idx="34">
                  <c:v>3.7320000000000002</c:v>
                </c:pt>
                <c:pt idx="35">
                  <c:v>4.1760000000000002</c:v>
                </c:pt>
                <c:pt idx="36">
                  <c:v>6.6349999999999998</c:v>
                </c:pt>
                <c:pt idx="37">
                  <c:v>5.9059999999999997</c:v>
                </c:pt>
                <c:pt idx="38">
                  <c:v>5.9889999999999999</c:v>
                </c:pt>
                <c:pt idx="39">
                  <c:v>3.7160000000000002</c:v>
                </c:pt>
                <c:pt idx="40">
                  <c:v>5.5510000000000002</c:v>
                </c:pt>
                <c:pt idx="41">
                  <c:v>7.641</c:v>
                </c:pt>
                <c:pt idx="42">
                  <c:v>6.7610000000000001</c:v>
                </c:pt>
                <c:pt idx="43">
                  <c:v>9.2989999999999995</c:v>
                </c:pt>
                <c:pt idx="44">
                  <c:v>4.7869999999999999</c:v>
                </c:pt>
                <c:pt idx="45">
                  <c:v>3.3559999999999999</c:v>
                </c:pt>
                <c:pt idx="46">
                  <c:v>3.851</c:v>
                </c:pt>
                <c:pt idx="47">
                  <c:v>5.1379999999999999</c:v>
                </c:pt>
                <c:pt idx="48">
                  <c:v>6.0140000000000002</c:v>
                </c:pt>
                <c:pt idx="49">
                  <c:v>5.0810000000000004</c:v>
                </c:pt>
                <c:pt idx="50">
                  <c:v>3.42</c:v>
                </c:pt>
                <c:pt idx="51">
                  <c:v>5.8330000000000002</c:v>
                </c:pt>
                <c:pt idx="52">
                  <c:v>3.93</c:v>
                </c:pt>
                <c:pt idx="53">
                  <c:v>3.7309999999999999</c:v>
                </c:pt>
                <c:pt idx="54">
                  <c:v>3.7130000000000001</c:v>
                </c:pt>
                <c:pt idx="55">
                  <c:v>9.2880000000000003</c:v>
                </c:pt>
                <c:pt idx="56">
                  <c:v>7.2110000000000003</c:v>
                </c:pt>
                <c:pt idx="57">
                  <c:v>4.4279999999999999</c:v>
                </c:pt>
                <c:pt idx="58">
                  <c:v>8.3740000000000006</c:v>
                </c:pt>
                <c:pt idx="59">
                  <c:v>6.1269999999999998</c:v>
                </c:pt>
                <c:pt idx="60">
                  <c:v>6.56</c:v>
                </c:pt>
                <c:pt idx="61">
                  <c:v>6.8739999999999997</c:v>
                </c:pt>
                <c:pt idx="62">
                  <c:v>10.225</c:v>
                </c:pt>
                <c:pt idx="63">
                  <c:v>8.3019999999999996</c:v>
                </c:pt>
                <c:pt idx="64">
                  <c:v>5.4729999999999999</c:v>
                </c:pt>
                <c:pt idx="65">
                  <c:v>5.0519999999999996</c:v>
                </c:pt>
                <c:pt idx="66">
                  <c:v>7.0090000000000003</c:v>
                </c:pt>
                <c:pt idx="67">
                  <c:v>9.32</c:v>
                </c:pt>
                <c:pt idx="68">
                  <c:v>5.7359999999999998</c:v>
                </c:pt>
                <c:pt idx="69">
                  <c:v>4.8659999999999997</c:v>
                </c:pt>
                <c:pt idx="70">
                  <c:v>6.016</c:v>
                </c:pt>
                <c:pt idx="71">
                  <c:v>4.5223139999999997</c:v>
                </c:pt>
                <c:pt idx="72">
                  <c:v>5.8289999999999997</c:v>
                </c:pt>
                <c:pt idx="73">
                  <c:v>3.9761009999999999</c:v>
                </c:pt>
                <c:pt idx="74">
                  <c:v>3.64236</c:v>
                </c:pt>
                <c:pt idx="75">
                  <c:v>5.0068479999999997</c:v>
                </c:pt>
                <c:pt idx="76">
                  <c:v>5.0068479999999997</c:v>
                </c:pt>
                <c:pt idx="77">
                  <c:v>8.9830000000000005</c:v>
                </c:pt>
                <c:pt idx="78">
                  <c:v>10.183</c:v>
                </c:pt>
                <c:pt idx="79">
                  <c:v>5.3019999999999996</c:v>
                </c:pt>
                <c:pt idx="80">
                  <c:v>7.2060000000000004</c:v>
                </c:pt>
                <c:pt idx="81">
                  <c:v>3.7130000000000001</c:v>
                </c:pt>
                <c:pt idx="82">
                  <c:v>7.8979999999999997</c:v>
                </c:pt>
                <c:pt idx="83">
                  <c:v>7.1289999999999996</c:v>
                </c:pt>
                <c:pt idx="84">
                  <c:v>9.4879999999999995</c:v>
                </c:pt>
                <c:pt idx="85">
                  <c:v>10.215</c:v>
                </c:pt>
                <c:pt idx="86">
                  <c:v>3.391</c:v>
                </c:pt>
                <c:pt idx="87">
                  <c:v>4.351</c:v>
                </c:pt>
                <c:pt idx="88">
                  <c:v>4.8780000000000001</c:v>
                </c:pt>
                <c:pt idx="89">
                  <c:v>6.4340000000000002</c:v>
                </c:pt>
                <c:pt idx="90">
                  <c:v>8.6460000000000008</c:v>
                </c:pt>
                <c:pt idx="91">
                  <c:v>6.0720000000000001</c:v>
                </c:pt>
                <c:pt idx="92">
                  <c:v>8.157</c:v>
                </c:pt>
                <c:pt idx="93">
                  <c:v>6.0529999999999999</c:v>
                </c:pt>
                <c:pt idx="94">
                  <c:v>8.2810000000000006</c:v>
                </c:pt>
                <c:pt idx="95">
                  <c:v>10.340999999999999</c:v>
                </c:pt>
                <c:pt idx="96">
                  <c:v>6.18</c:v>
                </c:pt>
                <c:pt idx="97">
                  <c:v>5.5860000000000003</c:v>
                </c:pt>
                <c:pt idx="98">
                  <c:v>6.9279999999999999</c:v>
                </c:pt>
                <c:pt idx="99">
                  <c:v>9.0670000000000002</c:v>
                </c:pt>
                <c:pt idx="100">
                  <c:v>13.016</c:v>
                </c:pt>
                <c:pt idx="101">
                  <c:v>10.92</c:v>
                </c:pt>
                <c:pt idx="102">
                  <c:v>11.068</c:v>
                </c:pt>
                <c:pt idx="103">
                  <c:v>10.067</c:v>
                </c:pt>
                <c:pt idx="104">
                  <c:v>8.8350000000000009</c:v>
                </c:pt>
                <c:pt idx="105">
                  <c:v>5.9550000000000001</c:v>
                </c:pt>
                <c:pt idx="106">
                  <c:v>8.0470000000000006</c:v>
                </c:pt>
                <c:pt idx="107">
                  <c:v>8.8140000000000001</c:v>
                </c:pt>
                <c:pt idx="108">
                  <c:v>4.01</c:v>
                </c:pt>
                <c:pt idx="109">
                  <c:v>4.7</c:v>
                </c:pt>
                <c:pt idx="110">
                  <c:v>5.077</c:v>
                </c:pt>
                <c:pt idx="111">
                  <c:v>8.7609999999999992</c:v>
                </c:pt>
                <c:pt idx="112">
                  <c:v>4.4720000000000004</c:v>
                </c:pt>
                <c:pt idx="113">
                  <c:v>6.4619999999999997</c:v>
                </c:pt>
                <c:pt idx="114">
                  <c:v>8.1180000000000003</c:v>
                </c:pt>
                <c:pt idx="115">
                  <c:v>7.319</c:v>
                </c:pt>
                <c:pt idx="116">
                  <c:v>6.9240000000000004</c:v>
                </c:pt>
                <c:pt idx="117">
                  <c:v>4.0179999999999998</c:v>
                </c:pt>
                <c:pt idx="118">
                  <c:v>6.1689999999999996</c:v>
                </c:pt>
                <c:pt idx="119">
                  <c:v>4.3109999999999999</c:v>
                </c:pt>
                <c:pt idx="120">
                  <c:v>5.0659999999999998</c:v>
                </c:pt>
                <c:pt idx="121">
                  <c:v>8.0220000000000002</c:v>
                </c:pt>
                <c:pt idx="122">
                  <c:v>5.0119999999999996</c:v>
                </c:pt>
                <c:pt idx="123">
                  <c:v>9.3719999999999999</c:v>
                </c:pt>
                <c:pt idx="124">
                  <c:v>8.7509999999999994</c:v>
                </c:pt>
                <c:pt idx="125">
                  <c:v>6.585</c:v>
                </c:pt>
                <c:pt idx="126">
                  <c:v>4.407</c:v>
                </c:pt>
                <c:pt idx="127">
                  <c:v>8.5609999999999999</c:v>
                </c:pt>
                <c:pt idx="128">
                  <c:v>9.3829999999999991</c:v>
                </c:pt>
                <c:pt idx="129">
                  <c:v>4.72</c:v>
                </c:pt>
                <c:pt idx="130">
                  <c:v>4.665</c:v>
                </c:pt>
                <c:pt idx="131">
                  <c:v>5.7530000000000001</c:v>
                </c:pt>
                <c:pt idx="132">
                  <c:v>5.532</c:v>
                </c:pt>
                <c:pt idx="133">
                  <c:v>4.3639999999999999</c:v>
                </c:pt>
                <c:pt idx="134">
                  <c:v>7.06</c:v>
                </c:pt>
                <c:pt idx="135">
                  <c:v>9.6669999999999998</c:v>
                </c:pt>
                <c:pt idx="136">
                  <c:v>9.2669999999999995</c:v>
                </c:pt>
                <c:pt idx="137">
                  <c:v>5.7489999999999997</c:v>
                </c:pt>
                <c:pt idx="138">
                  <c:v>4.7750000000000004</c:v>
                </c:pt>
                <c:pt idx="139">
                  <c:v>6.4779999999999998</c:v>
                </c:pt>
                <c:pt idx="140">
                  <c:v>8.4979999999999993</c:v>
                </c:pt>
                <c:pt idx="141">
                  <c:v>9.8360000000000003</c:v>
                </c:pt>
                <c:pt idx="142">
                  <c:v>8.0180000000000007</c:v>
                </c:pt>
                <c:pt idx="143">
                  <c:v>7.1180000000000003</c:v>
                </c:pt>
                <c:pt idx="144">
                  <c:v>5.8310000000000004</c:v>
                </c:pt>
                <c:pt idx="145">
                  <c:v>4.1909999999999998</c:v>
                </c:pt>
                <c:pt idx="146">
                  <c:v>3.867</c:v>
                </c:pt>
                <c:pt idx="147">
                  <c:v>4.6529999999999996</c:v>
                </c:pt>
                <c:pt idx="148">
                  <c:v>4.3710000000000004</c:v>
                </c:pt>
                <c:pt idx="149">
                  <c:v>3.7759999999999998</c:v>
                </c:pt>
                <c:pt idx="150">
                  <c:v>5.3730000000000002</c:v>
                </c:pt>
                <c:pt idx="151">
                  <c:v>6.4710000000000001</c:v>
                </c:pt>
                <c:pt idx="152">
                  <c:v>6.9429999999999996</c:v>
                </c:pt>
                <c:pt idx="153">
                  <c:v>4.7720000000000002</c:v>
                </c:pt>
                <c:pt idx="154">
                  <c:v>6.1050000000000004</c:v>
                </c:pt>
                <c:pt idx="155">
                  <c:v>7.2350000000000003</c:v>
                </c:pt>
                <c:pt idx="156">
                  <c:v>5.774</c:v>
                </c:pt>
                <c:pt idx="157">
                  <c:v>11.298999999999999</c:v>
                </c:pt>
                <c:pt idx="158">
                  <c:v>9.8569999999999993</c:v>
                </c:pt>
                <c:pt idx="159">
                  <c:v>8.8350000000000009</c:v>
                </c:pt>
                <c:pt idx="160">
                  <c:v>8.8249999999999993</c:v>
                </c:pt>
                <c:pt idx="161">
                  <c:v>5.2750000000000004</c:v>
                </c:pt>
                <c:pt idx="162">
                  <c:v>9.1620000000000008</c:v>
                </c:pt>
                <c:pt idx="163">
                  <c:v>6.5540000000000003</c:v>
                </c:pt>
                <c:pt idx="164">
                  <c:v>6.2939999999999996</c:v>
                </c:pt>
                <c:pt idx="165">
                  <c:v>8.5190000000000001</c:v>
                </c:pt>
                <c:pt idx="166">
                  <c:v>4.2140000000000004</c:v>
                </c:pt>
                <c:pt idx="167">
                  <c:v>7.5640000000000001</c:v>
                </c:pt>
                <c:pt idx="168">
                  <c:v>8.125</c:v>
                </c:pt>
                <c:pt idx="169">
                  <c:v>7.3049999999999997</c:v>
                </c:pt>
                <c:pt idx="170">
                  <c:v>7.9169999999999998</c:v>
                </c:pt>
                <c:pt idx="171">
                  <c:v>4.3609999999999998</c:v>
                </c:pt>
                <c:pt idx="172">
                  <c:v>6.3339999999999996</c:v>
                </c:pt>
                <c:pt idx="173">
                  <c:v>6.6929999999999996</c:v>
                </c:pt>
              </c:numCache>
            </c:numRef>
          </c:val>
          <c:smooth val="0"/>
          <c:extLst>
            <c:ext xmlns:c16="http://schemas.microsoft.com/office/drawing/2014/chart" uri="{C3380CC4-5D6E-409C-BE32-E72D297353CC}">
              <c16:uniqueId val="{00000001-5039-4315-BF34-A29F93BE8CFF}"/>
            </c:ext>
          </c:extLst>
        </c:ser>
        <c:dLbls>
          <c:showLegendKey val="0"/>
          <c:showVal val="0"/>
          <c:showCatName val="0"/>
          <c:showSerName val="0"/>
          <c:showPercent val="0"/>
          <c:showBubbleSize val="0"/>
        </c:dLbls>
        <c:marker val="1"/>
        <c:smooth val="0"/>
        <c:axId val="299798704"/>
        <c:axId val="299799096"/>
      </c:lineChart>
      <c:dateAx>
        <c:axId val="299798704"/>
        <c:scaling>
          <c:orientation val="minMax"/>
        </c:scaling>
        <c:delete val="0"/>
        <c:axPos val="b"/>
        <c:numFmt formatCode="[$-409]d\-mmm;@"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9799096"/>
        <c:crosses val="autoZero"/>
        <c:auto val="1"/>
        <c:lblOffset val="100"/>
        <c:baseTimeUnit val="days"/>
        <c:majorUnit val="30.6"/>
      </c:dateAx>
      <c:valAx>
        <c:axId val="299799096"/>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US"/>
                  <a:t>Wind Speed</a:t>
                </a:r>
              </a:p>
              <a:p>
                <a:pPr>
                  <a:defRPr sz="1000" b="0" i="0" u="none" strike="noStrike" baseline="0">
                    <a:solidFill>
                      <a:srgbClr val="000000"/>
                    </a:solidFill>
                    <a:latin typeface="Arial"/>
                    <a:ea typeface="Arial"/>
                    <a:cs typeface="Arial"/>
                  </a:defRPr>
                </a:pPr>
                <a:r>
                  <a:rPr lang="en-US"/>
                  <a:t> (m s</a:t>
                </a:r>
                <a:r>
                  <a:rPr lang="en-US" baseline="30000"/>
                  <a:t>-1</a:t>
                </a:r>
                <a:r>
                  <a:rPr lang="en-US"/>
                  <a:t>)</a:t>
                </a:r>
              </a:p>
            </c:rich>
          </c:tx>
          <c:layout>
            <c:manualLayout>
              <c:xMode val="edge"/>
              <c:yMode val="edge"/>
              <c:x val="9.7358099051311556E-3"/>
              <c:y val="0.1205932705385244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9798704"/>
        <c:crosses val="autoZero"/>
        <c:crossBetween val="between"/>
        <c:majorUnit val="2"/>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0088218139398"/>
          <c:y val="2.5867964421114026E-2"/>
          <c:w val="0.83271525955088943"/>
          <c:h val="0.94826407115777189"/>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SUM!$V$5:$V$24</c:f>
              <c:numCache>
                <c:formatCode>0.0</c:formatCode>
                <c:ptCount val="20"/>
                <c:pt idx="0">
                  <c:v>16.008504184594223</c:v>
                </c:pt>
                <c:pt idx="1">
                  <c:v>-3.641134114293763</c:v>
                </c:pt>
                <c:pt idx="2">
                  <c:v>-0.48743717919114005</c:v>
                </c:pt>
                <c:pt idx="3">
                  <c:v>7.6947677471713938</c:v>
                </c:pt>
                <c:pt idx="4">
                  <c:v>-6.7678228301256169</c:v>
                </c:pt>
                <c:pt idx="5">
                  <c:v>-16.198369158084933</c:v>
                </c:pt>
                <c:pt idx="6">
                  <c:v>4.8503199168461535</c:v>
                </c:pt>
                <c:pt idx="7">
                  <c:v>-3.8573361149032408</c:v>
                </c:pt>
                <c:pt idx="8">
                  <c:v>3.2862487186862452</c:v>
                </c:pt>
                <c:pt idx="9">
                  <c:v>12.255888738938367</c:v>
                </c:pt>
                <c:pt idx="10">
                  <c:v>17.622653263726022</c:v>
                </c:pt>
                <c:pt idx="11">
                  <c:v>3.6349121691006765</c:v>
                </c:pt>
                <c:pt idx="12">
                  <c:v>78.079922973729623</c:v>
                </c:pt>
                <c:pt idx="13">
                  <c:v>21.351232503276592</c:v>
                </c:pt>
                <c:pt idx="14">
                  <c:v>19.711404835320831</c:v>
                </c:pt>
                <c:pt idx="15">
                  <c:v>29.545122867355559</c:v>
                </c:pt>
                <c:pt idx="16">
                  <c:v>10.660415277523278</c:v>
                </c:pt>
                <c:pt idx="17">
                  <c:v>70.067770851702392</c:v>
                </c:pt>
                <c:pt idx="18">
                  <c:v>65.941564391692424</c:v>
                </c:pt>
                <c:pt idx="19">
                  <c:v>41.461323140956075</c:v>
                </c:pt>
              </c:numCache>
            </c:numRef>
          </c:val>
          <c:extLst>
            <c:ext xmlns:c16="http://schemas.microsoft.com/office/drawing/2014/chart" uri="{C3380CC4-5D6E-409C-BE32-E72D297353CC}">
              <c16:uniqueId val="{00000000-C7FF-445D-9670-4F3B99E16E30}"/>
            </c:ext>
          </c:extLst>
        </c:ser>
        <c:dLbls>
          <c:showLegendKey val="0"/>
          <c:showVal val="0"/>
          <c:showCatName val="0"/>
          <c:showSerName val="0"/>
          <c:showPercent val="0"/>
          <c:showBubbleSize val="0"/>
        </c:dLbls>
        <c:gapWidth val="260"/>
        <c:overlap val="1"/>
        <c:axId val="266532152"/>
        <c:axId val="266531760"/>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1-52D8-4B90-959D-C2B729B125AA}"/>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SUM!$S$5:$S$24</c:f>
              <c:numCache>
                <c:formatCode>0.0</c:formatCode>
                <c:ptCount val="20"/>
                <c:pt idx="0">
                  <c:v>27.784532667798814</c:v>
                </c:pt>
                <c:pt idx="1">
                  <c:v>18.56867561281663</c:v>
                </c:pt>
                <c:pt idx="2">
                  <c:v>16.024475627164986</c:v>
                </c:pt>
                <c:pt idx="3">
                  <c:v>22.274804945494843</c:v>
                </c:pt>
                <c:pt idx="4">
                  <c:v>12.574866015192491</c:v>
                </c:pt>
                <c:pt idx="5">
                  <c:v>16.429161624580058</c:v>
                </c:pt>
                <c:pt idx="6">
                  <c:v>25.702339142750848</c:v>
                </c:pt>
                <c:pt idx="7">
                  <c:v>23.100095066541261</c:v>
                </c:pt>
                <c:pt idx="8">
                  <c:v>40.111352456689104</c:v>
                </c:pt>
                <c:pt idx="9">
                  <c:v>28.200084082059689</c:v>
                </c:pt>
                <c:pt idx="10">
                  <c:v>31.884519272744924</c:v>
                </c:pt>
                <c:pt idx="11">
                  <c:v>32.100988520952441</c:v>
                </c:pt>
                <c:pt idx="12">
                  <c:v>110.23887609264591</c:v>
                </c:pt>
                <c:pt idx="13">
                  <c:v>57.180242258255547</c:v>
                </c:pt>
                <c:pt idx="14">
                  <c:v>37.246575193481505</c:v>
                </c:pt>
                <c:pt idx="15">
                  <c:v>71.733855873394333</c:v>
                </c:pt>
                <c:pt idx="16">
                  <c:v>39.815806972800878</c:v>
                </c:pt>
                <c:pt idx="17">
                  <c:v>71.797053293355802</c:v>
                </c:pt>
                <c:pt idx="18">
                  <c:v>110.542645890279</c:v>
                </c:pt>
                <c:pt idx="19">
                  <c:v>49.266298599069685</c:v>
                </c:pt>
              </c:numCache>
            </c:numRef>
          </c:val>
          <c:smooth val="0"/>
          <c:extLst>
            <c:ext xmlns:c16="http://schemas.microsoft.com/office/drawing/2014/chart" uri="{C3380CC4-5D6E-409C-BE32-E72D297353CC}">
              <c16:uniqueId val="{00000001-6D44-446C-99F6-8CCDE8B7857C}"/>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3-52D8-4B90-959D-C2B729B125AA}"/>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SUM!$T$5:$T$24</c:f>
              <c:numCache>
                <c:formatCode>0.0</c:formatCode>
                <c:ptCount val="20"/>
                <c:pt idx="0">
                  <c:v>-11.776028483204591</c:v>
                </c:pt>
                <c:pt idx="1">
                  <c:v>-22.209809727110393</c:v>
                </c:pt>
                <c:pt idx="2">
                  <c:v>-16.511912806356126</c:v>
                </c:pt>
                <c:pt idx="3">
                  <c:v>-14.580037198323449</c:v>
                </c:pt>
                <c:pt idx="4">
                  <c:v>-19.342688845318108</c:v>
                </c:pt>
                <c:pt idx="5">
                  <c:v>-32.627530782664991</c:v>
                </c:pt>
                <c:pt idx="6">
                  <c:v>-20.852019225904694</c:v>
                </c:pt>
                <c:pt idx="7">
                  <c:v>-26.957431181444502</c:v>
                </c:pt>
                <c:pt idx="8">
                  <c:v>-36.825103738002859</c:v>
                </c:pt>
                <c:pt idx="9">
                  <c:v>-15.944195343121322</c:v>
                </c:pt>
                <c:pt idx="10">
                  <c:v>-14.261866009018904</c:v>
                </c:pt>
                <c:pt idx="11">
                  <c:v>-28.466076351851765</c:v>
                </c:pt>
                <c:pt idx="12">
                  <c:v>-32.158953118916294</c:v>
                </c:pt>
                <c:pt idx="13">
                  <c:v>-35.829009754978955</c:v>
                </c:pt>
                <c:pt idx="14">
                  <c:v>-17.535170358160673</c:v>
                </c:pt>
                <c:pt idx="15">
                  <c:v>-42.188733006038774</c:v>
                </c:pt>
                <c:pt idx="16">
                  <c:v>-29.155391695277601</c:v>
                </c:pt>
                <c:pt idx="17">
                  <c:v>-1.7292824416534067</c:v>
                </c:pt>
                <c:pt idx="18">
                  <c:v>-44.601081498586574</c:v>
                </c:pt>
                <c:pt idx="19">
                  <c:v>-7.8049754581136126</c:v>
                </c:pt>
              </c:numCache>
            </c:numRef>
          </c:val>
          <c:smooth val="0"/>
          <c:extLst>
            <c:ext xmlns:c16="http://schemas.microsoft.com/office/drawing/2014/chart" uri="{C3380CC4-5D6E-409C-BE32-E72D297353CC}">
              <c16:uniqueId val="{00000000-6D44-446C-99F6-8CCDE8B7857C}"/>
            </c:ext>
          </c:extLst>
        </c:ser>
        <c:dLbls>
          <c:showLegendKey val="0"/>
          <c:showVal val="0"/>
          <c:showCatName val="0"/>
          <c:showSerName val="0"/>
          <c:showPercent val="0"/>
          <c:showBubbleSize val="0"/>
        </c:dLbls>
        <c:marker val="1"/>
        <c:smooth val="0"/>
        <c:axId val="266530976"/>
        <c:axId val="266531368"/>
      </c:lineChart>
      <c:scatterChart>
        <c:scatterStyle val="lineMarker"/>
        <c:varyColors val="0"/>
        <c:ser>
          <c:idx val="2"/>
          <c:order val="3"/>
          <c:tx>
            <c:v>Zero</c:v>
          </c:tx>
          <c:spPr>
            <a:ln w="6350">
              <a:solidFill>
                <a:sysClr val="windowText" lastClr="000000"/>
              </a:solidFill>
              <a:prstDash val="solid"/>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2-6D44-446C-99F6-8CCDE8B7857C}"/>
            </c:ext>
          </c:extLst>
        </c:ser>
        <c:dLbls>
          <c:showLegendKey val="0"/>
          <c:showVal val="0"/>
          <c:showCatName val="0"/>
          <c:showSerName val="0"/>
          <c:showPercent val="0"/>
          <c:showBubbleSize val="0"/>
        </c:dLbls>
        <c:axId val="266532152"/>
        <c:axId val="266531760"/>
      </c:scatterChart>
      <c:dateAx>
        <c:axId val="266530976"/>
        <c:scaling>
          <c:orientation val="minMax"/>
          <c:max val="41548"/>
          <c:min val="41365"/>
        </c:scaling>
        <c:delete val="0"/>
        <c:axPos val="b"/>
        <c:numFmt formatCode="mmm" sourceLinked="0"/>
        <c:majorTickMark val="out"/>
        <c:minorTickMark val="none"/>
        <c:tickLblPos val="none"/>
        <c:spPr>
          <a:ln>
            <a:solidFill>
              <a:schemeClr val="tx1"/>
            </a:solidFill>
          </a:ln>
        </c:spPr>
        <c:crossAx val="266531368"/>
        <c:crossesAt val="-300"/>
        <c:auto val="1"/>
        <c:lblOffset val="100"/>
        <c:baseTimeUnit val="days"/>
        <c:majorUnit val="1"/>
        <c:majorTimeUnit val="months"/>
      </c:dateAx>
      <c:valAx>
        <c:axId val="266531368"/>
        <c:scaling>
          <c:orientation val="minMax"/>
          <c:max val="150"/>
          <c:min val="-100"/>
        </c:scaling>
        <c:delete val="0"/>
        <c:axPos val="l"/>
        <c:title>
          <c:tx>
            <c:rich>
              <a:bodyPr/>
              <a:lstStyle/>
              <a:p>
                <a:pPr>
                  <a:defRPr b="0"/>
                </a:pPr>
                <a:r>
                  <a:rPr lang="en-US" b="0"/>
                  <a:t>Water Column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266530976"/>
        <c:crosses val="autoZero"/>
        <c:crossBetween val="between"/>
        <c:majorUnit val="50"/>
      </c:valAx>
      <c:valAx>
        <c:axId val="266531760"/>
        <c:scaling>
          <c:orientation val="minMax"/>
          <c:max val="150"/>
          <c:min val="-100"/>
        </c:scaling>
        <c:delete val="0"/>
        <c:axPos val="r"/>
        <c:numFmt formatCode="0.0" sourceLinked="1"/>
        <c:majorTickMark val="out"/>
        <c:minorTickMark val="none"/>
        <c:tickLblPos val="none"/>
        <c:spPr>
          <a:ln>
            <a:solidFill>
              <a:schemeClr val="tx1"/>
            </a:solidFill>
          </a:ln>
        </c:spPr>
        <c:crossAx val="266532152"/>
        <c:crosses val="max"/>
        <c:crossBetween val="between"/>
        <c:majorUnit val="50"/>
      </c:valAx>
      <c:catAx>
        <c:axId val="266532152"/>
        <c:scaling>
          <c:orientation val="minMax"/>
        </c:scaling>
        <c:delete val="1"/>
        <c:axPos val="b"/>
        <c:numFmt formatCode="m/d/yy;@" sourceLinked="1"/>
        <c:majorTickMark val="out"/>
        <c:minorTickMark val="none"/>
        <c:tickLblPos val="nextTo"/>
        <c:crossAx val="266531760"/>
        <c:crosses val="autoZero"/>
        <c:auto val="0"/>
        <c:lblAlgn val="ctr"/>
        <c:lblOffset val="100"/>
        <c:noMultiLvlLbl val="1"/>
      </c:catAx>
      <c:spPr>
        <a:ln>
          <a:solidFill>
            <a:sysClr val="windowText" lastClr="000000"/>
          </a:solidFill>
        </a:ln>
      </c:spPr>
    </c:plotArea>
    <c:legend>
      <c:legendPos val="r"/>
      <c:legendEntry>
        <c:idx val="3"/>
        <c:delete val="1"/>
      </c:legendEntry>
      <c:layout>
        <c:manualLayout>
          <c:xMode val="edge"/>
          <c:yMode val="edge"/>
          <c:x val="0.21932943277923589"/>
          <c:y val="0.10222258675998834"/>
          <c:w val="0.23023148148148148"/>
          <c:h val="0.23355467011263711"/>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2.5867964421114026E-2"/>
          <c:w val="0.83271525955088943"/>
          <c:h val="0.88750364537766113"/>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SUM!$V$25:$V$44</c:f>
              <c:numCache>
                <c:formatCode>0.0</c:formatCode>
                <c:ptCount val="20"/>
                <c:pt idx="0">
                  <c:v>46.891071187843856</c:v>
                </c:pt>
                <c:pt idx="1">
                  <c:v>-32.168568868961522</c:v>
                </c:pt>
                <c:pt idx="2">
                  <c:v>12.093370802933677</c:v>
                </c:pt>
                <c:pt idx="3">
                  <c:v>-6.5894875903094317</c:v>
                </c:pt>
                <c:pt idx="4">
                  <c:v>32.218997972168935</c:v>
                </c:pt>
                <c:pt idx="5">
                  <c:v>-44.210920411093582</c:v>
                </c:pt>
                <c:pt idx="6">
                  <c:v>42.022392977768575</c:v>
                </c:pt>
                <c:pt idx="7">
                  <c:v>-16.707514985053763</c:v>
                </c:pt>
                <c:pt idx="8">
                  <c:v>43.527385282312224</c:v>
                </c:pt>
                <c:pt idx="9">
                  <c:v>17.198685282312212</c:v>
                </c:pt>
                <c:pt idx="10">
                  <c:v>91.189393241780067</c:v>
                </c:pt>
                <c:pt idx="11">
                  <c:v>-19.162177886629706</c:v>
                </c:pt>
                <c:pt idx="12">
                  <c:v>160.72190665849726</c:v>
                </c:pt>
                <c:pt idx="13">
                  <c:v>6.5799635399212946</c:v>
                </c:pt>
                <c:pt idx="14">
                  <c:v>20.963888655669344</c:v>
                </c:pt>
                <c:pt idx="15">
                  <c:v>4.926526018718711</c:v>
                </c:pt>
                <c:pt idx="16">
                  <c:v>-140.57918680174737</c:v>
                </c:pt>
                <c:pt idx="17">
                  <c:v>529.20597608932985</c:v>
                </c:pt>
                <c:pt idx="18">
                  <c:v>266.16970087563874</c:v>
                </c:pt>
                <c:pt idx="19">
                  <c:v>156.6811141855498</c:v>
                </c:pt>
              </c:numCache>
            </c:numRef>
          </c:val>
          <c:extLst>
            <c:ext xmlns:c16="http://schemas.microsoft.com/office/drawing/2014/chart" uri="{C3380CC4-5D6E-409C-BE32-E72D297353CC}">
              <c16:uniqueId val="{00000000-C7FF-445D-9670-4F3B99E16E30}"/>
            </c:ext>
          </c:extLst>
        </c:ser>
        <c:dLbls>
          <c:showLegendKey val="0"/>
          <c:showVal val="0"/>
          <c:showCatName val="0"/>
          <c:showSerName val="0"/>
          <c:showPercent val="0"/>
          <c:showBubbleSize val="0"/>
        </c:dLbls>
        <c:gapWidth val="260"/>
        <c:overlap val="1"/>
        <c:axId val="266534112"/>
        <c:axId val="266533720"/>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1-52D8-4B90-959D-C2B729B125AA}"/>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SUM!$S$25:$S$44</c:f>
              <c:numCache>
                <c:formatCode>0.0</c:formatCode>
                <c:ptCount val="20"/>
                <c:pt idx="0">
                  <c:v>84.746099073330939</c:v>
                </c:pt>
                <c:pt idx="1">
                  <c:v>45.991972162386652</c:v>
                </c:pt>
                <c:pt idx="2">
                  <c:v>63.928579999999997</c:v>
                </c:pt>
                <c:pt idx="3">
                  <c:v>65.185540000000003</c:v>
                </c:pt>
                <c:pt idx="4">
                  <c:v>105.72662</c:v>
                </c:pt>
                <c:pt idx="5">
                  <c:v>50.694040000000001</c:v>
                </c:pt>
                <c:pt idx="6">
                  <c:v>90.947199999999995</c:v>
                </c:pt>
                <c:pt idx="7">
                  <c:v>65.047849999999997</c:v>
                </c:pt>
                <c:pt idx="8">
                  <c:v>141.61884000000001</c:v>
                </c:pt>
                <c:pt idx="9">
                  <c:v>115.29013999999999</c:v>
                </c:pt>
                <c:pt idx="10">
                  <c:v>198.14718999999999</c:v>
                </c:pt>
                <c:pt idx="11">
                  <c:v>58.857230000000001</c:v>
                </c:pt>
                <c:pt idx="12">
                  <c:v>244.64127999999999</c:v>
                </c:pt>
                <c:pt idx="13">
                  <c:v>111.83781</c:v>
                </c:pt>
                <c:pt idx="14">
                  <c:v>65.535889999999995</c:v>
                </c:pt>
                <c:pt idx="15">
                  <c:v>60.215060000000001</c:v>
                </c:pt>
                <c:pt idx="16">
                  <c:v>68.688079999999999</c:v>
                </c:pt>
                <c:pt idx="17">
                  <c:v>669.90070000000003</c:v>
                </c:pt>
                <c:pt idx="18">
                  <c:v>302.64161999999999</c:v>
                </c:pt>
                <c:pt idx="19">
                  <c:v>194.71681000000001</c:v>
                </c:pt>
              </c:numCache>
            </c:numRef>
          </c:val>
          <c:smooth val="0"/>
          <c:extLst>
            <c:ext xmlns:c16="http://schemas.microsoft.com/office/drawing/2014/chart" uri="{C3380CC4-5D6E-409C-BE32-E72D297353CC}">
              <c16:uniqueId val="{00000001-6D44-446C-99F6-8CCDE8B7857C}"/>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3-52D8-4B90-959D-C2B729B125AA}"/>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SUM!$T$25:$T$44</c:f>
              <c:numCache>
                <c:formatCode>0.0</c:formatCode>
                <c:ptCount val="20"/>
                <c:pt idx="0">
                  <c:v>-37.855027885487083</c:v>
                </c:pt>
                <c:pt idx="1">
                  <c:v>-78.160541031348174</c:v>
                </c:pt>
                <c:pt idx="2">
                  <c:v>-51.83520919706632</c:v>
                </c:pt>
                <c:pt idx="3">
                  <c:v>-71.775027590309435</c:v>
                </c:pt>
                <c:pt idx="4">
                  <c:v>-73.507622027831061</c:v>
                </c:pt>
                <c:pt idx="5">
                  <c:v>-94.904960411093583</c:v>
                </c:pt>
                <c:pt idx="6">
                  <c:v>-48.92480702223142</c:v>
                </c:pt>
                <c:pt idx="7">
                  <c:v>-81.75536498505376</c:v>
                </c:pt>
                <c:pt idx="8">
                  <c:v>-98.091454717687782</c:v>
                </c:pt>
                <c:pt idx="9">
                  <c:v>-98.091454717687782</c:v>
                </c:pt>
                <c:pt idx="10">
                  <c:v>-106.95779675821993</c:v>
                </c:pt>
                <c:pt idx="11">
                  <c:v>-78.019407886629708</c:v>
                </c:pt>
                <c:pt idx="12">
                  <c:v>-83.919373341502734</c:v>
                </c:pt>
                <c:pt idx="13">
                  <c:v>-105.25784646007871</c:v>
                </c:pt>
                <c:pt idx="14">
                  <c:v>-44.572001344330651</c:v>
                </c:pt>
                <c:pt idx="15">
                  <c:v>-55.28853398128129</c:v>
                </c:pt>
                <c:pt idx="16">
                  <c:v>-209.26726680174735</c:v>
                </c:pt>
                <c:pt idx="17">
                  <c:v>-140.69472391067012</c:v>
                </c:pt>
                <c:pt idx="18">
                  <c:v>-36.471919124361264</c:v>
                </c:pt>
                <c:pt idx="19">
                  <c:v>-38.0356958144502</c:v>
                </c:pt>
              </c:numCache>
            </c:numRef>
          </c:val>
          <c:smooth val="0"/>
          <c:extLst>
            <c:ext xmlns:c16="http://schemas.microsoft.com/office/drawing/2014/chart" uri="{C3380CC4-5D6E-409C-BE32-E72D297353CC}">
              <c16:uniqueId val="{00000000-6D44-446C-99F6-8CCDE8B7857C}"/>
            </c:ext>
          </c:extLst>
        </c:ser>
        <c:dLbls>
          <c:showLegendKey val="0"/>
          <c:showVal val="0"/>
          <c:showCatName val="0"/>
          <c:showSerName val="0"/>
          <c:showPercent val="0"/>
          <c:showBubbleSize val="0"/>
        </c:dLbls>
        <c:marker val="1"/>
        <c:smooth val="0"/>
        <c:axId val="266532936"/>
        <c:axId val="266533328"/>
      </c:lineChart>
      <c:scatterChart>
        <c:scatterStyle val="lineMarker"/>
        <c:varyColors val="0"/>
        <c:ser>
          <c:idx val="2"/>
          <c:order val="3"/>
          <c:tx>
            <c:v>Zero</c:v>
          </c:tx>
          <c:spPr>
            <a:ln w="6350">
              <a:solidFill>
                <a:sysClr val="windowText" lastClr="000000"/>
              </a:solidFill>
              <a:prstDash val="solid"/>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2-6D44-446C-99F6-8CCDE8B7857C}"/>
            </c:ext>
          </c:extLst>
        </c:ser>
        <c:dLbls>
          <c:showLegendKey val="0"/>
          <c:showVal val="0"/>
          <c:showCatName val="0"/>
          <c:showSerName val="0"/>
          <c:showPercent val="0"/>
          <c:showBubbleSize val="0"/>
        </c:dLbls>
        <c:axId val="266534112"/>
        <c:axId val="266533720"/>
      </c:scatterChart>
      <c:dateAx>
        <c:axId val="266532936"/>
        <c:scaling>
          <c:orientation val="minMax"/>
          <c:max val="41548"/>
          <c:min val="41365"/>
        </c:scaling>
        <c:delete val="0"/>
        <c:axPos val="b"/>
        <c:numFmt formatCode="mmm" sourceLinked="0"/>
        <c:majorTickMark val="out"/>
        <c:minorTickMark val="none"/>
        <c:tickLblPos val="nextTo"/>
        <c:spPr>
          <a:ln>
            <a:solidFill>
              <a:schemeClr val="tx1"/>
            </a:solidFill>
          </a:ln>
        </c:spPr>
        <c:crossAx val="266533328"/>
        <c:crossesAt val="-300"/>
        <c:auto val="1"/>
        <c:lblOffset val="100"/>
        <c:baseTimeUnit val="days"/>
        <c:majorUnit val="1"/>
        <c:majorTimeUnit val="months"/>
      </c:dateAx>
      <c:valAx>
        <c:axId val="266533328"/>
        <c:scaling>
          <c:orientation val="minMax"/>
          <c:max val="700"/>
          <c:min val="-300"/>
        </c:scaling>
        <c:delete val="0"/>
        <c:axPos val="l"/>
        <c:title>
          <c:tx>
            <c:rich>
              <a:bodyPr/>
              <a:lstStyle/>
              <a:p>
                <a:pPr>
                  <a:defRPr b="0"/>
                </a:pPr>
                <a:r>
                  <a:rPr lang="en-US" b="0"/>
                  <a:t>Water Column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266532936"/>
        <c:crosses val="autoZero"/>
        <c:crossBetween val="between"/>
        <c:majorUnit val="200"/>
      </c:valAx>
      <c:valAx>
        <c:axId val="266533720"/>
        <c:scaling>
          <c:orientation val="minMax"/>
          <c:max val="700"/>
          <c:min val="-300"/>
        </c:scaling>
        <c:delete val="0"/>
        <c:axPos val="r"/>
        <c:numFmt formatCode="0.0" sourceLinked="1"/>
        <c:majorTickMark val="out"/>
        <c:minorTickMark val="none"/>
        <c:tickLblPos val="none"/>
        <c:spPr>
          <a:ln>
            <a:solidFill>
              <a:schemeClr val="tx1"/>
            </a:solidFill>
          </a:ln>
        </c:spPr>
        <c:crossAx val="266534112"/>
        <c:crosses val="max"/>
        <c:crossBetween val="between"/>
        <c:majorUnit val="200"/>
      </c:valAx>
      <c:dateAx>
        <c:axId val="266534112"/>
        <c:scaling>
          <c:orientation val="minMax"/>
        </c:scaling>
        <c:delete val="1"/>
        <c:axPos val="b"/>
        <c:numFmt formatCode="m/d/yy;@" sourceLinked="1"/>
        <c:majorTickMark val="out"/>
        <c:minorTickMark val="none"/>
        <c:tickLblPos val="nextTo"/>
        <c:crossAx val="266533720"/>
        <c:crosses val="autoZero"/>
        <c:auto val="1"/>
        <c:lblOffset val="100"/>
        <c:baseTimeUnit val="days"/>
      </c:date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57136003160894"/>
          <c:y val="5.0925925925925923E-2"/>
          <c:w val="0.82950441090696991"/>
          <c:h val="0.83779308836395461"/>
        </c:manualLayout>
      </c:layout>
      <c:barChart>
        <c:barDir val="col"/>
        <c:grouping val="clustered"/>
        <c:varyColors val="0"/>
        <c:ser>
          <c:idx val="3"/>
          <c:order val="2"/>
          <c:tx>
            <c:v>Net Metabolism</c:v>
          </c:tx>
          <c:spPr>
            <a:solidFill>
              <a:schemeClr val="tx1"/>
            </a:solidFill>
            <a:ln w="3175">
              <a:solidFill>
                <a:schemeClr val="tx1"/>
              </a:solidFill>
            </a:ln>
          </c:spPr>
          <c:invertIfNegative val="0"/>
          <c:cat>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'SP01'!$Z$3:$Z$176</c:f>
              <c:numCache>
                <c:formatCode>0</c:formatCode>
                <c:ptCount val="174"/>
                <c:pt idx="3">
                  <c:v>-24.579795751787877</c:v>
                </c:pt>
                <c:pt idx="4">
                  <c:v>7.708272746862832E-2</c:v>
                </c:pt>
                <c:pt idx="5">
                  <c:v>5.4043053816537121</c:v>
                </c:pt>
                <c:pt idx="6">
                  <c:v>8.6620479997654733</c:v>
                </c:pt>
                <c:pt idx="7">
                  <c:v>13.123316362923051</c:v>
                </c:pt>
                <c:pt idx="8">
                  <c:v>6.5388238841972735</c:v>
                </c:pt>
                <c:pt idx="9">
                  <c:v>6.6505635280491093</c:v>
                </c:pt>
                <c:pt idx="10">
                  <c:v>9.4514440506507071</c:v>
                </c:pt>
                <c:pt idx="11">
                  <c:v>11.600811149941251</c:v>
                </c:pt>
                <c:pt idx="12">
                  <c:v>13.616538433636928</c:v>
                </c:pt>
                <c:pt idx="13">
                  <c:v>9.6237344944817558</c:v>
                </c:pt>
                <c:pt idx="14">
                  <c:v>4.6751212289392186</c:v>
                </c:pt>
                <c:pt idx="15">
                  <c:v>-2.7578468679158479</c:v>
                </c:pt>
                <c:pt idx="16">
                  <c:v>-2.9440946406011608</c:v>
                </c:pt>
                <c:pt idx="17">
                  <c:v>-5.9020198676293827</c:v>
                </c:pt>
                <c:pt idx="18">
                  <c:v>-6.0237124867173231</c:v>
                </c:pt>
                <c:pt idx="19">
                  <c:v>-12.779965205266391</c:v>
                </c:pt>
                <c:pt idx="20">
                  <c:v>-4.8574399816461726</c:v>
                </c:pt>
                <c:pt idx="21">
                  <c:v>-2.565561083548888</c:v>
                </c:pt>
                <c:pt idx="22">
                  <c:v>10.47815572516541</c:v>
                </c:pt>
                <c:pt idx="23">
                  <c:v>21.719287224318158</c:v>
                </c:pt>
                <c:pt idx="24">
                  <c:v>19.175959662898634</c:v>
                </c:pt>
                <c:pt idx="25">
                  <c:v>20.158590902339171</c:v>
                </c:pt>
                <c:pt idx="26">
                  <c:v>25.559536133241505</c:v>
                </c:pt>
                <c:pt idx="27">
                  <c:v>22.978425537631928</c:v>
                </c:pt>
                <c:pt idx="28">
                  <c:v>22.489705097449963</c:v>
                </c:pt>
                <c:pt idx="29">
                  <c:v>20.014626610942052</c:v>
                </c:pt>
                <c:pt idx="30">
                  <c:v>10.758472216216296</c:v>
                </c:pt>
                <c:pt idx="31">
                  <c:v>16.155681214249178</c:v>
                </c:pt>
                <c:pt idx="32">
                  <c:v>8.5827344539453936</c:v>
                </c:pt>
                <c:pt idx="33">
                  <c:v>10.374492637771704</c:v>
                </c:pt>
                <c:pt idx="34">
                  <c:v>8.1899955628079741</c:v>
                </c:pt>
                <c:pt idx="35">
                  <c:v>3.115606338471832</c:v>
                </c:pt>
                <c:pt idx="36">
                  <c:v>-6.4471632294033583</c:v>
                </c:pt>
                <c:pt idx="37">
                  <c:v>12.87735752153478</c:v>
                </c:pt>
                <c:pt idx="38">
                  <c:v>14.373346633002281</c:v>
                </c:pt>
                <c:pt idx="39">
                  <c:v>20.890030948039616</c:v>
                </c:pt>
                <c:pt idx="40">
                  <c:v>10.160939791388289</c:v>
                </c:pt>
                <c:pt idx="41">
                  <c:v>27.105320989853343</c:v>
                </c:pt>
                <c:pt idx="42">
                  <c:v>23.786950035149424</c:v>
                </c:pt>
                <c:pt idx="43">
                  <c:v>27.943666305094524</c:v>
                </c:pt>
                <c:pt idx="44">
                  <c:v>18.128854174673982</c:v>
                </c:pt>
                <c:pt idx="45">
                  <c:v>15.973608596199723</c:v>
                </c:pt>
                <c:pt idx="46">
                  <c:v>15.845727350125697</c:v>
                </c:pt>
                <c:pt idx="47">
                  <c:v>24.381136958344108</c:v>
                </c:pt>
                <c:pt idx="48">
                  <c:v>13.768656021598478</c:v>
                </c:pt>
                <c:pt idx="49">
                  <c:v>20.734306633269387</c:v>
                </c:pt>
                <c:pt idx="50">
                  <c:v>28.23564699961063</c:v>
                </c:pt>
                <c:pt idx="51">
                  <c:v>15.670151086657667</c:v>
                </c:pt>
                <c:pt idx="52">
                  <c:v>23.00126401972619</c:v>
                </c:pt>
                <c:pt idx="53">
                  <c:v>15.760989036410544</c:v>
                </c:pt>
                <c:pt idx="54">
                  <c:v>22.947828394786029</c:v>
                </c:pt>
                <c:pt idx="55">
                  <c:v>9.158480737903588</c:v>
                </c:pt>
                <c:pt idx="56">
                  <c:v>15.382897886170142</c:v>
                </c:pt>
                <c:pt idx="57">
                  <c:v>5.955514121884848</c:v>
                </c:pt>
                <c:pt idx="58">
                  <c:v>15.207883411131208</c:v>
                </c:pt>
                <c:pt idx="59">
                  <c:v>18.454953571391155</c:v>
                </c:pt>
                <c:pt idx="60">
                  <c:v>28.782085681111976</c:v>
                </c:pt>
                <c:pt idx="61">
                  <c:v>21.894103327583586</c:v>
                </c:pt>
                <c:pt idx="62">
                  <c:v>27.918814544675392</c:v>
                </c:pt>
                <c:pt idx="63">
                  <c:v>26.359356155507605</c:v>
                </c:pt>
                <c:pt idx="64">
                  <c:v>38.374903800360705</c:v>
                </c:pt>
                <c:pt idx="65">
                  <c:v>24.28507772063821</c:v>
                </c:pt>
                <c:pt idx="66">
                  <c:v>21.18313711590849</c:v>
                </c:pt>
                <c:pt idx="67">
                  <c:v>27.144902218470349</c:v>
                </c:pt>
                <c:pt idx="68">
                  <c:v>31.16648550597947</c:v>
                </c:pt>
                <c:pt idx="69">
                  <c:v>29.369321322664092</c:v>
                </c:pt>
                <c:pt idx="70">
                  <c:v>22.857917657735616</c:v>
                </c:pt>
                <c:pt idx="71">
                  <c:v>17.086551980544694</c:v>
                </c:pt>
                <c:pt idx="72">
                  <c:v>30.045284345131613</c:v>
                </c:pt>
                <c:pt idx="73">
                  <c:v>15.036388744001455</c:v>
                </c:pt>
                <c:pt idx="74">
                  <c:v>9.8454557328254939</c:v>
                </c:pt>
                <c:pt idx="75">
                  <c:v>4.48131497044246</c:v>
                </c:pt>
                <c:pt idx="76">
                  <c:v>11.72167306606371</c:v>
                </c:pt>
                <c:pt idx="77">
                  <c:v>12.91999370771787</c:v>
                </c:pt>
                <c:pt idx="93">
                  <c:v>-19.391452158702236</c:v>
                </c:pt>
                <c:pt idx="94">
                  <c:v>1.6391835605078557</c:v>
                </c:pt>
                <c:pt idx="95">
                  <c:v>-12.036958419749411</c:v>
                </c:pt>
                <c:pt idx="96">
                  <c:v>-16.420841393244299</c:v>
                </c:pt>
                <c:pt idx="97">
                  <c:v>-14.837577095952396</c:v>
                </c:pt>
                <c:pt idx="98">
                  <c:v>-15.188867163110745</c:v>
                </c:pt>
                <c:pt idx="99">
                  <c:v>-14.294494536447997</c:v>
                </c:pt>
                <c:pt idx="100">
                  <c:v>0.89312149212480862</c:v>
                </c:pt>
                <c:pt idx="101">
                  <c:v>-3.7364752148777285</c:v>
                </c:pt>
                <c:pt idx="102">
                  <c:v>-0.70596023456023305</c:v>
                </c:pt>
                <c:pt idx="103">
                  <c:v>-0.63502513787692905</c:v>
                </c:pt>
                <c:pt idx="104">
                  <c:v>5.7458147953023966</c:v>
                </c:pt>
                <c:pt idx="105">
                  <c:v>11.999506873694884</c:v>
                </c:pt>
                <c:pt idx="106">
                  <c:v>5.7391103833023873</c:v>
                </c:pt>
                <c:pt idx="107">
                  <c:v>9.361381682876722</c:v>
                </c:pt>
                <c:pt idx="108">
                  <c:v>-4.4397128277346711</c:v>
                </c:pt>
                <c:pt idx="109">
                  <c:v>3.8519507897490621</c:v>
                </c:pt>
                <c:pt idx="110">
                  <c:v>7.4240868564823739</c:v>
                </c:pt>
                <c:pt idx="111">
                  <c:v>3.1628989333114186</c:v>
                </c:pt>
                <c:pt idx="112">
                  <c:v>3.1842079227338282</c:v>
                </c:pt>
                <c:pt idx="113">
                  <c:v>2.9425828798546556</c:v>
                </c:pt>
                <c:pt idx="114">
                  <c:v>6.6128216368157249</c:v>
                </c:pt>
                <c:pt idx="115">
                  <c:v>10.533496615722555</c:v>
                </c:pt>
                <c:pt idx="116">
                  <c:v>3.5910100892709669</c:v>
                </c:pt>
                <c:pt idx="117">
                  <c:v>5.9690908331403261</c:v>
                </c:pt>
                <c:pt idx="118">
                  <c:v>3.5097412712096352</c:v>
                </c:pt>
                <c:pt idx="119">
                  <c:v>3.518954469851292</c:v>
                </c:pt>
                <c:pt idx="120">
                  <c:v>-6.9747308302772018</c:v>
                </c:pt>
                <c:pt idx="121">
                  <c:v>-18.286457031138422</c:v>
                </c:pt>
                <c:pt idx="122">
                  <c:v>-22.135308909270794</c:v>
                </c:pt>
                <c:pt idx="123">
                  <c:v>-23.81707726282772</c:v>
                </c:pt>
                <c:pt idx="124">
                  <c:v>-16.357712238954662</c:v>
                </c:pt>
                <c:pt idx="125">
                  <c:v>-6.9375462740084561</c:v>
                </c:pt>
                <c:pt idx="126">
                  <c:v>-6.9889516583725788</c:v>
                </c:pt>
                <c:pt idx="127">
                  <c:v>9.7247739778348308</c:v>
                </c:pt>
                <c:pt idx="128">
                  <c:v>14.397692779599156</c:v>
                </c:pt>
                <c:pt idx="129">
                  <c:v>18.986557693452017</c:v>
                </c:pt>
                <c:pt idx="130">
                  <c:v>17.311892626218476</c:v>
                </c:pt>
                <c:pt idx="131">
                  <c:v>1.5665901217267353</c:v>
                </c:pt>
                <c:pt idx="132">
                  <c:v>-0.98703705664831687</c:v>
                </c:pt>
                <c:pt idx="133">
                  <c:v>-5.0193825418554168</c:v>
                </c:pt>
                <c:pt idx="134">
                  <c:v>-3.648893073330695</c:v>
                </c:pt>
                <c:pt idx="135">
                  <c:v>-11.293419542988405</c:v>
                </c:pt>
                <c:pt idx="136">
                  <c:v>-2.8453583329011787</c:v>
                </c:pt>
                <c:pt idx="137">
                  <c:v>5.1405817033416907</c:v>
                </c:pt>
                <c:pt idx="138">
                  <c:v>16.087517196882853</c:v>
                </c:pt>
                <c:pt idx="139">
                  <c:v>25.982276157841476</c:v>
                </c:pt>
                <c:pt idx="140">
                  <c:v>28.790560155031123</c:v>
                </c:pt>
                <c:pt idx="141">
                  <c:v>32.301465039595278</c:v>
                </c:pt>
                <c:pt idx="142">
                  <c:v>51.777166177376024</c:v>
                </c:pt>
                <c:pt idx="143">
                  <c:v>41.590368083587123</c:v>
                </c:pt>
                <c:pt idx="144">
                  <c:v>38.614185976156612</c:v>
                </c:pt>
                <c:pt idx="145">
                  <c:v>36.992670100590239</c:v>
                </c:pt>
                <c:pt idx="146">
                  <c:v>20.429722323781977</c:v>
                </c:pt>
                <c:pt idx="147">
                  <c:v>-2.4234169245700952</c:v>
                </c:pt>
                <c:pt idx="148">
                  <c:v>6.2908576822971884</c:v>
                </c:pt>
                <c:pt idx="149">
                  <c:v>-20.984320936391157</c:v>
                </c:pt>
                <c:pt idx="150">
                  <c:v>-38.351276182550876</c:v>
                </c:pt>
                <c:pt idx="151">
                  <c:v>-42.695087414222485</c:v>
                </c:pt>
                <c:pt idx="152">
                  <c:v>-31.495428303840217</c:v>
                </c:pt>
                <c:pt idx="153">
                  <c:v>-20.281359561255368</c:v>
                </c:pt>
                <c:pt idx="154">
                  <c:v>-6.9763243965145056</c:v>
                </c:pt>
                <c:pt idx="155">
                  <c:v>-11.103007107816296</c:v>
                </c:pt>
                <c:pt idx="156">
                  <c:v>-0.18905223503912996</c:v>
                </c:pt>
                <c:pt idx="157">
                  <c:v>16.312165881002134</c:v>
                </c:pt>
                <c:pt idx="158">
                  <c:v>11.056919357254019</c:v>
                </c:pt>
                <c:pt idx="159">
                  <c:v>-5.3710577685830696</c:v>
                </c:pt>
                <c:pt idx="160">
                  <c:v>-14.352542685302113</c:v>
                </c:pt>
                <c:pt idx="161">
                  <c:v>-10.591349540163021</c:v>
                </c:pt>
                <c:pt idx="162">
                  <c:v>-28.110628800728698</c:v>
                </c:pt>
                <c:pt idx="163">
                  <c:v>-17.35529997511097</c:v>
                </c:pt>
                <c:pt idx="164">
                  <c:v>-17.243111616992614</c:v>
                </c:pt>
                <c:pt idx="165">
                  <c:v>-10.844775321792174</c:v>
                </c:pt>
                <c:pt idx="166">
                  <c:v>-7.6579560571677643</c:v>
                </c:pt>
                <c:pt idx="167">
                  <c:v>-9.011054361418859</c:v>
                </c:pt>
                <c:pt idx="168">
                  <c:v>-3.5433609538408626</c:v>
                </c:pt>
                <c:pt idx="169">
                  <c:v>-0.84365460394475833</c:v>
                </c:pt>
                <c:pt idx="170">
                  <c:v>-1.9396482128025485</c:v>
                </c:pt>
              </c:numCache>
            </c:numRef>
          </c:val>
          <c:extLst>
            <c:ext xmlns:c16="http://schemas.microsoft.com/office/drawing/2014/chart" uri="{C3380CC4-5D6E-409C-BE32-E72D297353CC}">
              <c16:uniqueId val="{00000000-C7FF-445D-9670-4F3B99E16E30}"/>
            </c:ext>
          </c:extLst>
        </c:ser>
        <c:dLbls>
          <c:showLegendKey val="0"/>
          <c:showVal val="0"/>
          <c:showCatName val="0"/>
          <c:showSerName val="0"/>
          <c:showPercent val="0"/>
          <c:showBubbleSize val="0"/>
        </c:dLbls>
        <c:gapWidth val="260"/>
        <c:overlap val="1"/>
        <c:axId val="301118584"/>
        <c:axId val="301118192"/>
      </c:barChart>
      <c:lineChart>
        <c:grouping val="standard"/>
        <c:varyColors val="0"/>
        <c:ser>
          <c:idx val="0"/>
          <c:order val="0"/>
          <c:tx>
            <c:v>Production</c:v>
          </c:tx>
          <c:spPr>
            <a:ln w="9525">
              <a:noFill/>
            </a:ln>
          </c:spPr>
          <c:marker>
            <c:symbol val="circle"/>
            <c:size val="4"/>
            <c:spPr>
              <a:solidFill>
                <a:schemeClr val="tx1"/>
              </a:solidFill>
              <a:ln>
                <a:solidFill>
                  <a:schemeClr val="tx1"/>
                </a:solidFill>
              </a:ln>
            </c:spPr>
          </c:marker>
          <c:dPt>
            <c:idx val="11"/>
            <c:bubble3D val="0"/>
            <c:extLst>
              <c:ext xmlns:c16="http://schemas.microsoft.com/office/drawing/2014/chart" uri="{C3380CC4-5D6E-409C-BE32-E72D297353CC}">
                <c16:uniqueId val="{00000001-52D8-4B90-959D-C2B729B125AA}"/>
              </c:ext>
            </c:extLst>
          </c:dPt>
          <c:cat>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'SP01'!$X$3:$X$176</c:f>
              <c:numCache>
                <c:formatCode>0.0</c:formatCode>
                <c:ptCount val="174"/>
                <c:pt idx="3">
                  <c:v>126.31215746112559</c:v>
                </c:pt>
                <c:pt idx="4">
                  <c:v>117.68961892901143</c:v>
                </c:pt>
                <c:pt idx="5">
                  <c:v>113.43083951958474</c:v>
                </c:pt>
                <c:pt idx="6">
                  <c:v>121.61486838907675</c:v>
                </c:pt>
                <c:pt idx="7">
                  <c:v>117.0512105583483</c:v>
                </c:pt>
                <c:pt idx="8">
                  <c:v>107.31894010080757</c:v>
                </c:pt>
                <c:pt idx="9">
                  <c:v>85.018233302798834</c:v>
                </c:pt>
                <c:pt idx="10">
                  <c:v>73.840177056197987</c:v>
                </c:pt>
                <c:pt idx="11">
                  <c:v>72.486481370002053</c:v>
                </c:pt>
                <c:pt idx="12">
                  <c:v>73.580545887627778</c:v>
                </c:pt>
                <c:pt idx="13">
                  <c:v>61.511095133586743</c:v>
                </c:pt>
                <c:pt idx="14">
                  <c:v>49.050469073314844</c:v>
                </c:pt>
                <c:pt idx="15">
                  <c:v>50.806978710317445</c:v>
                </c:pt>
                <c:pt idx="16">
                  <c:v>62.378500976595255</c:v>
                </c:pt>
                <c:pt idx="17">
                  <c:v>67.692442625149923</c:v>
                </c:pt>
                <c:pt idx="18">
                  <c:v>70.657319798061252</c:v>
                </c:pt>
                <c:pt idx="19">
                  <c:v>76.101658739475099</c:v>
                </c:pt>
                <c:pt idx="20">
                  <c:v>91.606386692990867</c:v>
                </c:pt>
                <c:pt idx="21">
                  <c:v>106.66171136544837</c:v>
                </c:pt>
                <c:pt idx="22">
                  <c:v>119.58466325492255</c:v>
                </c:pt>
                <c:pt idx="23">
                  <c:v>125.25839263849674</c:v>
                </c:pt>
                <c:pt idx="24">
                  <c:v>144.43936998898238</c:v>
                </c:pt>
                <c:pt idx="25">
                  <c:v>152.72110588720417</c:v>
                </c:pt>
                <c:pt idx="26">
                  <c:v>153.93377804573544</c:v>
                </c:pt>
                <c:pt idx="27">
                  <c:v>163.52974270324381</c:v>
                </c:pt>
                <c:pt idx="28">
                  <c:v>164.51170482813581</c:v>
                </c:pt>
                <c:pt idx="29">
                  <c:v>150.43547409257863</c:v>
                </c:pt>
                <c:pt idx="30">
                  <c:v>147.61006516143169</c:v>
                </c:pt>
                <c:pt idx="31">
                  <c:v>135.66067547688871</c:v>
                </c:pt>
                <c:pt idx="32">
                  <c:v>155.00686465610164</c:v>
                </c:pt>
                <c:pt idx="33">
                  <c:v>187.9731081622802</c:v>
                </c:pt>
                <c:pt idx="34">
                  <c:v>201.50366585388591</c:v>
                </c:pt>
                <c:pt idx="35">
                  <c:v>239.31275277791977</c:v>
                </c:pt>
                <c:pt idx="36">
                  <c:v>287.77023413357159</c:v>
                </c:pt>
                <c:pt idx="37">
                  <c:v>334.10952095522424</c:v>
                </c:pt>
                <c:pt idx="38">
                  <c:v>344.03255150041241</c:v>
                </c:pt>
                <c:pt idx="39">
                  <c:v>332.34921418960738</c:v>
                </c:pt>
                <c:pt idx="40">
                  <c:v>314.35065658894695</c:v>
                </c:pt>
                <c:pt idx="41">
                  <c:v>299.51075365769896</c:v>
                </c:pt>
                <c:pt idx="42">
                  <c:v>263.10817290789868</c:v>
                </c:pt>
                <c:pt idx="43">
                  <c:v>245.0318946148935</c:v>
                </c:pt>
                <c:pt idx="44">
                  <c:v>228.39620969665037</c:v>
                </c:pt>
                <c:pt idx="45">
                  <c:v>229.7298735430775</c:v>
                </c:pt>
                <c:pt idx="46">
                  <c:v>248.30396077339944</c:v>
                </c:pt>
                <c:pt idx="47">
                  <c:v>276.80567440194358</c:v>
                </c:pt>
                <c:pt idx="48">
                  <c:v>284.24544414310736</c:v>
                </c:pt>
                <c:pt idx="49">
                  <c:v>317.955358095017</c:v>
                </c:pt>
                <c:pt idx="50">
                  <c:v>322.34885352478801</c:v>
                </c:pt>
                <c:pt idx="51">
                  <c:v>314.67214175211899</c:v>
                </c:pt>
                <c:pt idx="52">
                  <c:v>311.31197586427481</c:v>
                </c:pt>
                <c:pt idx="53">
                  <c:v>286.04920313297941</c:v>
                </c:pt>
                <c:pt idx="54">
                  <c:v>285.80824972520389</c:v>
                </c:pt>
                <c:pt idx="55">
                  <c:v>258.25114374902785</c:v>
                </c:pt>
                <c:pt idx="56">
                  <c:v>236.98845361518892</c:v>
                </c:pt>
                <c:pt idx="57">
                  <c:v>242.34046562316379</c:v>
                </c:pt>
                <c:pt idx="58">
                  <c:v>264.30915299694556</c:v>
                </c:pt>
                <c:pt idx="59">
                  <c:v>269.80794869303458</c:v>
                </c:pt>
                <c:pt idx="60">
                  <c:v>283.80336650295015</c:v>
                </c:pt>
                <c:pt idx="61">
                  <c:v>278.61948255809665</c:v>
                </c:pt>
                <c:pt idx="62">
                  <c:v>306.35309733147307</c:v>
                </c:pt>
                <c:pt idx="63">
                  <c:v>316.24054903356358</c:v>
                </c:pt>
                <c:pt idx="64">
                  <c:v>284.43732012671552</c:v>
                </c:pt>
                <c:pt idx="65">
                  <c:v>293.44497334705051</c:v>
                </c:pt>
                <c:pt idx="66">
                  <c:v>301.71493205229274</c:v>
                </c:pt>
                <c:pt idx="67">
                  <c:v>285.99804566964798</c:v>
                </c:pt>
                <c:pt idx="68">
                  <c:v>270.88202292251691</c:v>
                </c:pt>
                <c:pt idx="69">
                  <c:v>237.36494379562851</c:v>
                </c:pt>
                <c:pt idx="70">
                  <c:v>221.79196034996045</c:v>
                </c:pt>
                <c:pt idx="71">
                  <c:v>225.74004190300599</c:v>
                </c:pt>
                <c:pt idx="72">
                  <c:v>171.53879187414151</c:v>
                </c:pt>
                <c:pt idx="73">
                  <c:v>160.27611659684416</c:v>
                </c:pt>
                <c:pt idx="74">
                  <c:v>178.03429636432693</c:v>
                </c:pt>
                <c:pt idx="75">
                  <c:v>166.10968575359038</c:v>
                </c:pt>
                <c:pt idx="76">
                  <c:v>180.41160464049361</c:v>
                </c:pt>
                <c:pt idx="77">
                  <c:v>171.96307228807558</c:v>
                </c:pt>
                <c:pt idx="93">
                  <c:v>136.38273691483897</c:v>
                </c:pt>
                <c:pt idx="94">
                  <c:v>159.45922073925311</c:v>
                </c:pt>
                <c:pt idx="95">
                  <c:v>130.35525815750432</c:v>
                </c:pt>
                <c:pt idx="96">
                  <c:v>131.60375168082768</c:v>
                </c:pt>
                <c:pt idx="97">
                  <c:v>123.81872625175495</c:v>
                </c:pt>
                <c:pt idx="98">
                  <c:v>111.85499212622832</c:v>
                </c:pt>
                <c:pt idx="99">
                  <c:v>119.46308506692834</c:v>
                </c:pt>
                <c:pt idx="100">
                  <c:v>98.991794304607723</c:v>
                </c:pt>
                <c:pt idx="101">
                  <c:v>85.335664558086265</c:v>
                </c:pt>
                <c:pt idx="102">
                  <c:v>104.47369408986307</c:v>
                </c:pt>
                <c:pt idx="103">
                  <c:v>107.47160704524811</c:v>
                </c:pt>
                <c:pt idx="104">
                  <c:v>112.38117114994789</c:v>
                </c:pt>
                <c:pt idx="105">
                  <c:v>113.12836821924705</c:v>
                </c:pt>
                <c:pt idx="106">
                  <c:v>119.64001190013474</c:v>
                </c:pt>
                <c:pt idx="107">
                  <c:v>120.3033806106757</c:v>
                </c:pt>
                <c:pt idx="108">
                  <c:v>107.96585046447088</c:v>
                </c:pt>
                <c:pt idx="109">
                  <c:v>122.03892841510749</c:v>
                </c:pt>
                <c:pt idx="110">
                  <c:v>133.14920075729339</c:v>
                </c:pt>
                <c:pt idx="111">
                  <c:v>129.43308081952921</c:v>
                </c:pt>
                <c:pt idx="112">
                  <c:v>130.76007344879829</c:v>
                </c:pt>
                <c:pt idx="113">
                  <c:v>108.47505985311837</c:v>
                </c:pt>
                <c:pt idx="114">
                  <c:v>105.48357116250989</c:v>
                </c:pt>
                <c:pt idx="115">
                  <c:v>104.91851723558814</c:v>
                </c:pt>
                <c:pt idx="116">
                  <c:v>72.172883444530072</c:v>
                </c:pt>
                <c:pt idx="117">
                  <c:v>63.542504900779257</c:v>
                </c:pt>
                <c:pt idx="118">
                  <c:v>68.729145133865046</c:v>
                </c:pt>
                <c:pt idx="119">
                  <c:v>68.540852755733496</c:v>
                </c:pt>
                <c:pt idx="120">
                  <c:v>90.333063938132113</c:v>
                </c:pt>
                <c:pt idx="121">
                  <c:v>120.42038898529169</c:v>
                </c:pt>
                <c:pt idx="122">
                  <c:v>164.28065911256564</c:v>
                </c:pt>
                <c:pt idx="123">
                  <c:v>206.07242513510755</c:v>
                </c:pt>
                <c:pt idx="124">
                  <c:v>219.62584115039004</c:v>
                </c:pt>
                <c:pt idx="125">
                  <c:v>214.77079506286466</c:v>
                </c:pt>
                <c:pt idx="126">
                  <c:v>228.94518495335964</c:v>
                </c:pt>
                <c:pt idx="127">
                  <c:v>217.09781675129199</c:v>
                </c:pt>
                <c:pt idx="128">
                  <c:v>197.93001141053153</c:v>
                </c:pt>
                <c:pt idx="129">
                  <c:v>167.48565229071463</c:v>
                </c:pt>
                <c:pt idx="130">
                  <c:v>130.55586581014305</c:v>
                </c:pt>
                <c:pt idx="131">
                  <c:v>115.90678580079505</c:v>
                </c:pt>
                <c:pt idx="132">
                  <c:v>147.02874996876443</c:v>
                </c:pt>
                <c:pt idx="133">
                  <c:v>155.88662126287758</c:v>
                </c:pt>
                <c:pt idx="134">
                  <c:v>169.56242204886146</c:v>
                </c:pt>
                <c:pt idx="135">
                  <c:v>174.94287658056115</c:v>
                </c:pt>
                <c:pt idx="136">
                  <c:v>196.50688569904537</c:v>
                </c:pt>
                <c:pt idx="137">
                  <c:v>235.36902755400698</c:v>
                </c:pt>
                <c:pt idx="138">
                  <c:v>242.49986799238999</c:v>
                </c:pt>
                <c:pt idx="139">
                  <c:v>223.82078647692722</c:v>
                </c:pt>
                <c:pt idx="140">
                  <c:v>224.69181878918201</c:v>
                </c:pt>
                <c:pt idx="141">
                  <c:v>226.50620027609133</c:v>
                </c:pt>
                <c:pt idx="142">
                  <c:v>210.59010866149765</c:v>
                </c:pt>
                <c:pt idx="143">
                  <c:v>177.3491526823822</c:v>
                </c:pt>
                <c:pt idx="144">
                  <c:v>148.67441380252555</c:v>
                </c:pt>
                <c:pt idx="145">
                  <c:v>151.65381839059543</c:v>
                </c:pt>
                <c:pt idx="146">
                  <c:v>149.35794001585847</c:v>
                </c:pt>
                <c:pt idx="147">
                  <c:v>163.54754888921315</c:v>
                </c:pt>
                <c:pt idx="148">
                  <c:v>176.60810085779494</c:v>
                </c:pt>
                <c:pt idx="149">
                  <c:v>193.72746387375511</c:v>
                </c:pt>
                <c:pt idx="150">
                  <c:v>242.60172074036512</c:v>
                </c:pt>
                <c:pt idx="151">
                  <c:v>295.12515932899356</c:v>
                </c:pt>
                <c:pt idx="152">
                  <c:v>307.93259865703078</c:v>
                </c:pt>
                <c:pt idx="153">
                  <c:v>314.34898577637688</c:v>
                </c:pt>
                <c:pt idx="154">
                  <c:v>288.32453997703817</c:v>
                </c:pt>
                <c:pt idx="155">
                  <c:v>287.50578562728248</c:v>
                </c:pt>
                <c:pt idx="156">
                  <c:v>266.12334891129564</c:v>
                </c:pt>
                <c:pt idx="157">
                  <c:v>227.06701808585572</c:v>
                </c:pt>
                <c:pt idx="158">
                  <c:v>188.55985666811708</c:v>
                </c:pt>
                <c:pt idx="159">
                  <c:v>167.63732859938219</c:v>
                </c:pt>
                <c:pt idx="160">
                  <c:v>163.07996230355366</c:v>
                </c:pt>
                <c:pt idx="161">
                  <c:v>173.73181140886271</c:v>
                </c:pt>
                <c:pt idx="162">
                  <c:v>162.53151673504939</c:v>
                </c:pt>
                <c:pt idx="163">
                  <c:v>187.05476724611208</c:v>
                </c:pt>
                <c:pt idx="164">
                  <c:v>204.99317083411773</c:v>
                </c:pt>
                <c:pt idx="165">
                  <c:v>210.97196247178758</c:v>
                </c:pt>
                <c:pt idx="166">
                  <c:v>241.36729950605363</c:v>
                </c:pt>
                <c:pt idx="167">
                  <c:v>236.39974851444703</c:v>
                </c:pt>
                <c:pt idx="168">
                  <c:v>222.0874952265836</c:v>
                </c:pt>
                <c:pt idx="169">
                  <c:v>221.5078152871275</c:v>
                </c:pt>
                <c:pt idx="170">
                  <c:v>198.99550722689099</c:v>
                </c:pt>
              </c:numCache>
            </c:numRef>
          </c:val>
          <c:smooth val="0"/>
          <c:extLst>
            <c:ext xmlns:c16="http://schemas.microsoft.com/office/drawing/2014/chart" uri="{C3380CC4-5D6E-409C-BE32-E72D297353CC}">
              <c16:uniqueId val="{00000001-6D44-446C-99F6-8CCDE8B7857C}"/>
            </c:ext>
          </c:extLst>
        </c:ser>
        <c:ser>
          <c:idx val="1"/>
          <c:order val="1"/>
          <c:tx>
            <c:v>Respiration</c:v>
          </c:tx>
          <c:spPr>
            <a:ln w="9525">
              <a:noFill/>
            </a:ln>
          </c:spPr>
          <c:marker>
            <c:symbol val="circle"/>
            <c:size val="4"/>
            <c:spPr>
              <a:solidFill>
                <a:schemeClr val="bg1">
                  <a:lumMod val="75000"/>
                </a:schemeClr>
              </a:solidFill>
              <a:ln>
                <a:solidFill>
                  <a:sysClr val="windowText" lastClr="000000"/>
                </a:solidFill>
              </a:ln>
            </c:spPr>
          </c:marker>
          <c:dPt>
            <c:idx val="11"/>
            <c:bubble3D val="0"/>
            <c:extLst>
              <c:ext xmlns:c16="http://schemas.microsoft.com/office/drawing/2014/chart" uri="{C3380CC4-5D6E-409C-BE32-E72D297353CC}">
                <c16:uniqueId val="{00000003-52D8-4B90-959D-C2B729B125AA}"/>
              </c:ext>
            </c:extLst>
          </c:dPt>
          <c:cat>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'SP01'!$Y$3:$Y$176</c:f>
              <c:numCache>
                <c:formatCode>0</c:formatCode>
                <c:ptCount val="174"/>
                <c:pt idx="3" formatCode="0.0">
                  <c:v>-124.69235068261712</c:v>
                </c:pt>
                <c:pt idx="4" formatCode="0.0">
                  <c:v>-117.6125362015428</c:v>
                </c:pt>
                <c:pt idx="5" formatCode="0.0">
                  <c:v>-108.02653413793099</c:v>
                </c:pt>
                <c:pt idx="6" formatCode="0.0">
                  <c:v>-112.95282038931124</c:v>
                </c:pt>
                <c:pt idx="7" formatCode="0.0">
                  <c:v>-103.92789419542525</c:v>
                </c:pt>
                <c:pt idx="8" formatCode="0.0">
                  <c:v>-100.78011621661028</c:v>
                </c:pt>
                <c:pt idx="9" formatCode="0.0">
                  <c:v>-78.367669774749714</c:v>
                </c:pt>
                <c:pt idx="10" formatCode="0.0">
                  <c:v>-64.388733005547294</c:v>
                </c:pt>
                <c:pt idx="11" formatCode="0.0">
                  <c:v>-60.885670220060824</c:v>
                </c:pt>
                <c:pt idx="12" formatCode="0.0">
                  <c:v>-59.964007453990853</c:v>
                </c:pt>
                <c:pt idx="13" formatCode="0.0">
                  <c:v>-51.887360639104983</c:v>
                </c:pt>
                <c:pt idx="14" formatCode="0.0">
                  <c:v>-44.375347844375632</c:v>
                </c:pt>
                <c:pt idx="15" formatCode="0.0">
                  <c:v>-53.56482557823329</c:v>
                </c:pt>
                <c:pt idx="16" formatCode="0.0">
                  <c:v>-65.322595617196413</c:v>
                </c:pt>
                <c:pt idx="17" formatCode="0.0">
                  <c:v>-73.5944624927793</c:v>
                </c:pt>
                <c:pt idx="18" formatCode="0.0">
                  <c:v>-76.681032284778567</c:v>
                </c:pt>
                <c:pt idx="19" formatCode="0.0">
                  <c:v>-88.881623944741492</c:v>
                </c:pt>
                <c:pt idx="20" formatCode="0.0">
                  <c:v>-96.463826674637033</c:v>
                </c:pt>
                <c:pt idx="21" formatCode="0.0">
                  <c:v>-109.22727244899727</c:v>
                </c:pt>
                <c:pt idx="22" formatCode="0.0">
                  <c:v>-109.10650752975712</c:v>
                </c:pt>
                <c:pt idx="23" formatCode="0.0">
                  <c:v>-103.53910541417859</c:v>
                </c:pt>
                <c:pt idx="24" formatCode="0.0">
                  <c:v>-125.26341032608376</c:v>
                </c:pt>
                <c:pt idx="25" formatCode="0.0">
                  <c:v>-132.562514984865</c:v>
                </c:pt>
                <c:pt idx="26" formatCode="0.0">
                  <c:v>-128.37424191249394</c:v>
                </c:pt>
                <c:pt idx="27" formatCode="0.0">
                  <c:v>-140.55131716561189</c:v>
                </c:pt>
                <c:pt idx="28" formatCode="0.0">
                  <c:v>-142.02199973068585</c:v>
                </c:pt>
                <c:pt idx="29" formatCode="0.0">
                  <c:v>-130.42084748163657</c:v>
                </c:pt>
                <c:pt idx="30" formatCode="0.0">
                  <c:v>-136.85159294521537</c:v>
                </c:pt>
                <c:pt idx="31" formatCode="0.0">
                  <c:v>-119.50499426263953</c:v>
                </c:pt>
                <c:pt idx="32" formatCode="0.0">
                  <c:v>-146.42413020215625</c:v>
                </c:pt>
                <c:pt idx="33" formatCode="0.0">
                  <c:v>-177.59861552450849</c:v>
                </c:pt>
                <c:pt idx="34" formatCode="0.0">
                  <c:v>-193.31367029107793</c:v>
                </c:pt>
                <c:pt idx="35" formatCode="0.0">
                  <c:v>-236.19714643944795</c:v>
                </c:pt>
                <c:pt idx="36" formatCode="0.0">
                  <c:v>-294.21739736297496</c:v>
                </c:pt>
                <c:pt idx="37" formatCode="0.0">
                  <c:v>-321.23216343368949</c:v>
                </c:pt>
                <c:pt idx="38" formatCode="0.0">
                  <c:v>-329.65920486741015</c:v>
                </c:pt>
                <c:pt idx="39" formatCode="0.0">
                  <c:v>-311.45918324156781</c:v>
                </c:pt>
                <c:pt idx="40" formatCode="0.0">
                  <c:v>-304.18971679755862</c:v>
                </c:pt>
                <c:pt idx="41" formatCode="0.0">
                  <c:v>-272.40543266784567</c:v>
                </c:pt>
                <c:pt idx="42" formatCode="0.0">
                  <c:v>-239.32122287274927</c:v>
                </c:pt>
                <c:pt idx="43" formatCode="0.0">
                  <c:v>-217.08822830979901</c:v>
                </c:pt>
                <c:pt idx="44" formatCode="0.0">
                  <c:v>-210.26735552197644</c:v>
                </c:pt>
                <c:pt idx="45" formatCode="0.0">
                  <c:v>-213.75626494687782</c:v>
                </c:pt>
                <c:pt idx="46" formatCode="0.0">
                  <c:v>-232.45823342327373</c:v>
                </c:pt>
                <c:pt idx="47" formatCode="0.0">
                  <c:v>-252.42453744359949</c:v>
                </c:pt>
                <c:pt idx="48" formatCode="0.0">
                  <c:v>-270.47678812150883</c:v>
                </c:pt>
                <c:pt idx="49" formatCode="0.0">
                  <c:v>-297.22105146174766</c:v>
                </c:pt>
                <c:pt idx="50" formatCode="0.0">
                  <c:v>-294.11320652517736</c:v>
                </c:pt>
                <c:pt idx="51" formatCode="0.0">
                  <c:v>-299.00199066546116</c:v>
                </c:pt>
                <c:pt idx="52" formatCode="0.0">
                  <c:v>-288.31071184454862</c:v>
                </c:pt>
                <c:pt idx="53" formatCode="0.0">
                  <c:v>-270.28821409656882</c:v>
                </c:pt>
                <c:pt idx="54" formatCode="0.0">
                  <c:v>-262.86042133041786</c:v>
                </c:pt>
                <c:pt idx="55" formatCode="0.0">
                  <c:v>-249.0926630111243</c:v>
                </c:pt>
                <c:pt idx="56" formatCode="0.0">
                  <c:v>-221.60555572901876</c:v>
                </c:pt>
                <c:pt idx="57" formatCode="0.0">
                  <c:v>-236.38495150127898</c:v>
                </c:pt>
                <c:pt idx="58" formatCode="0.0">
                  <c:v>-249.10126958581438</c:v>
                </c:pt>
                <c:pt idx="59" formatCode="0.0">
                  <c:v>-251.35299512164343</c:v>
                </c:pt>
                <c:pt idx="60" formatCode="0.0">
                  <c:v>-255.02128082183819</c:v>
                </c:pt>
                <c:pt idx="61" formatCode="0.0">
                  <c:v>-256.72537923051311</c:v>
                </c:pt>
                <c:pt idx="62" formatCode="0.0">
                  <c:v>-278.43428278679772</c:v>
                </c:pt>
                <c:pt idx="63" formatCode="0.0">
                  <c:v>-289.88119287805597</c:v>
                </c:pt>
                <c:pt idx="64" formatCode="0.0">
                  <c:v>-246.06241632635485</c:v>
                </c:pt>
                <c:pt idx="65" formatCode="0.0">
                  <c:v>-269.15989562641226</c:v>
                </c:pt>
                <c:pt idx="66" formatCode="0.0">
                  <c:v>-280.53179493638424</c:v>
                </c:pt>
                <c:pt idx="67" formatCode="0.0">
                  <c:v>-258.85314345117769</c:v>
                </c:pt>
                <c:pt idx="68" formatCode="0.0">
                  <c:v>-239.71553741653744</c:v>
                </c:pt>
                <c:pt idx="69" formatCode="0.0">
                  <c:v>-207.99562247296441</c:v>
                </c:pt>
                <c:pt idx="70" formatCode="0.0">
                  <c:v>-198.93404269222486</c:v>
                </c:pt>
                <c:pt idx="71" formatCode="0.0">
                  <c:v>-208.65348992246135</c:v>
                </c:pt>
                <c:pt idx="72" formatCode="0.0">
                  <c:v>-141.49350752900992</c:v>
                </c:pt>
                <c:pt idx="73" formatCode="0.0">
                  <c:v>-145.23972785284275</c:v>
                </c:pt>
                <c:pt idx="74" formatCode="0.0">
                  <c:v>-168.18884063150145</c:v>
                </c:pt>
                <c:pt idx="75" formatCode="0.0">
                  <c:v>-161.62837078314791</c:v>
                </c:pt>
                <c:pt idx="76" formatCode="0.0">
                  <c:v>-168.68993157442992</c:v>
                </c:pt>
                <c:pt idx="77" formatCode="0.0">
                  <c:v>-159.04307858035776</c:v>
                </c:pt>
                <c:pt idx="93" formatCode="0.0">
                  <c:v>-155.77418907354124</c:v>
                </c:pt>
                <c:pt idx="94" formatCode="0.0">
                  <c:v>-157.82003717874525</c:v>
                </c:pt>
                <c:pt idx="95" formatCode="0.0">
                  <c:v>-142.39221657725375</c:v>
                </c:pt>
                <c:pt idx="96" formatCode="0.0">
                  <c:v>-148.02459307407199</c:v>
                </c:pt>
                <c:pt idx="97" formatCode="0.0">
                  <c:v>-138.65630334770734</c:v>
                </c:pt>
                <c:pt idx="98" formatCode="0.0">
                  <c:v>-127.04385928933904</c:v>
                </c:pt>
                <c:pt idx="99" formatCode="0.0">
                  <c:v>-133.75757960337631</c:v>
                </c:pt>
                <c:pt idx="100" formatCode="0.0">
                  <c:v>-98.098672812482889</c:v>
                </c:pt>
                <c:pt idx="101" formatCode="0.0">
                  <c:v>-89.072139772963993</c:v>
                </c:pt>
                <c:pt idx="102" formatCode="0.0">
                  <c:v>-105.17965432442328</c:v>
                </c:pt>
                <c:pt idx="103" formatCode="0.0">
                  <c:v>-108.10663218312503</c:v>
                </c:pt>
                <c:pt idx="104" formatCode="0.0">
                  <c:v>-106.63535635464551</c:v>
                </c:pt>
                <c:pt idx="105" formatCode="0.0">
                  <c:v>-101.12886134555218</c:v>
                </c:pt>
                <c:pt idx="106" formatCode="0.0">
                  <c:v>-113.90090151683238</c:v>
                </c:pt>
                <c:pt idx="107" formatCode="0.0">
                  <c:v>-110.94199892779898</c:v>
                </c:pt>
                <c:pt idx="108" formatCode="0.0">
                  <c:v>-112.40556329220554</c:v>
                </c:pt>
                <c:pt idx="109" formatCode="0.0">
                  <c:v>-118.1869776253584</c:v>
                </c:pt>
                <c:pt idx="110" formatCode="0.0">
                  <c:v>-125.72511390081102</c:v>
                </c:pt>
                <c:pt idx="111" formatCode="0.0">
                  <c:v>-126.27018188621777</c:v>
                </c:pt>
                <c:pt idx="112" formatCode="0.0">
                  <c:v>-127.57586552606449</c:v>
                </c:pt>
                <c:pt idx="113" formatCode="0.0">
                  <c:v>-105.53247697326374</c:v>
                </c:pt>
                <c:pt idx="114" formatCode="0.0">
                  <c:v>-98.870749525694194</c:v>
                </c:pt>
                <c:pt idx="115" formatCode="0.0">
                  <c:v>-94.385020619865585</c:v>
                </c:pt>
                <c:pt idx="116" formatCode="0.0">
                  <c:v>-68.58187335525912</c:v>
                </c:pt>
                <c:pt idx="117" formatCode="0.0">
                  <c:v>-57.573414067638922</c:v>
                </c:pt>
                <c:pt idx="118" formatCode="0.0">
                  <c:v>-65.219403862655412</c:v>
                </c:pt>
                <c:pt idx="119" formatCode="0.0">
                  <c:v>-65.021898285882202</c:v>
                </c:pt>
                <c:pt idx="120" formatCode="0.0">
                  <c:v>-97.307794768409309</c:v>
                </c:pt>
                <c:pt idx="121" formatCode="0.0">
                  <c:v>-138.70684601643012</c:v>
                </c:pt>
                <c:pt idx="122" formatCode="0.0">
                  <c:v>-186.41596802183645</c:v>
                </c:pt>
                <c:pt idx="123" formatCode="0.0">
                  <c:v>-229.88950239793527</c:v>
                </c:pt>
                <c:pt idx="124" formatCode="0.0">
                  <c:v>-235.98355338934471</c:v>
                </c:pt>
                <c:pt idx="125" formatCode="0.0">
                  <c:v>-221.70834133687313</c:v>
                </c:pt>
                <c:pt idx="126" formatCode="0.0">
                  <c:v>-235.93413661173221</c:v>
                </c:pt>
                <c:pt idx="127" formatCode="0.0">
                  <c:v>-207.37304277345717</c:v>
                </c:pt>
                <c:pt idx="128" formatCode="0.0">
                  <c:v>-183.53231863093239</c:v>
                </c:pt>
                <c:pt idx="129" formatCode="0.0">
                  <c:v>-148.49909459726263</c:v>
                </c:pt>
                <c:pt idx="130" formatCode="0.0">
                  <c:v>-113.24397318392458</c:v>
                </c:pt>
                <c:pt idx="131" formatCode="0.0">
                  <c:v>-114.3401956790683</c:v>
                </c:pt>
                <c:pt idx="132" formatCode="0.0">
                  <c:v>-148.01578702541272</c:v>
                </c:pt>
                <c:pt idx="133" formatCode="0.0">
                  <c:v>-160.90600380473302</c:v>
                </c:pt>
                <c:pt idx="134" formatCode="0.0">
                  <c:v>-173.21131512219216</c:v>
                </c:pt>
                <c:pt idx="135" formatCode="0.0">
                  <c:v>-186.23629612354952</c:v>
                </c:pt>
                <c:pt idx="136" formatCode="0.0">
                  <c:v>-199.35224403194655</c:v>
                </c:pt>
                <c:pt idx="137" formatCode="0.0">
                  <c:v>-230.22844585066531</c:v>
                </c:pt>
                <c:pt idx="138" formatCode="0.0">
                  <c:v>-226.41235079550711</c:v>
                </c:pt>
                <c:pt idx="139" formatCode="0.0">
                  <c:v>-197.83851031908574</c:v>
                </c:pt>
                <c:pt idx="140" formatCode="0.0">
                  <c:v>-195.90125863415088</c:v>
                </c:pt>
                <c:pt idx="141" formatCode="0.0">
                  <c:v>-194.20473523649602</c:v>
                </c:pt>
                <c:pt idx="142" formatCode="0.0">
                  <c:v>-158.81294248412161</c:v>
                </c:pt>
                <c:pt idx="143" formatCode="0.0">
                  <c:v>-135.75878459879505</c:v>
                </c:pt>
                <c:pt idx="144" formatCode="0.0">
                  <c:v>-110.06022782636896</c:v>
                </c:pt>
                <c:pt idx="145" formatCode="0.0">
                  <c:v>-114.66114829000519</c:v>
                </c:pt>
                <c:pt idx="146" formatCode="0.0">
                  <c:v>-128.92821769207649</c:v>
                </c:pt>
                <c:pt idx="147" formatCode="0.0">
                  <c:v>-165.97096581378324</c:v>
                </c:pt>
                <c:pt idx="148" formatCode="0.0">
                  <c:v>-170.31724317549779</c:v>
                </c:pt>
                <c:pt idx="149" formatCode="0.0">
                  <c:v>-214.71178481014627</c:v>
                </c:pt>
                <c:pt idx="150" formatCode="0.0">
                  <c:v>-280.95299692291599</c:v>
                </c:pt>
                <c:pt idx="151" formatCode="0.0">
                  <c:v>-337.82024674321605</c:v>
                </c:pt>
                <c:pt idx="152" formatCode="0.0">
                  <c:v>-339.42802696087102</c:v>
                </c:pt>
                <c:pt idx="153" formatCode="0.0">
                  <c:v>-334.63034533763226</c:v>
                </c:pt>
                <c:pt idx="154" formatCode="0.0">
                  <c:v>-295.30086437355266</c:v>
                </c:pt>
                <c:pt idx="155" formatCode="0.0">
                  <c:v>-298.6087927350988</c:v>
                </c:pt>
                <c:pt idx="156" formatCode="0.0">
                  <c:v>-266.31240114633476</c:v>
                </c:pt>
                <c:pt idx="157" formatCode="0.0">
                  <c:v>-210.75485220485356</c:v>
                </c:pt>
                <c:pt idx="158" formatCode="0.0">
                  <c:v>-177.50293731086302</c:v>
                </c:pt>
                <c:pt idx="159" formatCode="0.0">
                  <c:v>-173.00838636796522</c:v>
                </c:pt>
                <c:pt idx="160" formatCode="0.0">
                  <c:v>-177.43250498885575</c:v>
                </c:pt>
                <c:pt idx="161" formatCode="0.0">
                  <c:v>-184.32316094902572</c:v>
                </c:pt>
                <c:pt idx="162" formatCode="0.0">
                  <c:v>-190.64214553577813</c:v>
                </c:pt>
                <c:pt idx="163" formatCode="0.0">
                  <c:v>-204.41006722122304</c:v>
                </c:pt>
                <c:pt idx="164" formatCode="0.0">
                  <c:v>-222.23628245111036</c:v>
                </c:pt>
                <c:pt idx="165" formatCode="0.0">
                  <c:v>-221.81673779357976</c:v>
                </c:pt>
                <c:pt idx="166" formatCode="0.0">
                  <c:v>-249.02525556322138</c:v>
                </c:pt>
                <c:pt idx="167" formatCode="0.0">
                  <c:v>-245.41080287586584</c:v>
                </c:pt>
                <c:pt idx="168" formatCode="0.0">
                  <c:v>-225.63085618042447</c:v>
                </c:pt>
                <c:pt idx="169" formatCode="0.0">
                  <c:v>-222.3514698910723</c:v>
                </c:pt>
                <c:pt idx="170" formatCode="0.0">
                  <c:v>-200.93515543969355</c:v>
                </c:pt>
              </c:numCache>
            </c:numRef>
          </c:val>
          <c:smooth val="0"/>
          <c:extLst>
            <c:ext xmlns:c16="http://schemas.microsoft.com/office/drawing/2014/chart" uri="{C3380CC4-5D6E-409C-BE32-E72D297353CC}">
              <c16:uniqueId val="{00000000-6D44-446C-99F6-8CCDE8B7857C}"/>
            </c:ext>
          </c:extLst>
        </c:ser>
        <c:dLbls>
          <c:showLegendKey val="0"/>
          <c:showVal val="0"/>
          <c:showCatName val="0"/>
          <c:showSerName val="0"/>
          <c:showPercent val="0"/>
          <c:showBubbleSize val="0"/>
        </c:dLbls>
        <c:marker val="1"/>
        <c:smooth val="0"/>
        <c:axId val="301117408"/>
        <c:axId val="301117800"/>
      </c:lineChart>
      <c:scatterChart>
        <c:scatterStyle val="lineMarker"/>
        <c:varyColors val="0"/>
        <c:ser>
          <c:idx val="2"/>
          <c:order val="3"/>
          <c:tx>
            <c:v>Zero</c:v>
          </c:tx>
          <c:spPr>
            <a:ln w="6350">
              <a:solidFill>
                <a:schemeClr val="tx1"/>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2-6D44-446C-99F6-8CCDE8B7857C}"/>
            </c:ext>
          </c:extLst>
        </c:ser>
        <c:ser>
          <c:idx val="4"/>
          <c:order val="4"/>
          <c:tx>
            <c:v>Sample Dates</c:v>
          </c:tx>
          <c:spPr>
            <a:ln>
              <a:noFill/>
            </a:ln>
          </c:spPr>
          <c:marker>
            <c:symbol val="triangle"/>
            <c:size val="7"/>
            <c:spPr>
              <a:noFill/>
              <a:ln>
                <a:solidFill>
                  <a:schemeClr val="tx1"/>
                </a:solidFill>
              </a:ln>
            </c:spPr>
          </c:marker>
          <c:xVal>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Lit>
              <c:formatCode>General</c:formatCode>
              <c:ptCount val="20"/>
              <c:pt idx="0">
                <c:v>-500</c:v>
              </c:pt>
              <c:pt idx="1">
                <c:v>-500</c:v>
              </c:pt>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numLit>
          </c:yVal>
          <c:smooth val="0"/>
          <c:extLst>
            <c:ext xmlns:c16="http://schemas.microsoft.com/office/drawing/2014/chart" uri="{C3380CC4-5D6E-409C-BE32-E72D297353CC}">
              <c16:uniqueId val="{00000002-93B3-4A78-A458-F2DA6787D67E}"/>
            </c:ext>
          </c:extLst>
        </c:ser>
        <c:dLbls>
          <c:showLegendKey val="0"/>
          <c:showVal val="0"/>
          <c:showCatName val="0"/>
          <c:showSerName val="0"/>
          <c:showPercent val="0"/>
          <c:showBubbleSize val="0"/>
        </c:dLbls>
        <c:axId val="301118584"/>
        <c:axId val="301118192"/>
      </c:scatterChart>
      <c:dateAx>
        <c:axId val="301117408"/>
        <c:scaling>
          <c:orientation val="minMax"/>
          <c:max val="41548"/>
          <c:min val="41365"/>
        </c:scaling>
        <c:delete val="0"/>
        <c:axPos val="b"/>
        <c:numFmt formatCode="mmm" sourceLinked="0"/>
        <c:majorTickMark val="out"/>
        <c:minorTickMark val="none"/>
        <c:tickLblPos val="none"/>
        <c:spPr>
          <a:ln>
            <a:solidFill>
              <a:schemeClr val="tx1"/>
            </a:solidFill>
          </a:ln>
        </c:spPr>
        <c:crossAx val="301117800"/>
        <c:crossesAt val="-600"/>
        <c:auto val="1"/>
        <c:lblOffset val="100"/>
        <c:baseTimeUnit val="days"/>
        <c:majorUnit val="1"/>
        <c:majorTimeUnit val="months"/>
      </c:dateAx>
      <c:valAx>
        <c:axId val="301117800"/>
        <c:scaling>
          <c:orientation val="minMax"/>
          <c:max val="600"/>
          <c:min val="-600"/>
        </c:scaling>
        <c:delete val="0"/>
        <c:axPos val="l"/>
        <c:title>
          <c:tx>
            <c:rich>
              <a:bodyPr/>
              <a:lstStyle/>
              <a:p>
                <a:pPr>
                  <a:defRPr b="0"/>
                </a:pPr>
                <a:r>
                  <a:rPr lang="en-US" b="0"/>
                  <a:t>Ecosystem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1117408"/>
        <c:crosses val="autoZero"/>
        <c:crossBetween val="between"/>
      </c:valAx>
      <c:valAx>
        <c:axId val="301118192"/>
        <c:scaling>
          <c:orientation val="minMax"/>
          <c:max val="600"/>
          <c:min val="-600"/>
        </c:scaling>
        <c:delete val="0"/>
        <c:axPos val="r"/>
        <c:numFmt formatCode="0" sourceLinked="0"/>
        <c:majorTickMark val="out"/>
        <c:minorTickMark val="none"/>
        <c:tickLblPos val="none"/>
        <c:spPr>
          <a:ln>
            <a:solidFill>
              <a:schemeClr val="tx1"/>
            </a:solidFill>
          </a:ln>
        </c:spPr>
        <c:crossAx val="301118584"/>
        <c:crosses val="max"/>
        <c:crossBetween val="between"/>
        <c:majorUnit val="200"/>
      </c:valAx>
      <c:catAx>
        <c:axId val="301118584"/>
        <c:scaling>
          <c:orientation val="minMax"/>
        </c:scaling>
        <c:delete val="1"/>
        <c:axPos val="b"/>
        <c:numFmt formatCode="[$-409]d\-mmm;@" sourceLinked="1"/>
        <c:majorTickMark val="out"/>
        <c:minorTickMark val="none"/>
        <c:tickLblPos val="nextTo"/>
        <c:crossAx val="301118192"/>
        <c:crosses val="autoZero"/>
        <c:auto val="0"/>
        <c:lblAlgn val="ctr"/>
        <c:lblOffset val="100"/>
        <c:noMultiLvlLbl val="0"/>
      </c:catAx>
      <c:spPr>
        <a:ln>
          <a:solidFill>
            <a:sysClr val="windowText" lastClr="000000"/>
          </a:solidFill>
        </a:ln>
      </c:spPr>
    </c:plotArea>
    <c:legend>
      <c:legendPos val="r"/>
      <c:legendEntry>
        <c:idx val="3"/>
        <c:delete val="1"/>
      </c:legendEntry>
      <c:layout>
        <c:manualLayout>
          <c:xMode val="edge"/>
          <c:yMode val="edge"/>
          <c:x val="0.52324074074074078"/>
          <c:y val="7.1886419694432241E-2"/>
          <c:w val="0.20592592592592596"/>
          <c:h val="0.22999644755610213"/>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'SP02'!$Z$3:$Z$176</c:f>
              <c:numCache>
                <c:formatCode>0</c:formatCode>
                <c:ptCount val="174"/>
                <c:pt idx="3">
                  <c:v>-7.4421019695142006</c:v>
                </c:pt>
                <c:pt idx="4">
                  <c:v>-8.8534629676238499</c:v>
                </c:pt>
                <c:pt idx="5">
                  <c:v>-1.5126914585145994</c:v>
                </c:pt>
                <c:pt idx="6">
                  <c:v>23.168068963560081</c:v>
                </c:pt>
                <c:pt idx="7">
                  <c:v>17.03037653869934</c:v>
                </c:pt>
                <c:pt idx="8">
                  <c:v>16.597259555037073</c:v>
                </c:pt>
                <c:pt idx="9">
                  <c:v>1.9696657887526985</c:v>
                </c:pt>
                <c:pt idx="10">
                  <c:v>15.184080210281467</c:v>
                </c:pt>
                <c:pt idx="11">
                  <c:v>18.352860216186439</c:v>
                </c:pt>
                <c:pt idx="12">
                  <c:v>4.1957625096731714</c:v>
                </c:pt>
                <c:pt idx="13">
                  <c:v>-12.823624976140982</c:v>
                </c:pt>
                <c:pt idx="14">
                  <c:v>-14.005694738706209</c:v>
                </c:pt>
                <c:pt idx="15">
                  <c:v>-27.740118801467133</c:v>
                </c:pt>
                <c:pt idx="16">
                  <c:v>-21.861964959732063</c:v>
                </c:pt>
                <c:pt idx="17">
                  <c:v>-28.21774231349583</c:v>
                </c:pt>
                <c:pt idx="18">
                  <c:v>-27.803708575342714</c:v>
                </c:pt>
                <c:pt idx="19">
                  <c:v>-13.383896092273449</c:v>
                </c:pt>
                <c:pt idx="20">
                  <c:v>-10.591307582815395</c:v>
                </c:pt>
                <c:pt idx="21">
                  <c:v>-13.967158696290729</c:v>
                </c:pt>
                <c:pt idx="22">
                  <c:v>-0.15196801543359278</c:v>
                </c:pt>
                <c:pt idx="23">
                  <c:v>15.867767720307736</c:v>
                </c:pt>
                <c:pt idx="24">
                  <c:v>5.4900469169132791</c:v>
                </c:pt>
                <c:pt idx="25">
                  <c:v>-6.225014084294842</c:v>
                </c:pt>
                <c:pt idx="26">
                  <c:v>-9.7482750960930726</c:v>
                </c:pt>
                <c:pt idx="27">
                  <c:v>-4.6866305218465545</c:v>
                </c:pt>
                <c:pt idx="28">
                  <c:v>9.232347692508954</c:v>
                </c:pt>
                <c:pt idx="29">
                  <c:v>9.1680101810991665</c:v>
                </c:pt>
                <c:pt idx="30">
                  <c:v>-5.5939989926244396</c:v>
                </c:pt>
                <c:pt idx="31">
                  <c:v>-1.9612247604342039</c:v>
                </c:pt>
                <c:pt idx="32">
                  <c:v>4.3302712680224067</c:v>
                </c:pt>
                <c:pt idx="33">
                  <c:v>-4.4012323023924642</c:v>
                </c:pt>
                <c:pt idx="34">
                  <c:v>-10.359600292494404</c:v>
                </c:pt>
                <c:pt idx="35">
                  <c:v>-16.572532269770935</c:v>
                </c:pt>
                <c:pt idx="36">
                  <c:v>-22.623584710509267</c:v>
                </c:pt>
                <c:pt idx="37">
                  <c:v>-14.499970710639953</c:v>
                </c:pt>
                <c:pt idx="38">
                  <c:v>-13.839529726181704</c:v>
                </c:pt>
                <c:pt idx="39">
                  <c:v>-13.386679662702297</c:v>
                </c:pt>
                <c:pt idx="40">
                  <c:v>-4.1871129193927015</c:v>
                </c:pt>
                <c:pt idx="41">
                  <c:v>2.2401118662094239</c:v>
                </c:pt>
                <c:pt idx="42">
                  <c:v>-6.7480587367628271</c:v>
                </c:pt>
                <c:pt idx="43">
                  <c:v>-9.3695901759459552</c:v>
                </c:pt>
                <c:pt idx="44">
                  <c:v>-12.223233373649668</c:v>
                </c:pt>
                <c:pt idx="45">
                  <c:v>-4.7221848840630951</c:v>
                </c:pt>
                <c:pt idx="46">
                  <c:v>1.6427988641462374</c:v>
                </c:pt>
                <c:pt idx="47">
                  <c:v>4.8610319384867547E-2</c:v>
                </c:pt>
                <c:pt idx="48">
                  <c:v>-5.3902387185325944</c:v>
                </c:pt>
                <c:pt idx="49">
                  <c:v>6.0709846335547423E-3</c:v>
                </c:pt>
                <c:pt idx="50">
                  <c:v>1.7076326812913354</c:v>
                </c:pt>
                <c:pt idx="51">
                  <c:v>-0.67333729742357618</c:v>
                </c:pt>
                <c:pt idx="52">
                  <c:v>2.2522913580362789</c:v>
                </c:pt>
                <c:pt idx="53">
                  <c:v>-5.0756201073752383</c:v>
                </c:pt>
                <c:pt idx="54">
                  <c:v>-9.0738046103865688</c:v>
                </c:pt>
                <c:pt idx="55">
                  <c:v>-13.296434013606634</c:v>
                </c:pt>
                <c:pt idx="56">
                  <c:v>-3.0589176047975286</c:v>
                </c:pt>
                <c:pt idx="57">
                  <c:v>3.8742583939625805</c:v>
                </c:pt>
                <c:pt idx="58">
                  <c:v>4.6640684408455551</c:v>
                </c:pt>
                <c:pt idx="59">
                  <c:v>-7.9757863820512762</c:v>
                </c:pt>
                <c:pt idx="60">
                  <c:v>0.93438865272323468</c:v>
                </c:pt>
                <c:pt idx="61">
                  <c:v>3.9040089255368287</c:v>
                </c:pt>
                <c:pt idx="62">
                  <c:v>8.2382875548953756</c:v>
                </c:pt>
                <c:pt idx="63">
                  <c:v>-2.5130397436902814</c:v>
                </c:pt>
                <c:pt idx="64">
                  <c:v>-8.0600290849939018</c:v>
                </c:pt>
                <c:pt idx="65">
                  <c:v>-1.4561011484624413</c:v>
                </c:pt>
                <c:pt idx="66">
                  <c:v>0.15020992706621428</c:v>
                </c:pt>
                <c:pt idx="67">
                  <c:v>4.805929885121567</c:v>
                </c:pt>
                <c:pt idx="68">
                  <c:v>4.6049906369107338</c:v>
                </c:pt>
                <c:pt idx="69">
                  <c:v>0.83755486272059243</c:v>
                </c:pt>
                <c:pt idx="70">
                  <c:v>6.9851801709617023</c:v>
                </c:pt>
                <c:pt idx="71">
                  <c:v>9.1660789568693311</c:v>
                </c:pt>
                <c:pt idx="72">
                  <c:v>1.3867275832541341</c:v>
                </c:pt>
                <c:pt idx="73">
                  <c:v>-1.2894780041334042</c:v>
                </c:pt>
                <c:pt idx="74">
                  <c:v>-9.9842183079144231</c:v>
                </c:pt>
                <c:pt idx="75">
                  <c:v>-20.491563486176432</c:v>
                </c:pt>
                <c:pt idx="76">
                  <c:v>1.1142062600764493E-2</c:v>
                </c:pt>
                <c:pt idx="77">
                  <c:v>-6.0702625817306046</c:v>
                </c:pt>
                <c:pt idx="93">
                  <c:v>-1.6676560823265834</c:v>
                </c:pt>
                <c:pt idx="94">
                  <c:v>3.9079450141142353</c:v>
                </c:pt>
                <c:pt idx="95">
                  <c:v>-13.421777620367022</c:v>
                </c:pt>
                <c:pt idx="96">
                  <c:v>-20.340788479509172</c:v>
                </c:pt>
                <c:pt idx="97">
                  <c:v>-30.510458324389386</c:v>
                </c:pt>
                <c:pt idx="98">
                  <c:v>-19.298381280072821</c:v>
                </c:pt>
                <c:pt idx="99">
                  <c:v>-16.69904554874693</c:v>
                </c:pt>
                <c:pt idx="100">
                  <c:v>-8.9915866091226544</c:v>
                </c:pt>
                <c:pt idx="101">
                  <c:v>-7.4707507298171913</c:v>
                </c:pt>
                <c:pt idx="102">
                  <c:v>14.910460912092649</c:v>
                </c:pt>
                <c:pt idx="103">
                  <c:v>13.753708672780109</c:v>
                </c:pt>
                <c:pt idx="104">
                  <c:v>21.391566741825933</c:v>
                </c:pt>
                <c:pt idx="105">
                  <c:v>27.184017534849982</c:v>
                </c:pt>
                <c:pt idx="106">
                  <c:v>27.302225625421528</c:v>
                </c:pt>
                <c:pt idx="107">
                  <c:v>6.5031422948702033</c:v>
                </c:pt>
                <c:pt idx="108">
                  <c:v>1.0494504308541508</c:v>
                </c:pt>
                <c:pt idx="109">
                  <c:v>-4.3439591618774687</c:v>
                </c:pt>
                <c:pt idx="110">
                  <c:v>-5.4718381928027782</c:v>
                </c:pt>
                <c:pt idx="111">
                  <c:v>-6.0152185444584303</c:v>
                </c:pt>
                <c:pt idx="112">
                  <c:v>-16.035677598228691</c:v>
                </c:pt>
                <c:pt idx="113">
                  <c:v>-12.899141293367004</c:v>
                </c:pt>
                <c:pt idx="114">
                  <c:v>-1.8870644119072406</c:v>
                </c:pt>
                <c:pt idx="115">
                  <c:v>-0.14453199516426757</c:v>
                </c:pt>
                <c:pt idx="116">
                  <c:v>-8.4583486564875194</c:v>
                </c:pt>
                <c:pt idx="117">
                  <c:v>12.305538947926729</c:v>
                </c:pt>
                <c:pt idx="118">
                  <c:v>8.5850499689153015</c:v>
                </c:pt>
                <c:pt idx="119">
                  <c:v>9.713463513947536</c:v>
                </c:pt>
                <c:pt idx="120">
                  <c:v>-3.4407158264607136</c:v>
                </c:pt>
                <c:pt idx="121">
                  <c:v>-4.7222179412883714</c:v>
                </c:pt>
                <c:pt idx="122">
                  <c:v>-10.27104388905488</c:v>
                </c:pt>
                <c:pt idx="123">
                  <c:v>-2.2221712069490382</c:v>
                </c:pt>
                <c:pt idx="124">
                  <c:v>-7.4313574287194273</c:v>
                </c:pt>
                <c:pt idx="125">
                  <c:v>1.1510383303402298</c:v>
                </c:pt>
                <c:pt idx="126">
                  <c:v>25.871441256697633</c:v>
                </c:pt>
                <c:pt idx="127">
                  <c:v>26.216161070337446</c:v>
                </c:pt>
                <c:pt idx="128">
                  <c:v>15.006141410970615</c:v>
                </c:pt>
                <c:pt idx="129">
                  <c:v>21.402778101213844</c:v>
                </c:pt>
                <c:pt idx="130">
                  <c:v>1.8208529072435908</c:v>
                </c:pt>
                <c:pt idx="131">
                  <c:v>-10.289087939511351</c:v>
                </c:pt>
                <c:pt idx="132">
                  <c:v>-1.2989899210862035</c:v>
                </c:pt>
                <c:pt idx="133">
                  <c:v>-12.780928793403916</c:v>
                </c:pt>
                <c:pt idx="134">
                  <c:v>8.2676976637418331</c:v>
                </c:pt>
                <c:pt idx="135">
                  <c:v>15.326000827753123</c:v>
                </c:pt>
                <c:pt idx="136">
                  <c:v>11.83514945211348</c:v>
                </c:pt>
                <c:pt idx="137">
                  <c:v>11.218877254654972</c:v>
                </c:pt>
                <c:pt idx="138">
                  <c:v>50.147140437337058</c:v>
                </c:pt>
                <c:pt idx="139">
                  <c:v>29.658293954571885</c:v>
                </c:pt>
                <c:pt idx="140">
                  <c:v>17.145403591309726</c:v>
                </c:pt>
                <c:pt idx="141">
                  <c:v>13.537258473820604</c:v>
                </c:pt>
                <c:pt idx="142">
                  <c:v>32.976881151555283</c:v>
                </c:pt>
                <c:pt idx="143">
                  <c:v>46.679499602973451</c:v>
                </c:pt>
                <c:pt idx="144">
                  <c:v>65.715480283494827</c:v>
                </c:pt>
                <c:pt idx="145">
                  <c:v>28.725948562416381</c:v>
                </c:pt>
                <c:pt idx="146">
                  <c:v>17.649302777123182</c:v>
                </c:pt>
                <c:pt idx="147">
                  <c:v>25.27408828671965</c:v>
                </c:pt>
                <c:pt idx="148">
                  <c:v>-14.410985227519896</c:v>
                </c:pt>
                <c:pt idx="149">
                  <c:v>-35.405192904579998</c:v>
                </c:pt>
                <c:pt idx="150">
                  <c:v>-55.254391979994217</c:v>
                </c:pt>
                <c:pt idx="151">
                  <c:v>-85.023288086861257</c:v>
                </c:pt>
                <c:pt idx="152">
                  <c:v>-60.695227149687057</c:v>
                </c:pt>
                <c:pt idx="153">
                  <c:v>-29.288781154646646</c:v>
                </c:pt>
                <c:pt idx="154">
                  <c:v>-44.056682427096042</c:v>
                </c:pt>
                <c:pt idx="155">
                  <c:v>-15.710130389249473</c:v>
                </c:pt>
                <c:pt idx="156">
                  <c:v>-14.300819057553696</c:v>
                </c:pt>
                <c:pt idx="157">
                  <c:v>-2.5974322410800204</c:v>
                </c:pt>
                <c:pt idx="158">
                  <c:v>11.810618768788727</c:v>
                </c:pt>
                <c:pt idx="159">
                  <c:v>3.3208527877014102E-2</c:v>
                </c:pt>
                <c:pt idx="160">
                  <c:v>-23.450195098495616</c:v>
                </c:pt>
                <c:pt idx="161">
                  <c:v>-16.313819590965597</c:v>
                </c:pt>
                <c:pt idx="162">
                  <c:v>-18.161405943952424</c:v>
                </c:pt>
                <c:pt idx="163">
                  <c:v>-7.0037426304639085</c:v>
                </c:pt>
                <c:pt idx="164">
                  <c:v>-12.889808994211903</c:v>
                </c:pt>
                <c:pt idx="165">
                  <c:v>7.2240101594123116</c:v>
                </c:pt>
                <c:pt idx="166">
                  <c:v>0.29400431906115898</c:v>
                </c:pt>
                <c:pt idx="167">
                  <c:v>11.782472702264428</c:v>
                </c:pt>
                <c:pt idx="168">
                  <c:v>10.747000879706439</c:v>
                </c:pt>
                <c:pt idx="169">
                  <c:v>17.099371099526874</c:v>
                </c:pt>
                <c:pt idx="170">
                  <c:v>7.392321591442963</c:v>
                </c:pt>
              </c:numCache>
            </c:numRef>
          </c:val>
          <c:extLst>
            <c:ext xmlns:c16="http://schemas.microsoft.com/office/drawing/2014/chart" uri="{C3380CC4-5D6E-409C-BE32-E72D297353CC}">
              <c16:uniqueId val="{00000000-C7FF-445D-9670-4F3B99E16E30}"/>
            </c:ext>
          </c:extLst>
        </c:ser>
        <c:dLbls>
          <c:showLegendKey val="0"/>
          <c:showVal val="0"/>
          <c:showCatName val="0"/>
          <c:showSerName val="0"/>
          <c:showPercent val="0"/>
          <c:showBubbleSize val="0"/>
        </c:dLbls>
        <c:gapWidth val="260"/>
        <c:overlap val="1"/>
        <c:axId val="301120544"/>
        <c:axId val="301120152"/>
      </c:barChart>
      <c:lineChart>
        <c:grouping val="standard"/>
        <c:varyColors val="0"/>
        <c:ser>
          <c:idx val="0"/>
          <c:order val="0"/>
          <c:tx>
            <c:v>Production</c:v>
          </c:tx>
          <c:spPr>
            <a:ln w="9525">
              <a:noFill/>
            </a:ln>
          </c:spPr>
          <c:marker>
            <c:symbol val="circle"/>
            <c:size val="4"/>
            <c:spPr>
              <a:solidFill>
                <a:schemeClr val="tx1"/>
              </a:solidFill>
              <a:ln>
                <a:solidFill>
                  <a:schemeClr val="tx1"/>
                </a:solidFill>
              </a:ln>
            </c:spPr>
          </c:marker>
          <c:dPt>
            <c:idx val="11"/>
            <c:bubble3D val="0"/>
            <c:extLst>
              <c:ext xmlns:c16="http://schemas.microsoft.com/office/drawing/2014/chart" uri="{C3380CC4-5D6E-409C-BE32-E72D297353CC}">
                <c16:uniqueId val="{00000001-52D8-4B90-959D-C2B729B125AA}"/>
              </c:ext>
            </c:extLst>
          </c:dPt>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'SP02'!$X$3:$X$176</c:f>
              <c:numCache>
                <c:formatCode>0</c:formatCode>
                <c:ptCount val="174"/>
                <c:pt idx="3">
                  <c:v>58.153573129389841</c:v>
                </c:pt>
                <c:pt idx="4">
                  <c:v>51.923709020338165</c:v>
                </c:pt>
                <c:pt idx="5">
                  <c:v>77.293128023344025</c:v>
                </c:pt>
                <c:pt idx="6">
                  <c:v>133.74873112486415</c:v>
                </c:pt>
                <c:pt idx="7">
                  <c:v>145.57638362822786</c:v>
                </c:pt>
                <c:pt idx="8">
                  <c:v>152.64930689753609</c:v>
                </c:pt>
                <c:pt idx="9">
                  <c:v>140.93598300024678</c:v>
                </c:pt>
                <c:pt idx="10">
                  <c:v>147.43952306592428</c:v>
                </c:pt>
                <c:pt idx="11">
                  <c:v>155.81799486668152</c:v>
                </c:pt>
                <c:pt idx="12">
                  <c:v>111.51367558655606</c:v>
                </c:pt>
                <c:pt idx="13">
                  <c:v>71.602049261278282</c:v>
                </c:pt>
                <c:pt idx="14">
                  <c:v>50.103687872771779</c:v>
                </c:pt>
                <c:pt idx="15">
                  <c:v>29.604032745957284</c:v>
                </c:pt>
                <c:pt idx="16">
                  <c:v>32.904020552085967</c:v>
                </c:pt>
                <c:pt idx="17">
                  <c:v>37.904167484129971</c:v>
                </c:pt>
                <c:pt idx="18">
                  <c:v>42.556643358874453</c:v>
                </c:pt>
                <c:pt idx="19">
                  <c:v>71.379094450971692</c:v>
                </c:pt>
                <c:pt idx="20">
                  <c:v>82.532638773179272</c:v>
                </c:pt>
                <c:pt idx="21">
                  <c:v>94.640039904071187</c:v>
                </c:pt>
                <c:pt idx="22">
                  <c:v>96.364068660707034</c:v>
                </c:pt>
                <c:pt idx="23">
                  <c:v>79.212146736237983</c:v>
                </c:pt>
                <c:pt idx="24">
                  <c:v>60.495430291008695</c:v>
                </c:pt>
                <c:pt idx="25">
                  <c:v>65.657043384959763</c:v>
                </c:pt>
                <c:pt idx="26">
                  <c:v>62.413284061864225</c:v>
                </c:pt>
                <c:pt idx="27">
                  <c:v>72.139807120636249</c:v>
                </c:pt>
                <c:pt idx="28">
                  <c:v>67.594430840306302</c:v>
                </c:pt>
                <c:pt idx="29">
                  <c:v>71.424788005881553</c:v>
                </c:pt>
                <c:pt idx="30">
                  <c:v>92.78455626424433</c:v>
                </c:pt>
                <c:pt idx="31">
                  <c:v>94.485639168107156</c:v>
                </c:pt>
                <c:pt idx="32">
                  <c:v>77.5086937834227</c:v>
                </c:pt>
                <c:pt idx="33">
                  <c:v>64.979255388549703</c:v>
                </c:pt>
                <c:pt idx="34">
                  <c:v>54.851893169690371</c:v>
                </c:pt>
                <c:pt idx="35">
                  <c:v>60.249658949841482</c:v>
                </c:pt>
                <c:pt idx="36">
                  <c:v>69.576426494823224</c:v>
                </c:pt>
                <c:pt idx="37">
                  <c:v>68.092701361472606</c:v>
                </c:pt>
                <c:pt idx="38">
                  <c:v>73.486434531920509</c:v>
                </c:pt>
                <c:pt idx="39">
                  <c:v>80.203880271676212</c:v>
                </c:pt>
                <c:pt idx="40">
                  <c:v>82.74359978865445</c:v>
                </c:pt>
                <c:pt idx="41">
                  <c:v>73.393500543646809</c:v>
                </c:pt>
                <c:pt idx="42">
                  <c:v>84.267353464978854</c:v>
                </c:pt>
                <c:pt idx="43">
                  <c:v>88.808276347632997</c:v>
                </c:pt>
                <c:pt idx="44">
                  <c:v>104.0915221838428</c:v>
                </c:pt>
                <c:pt idx="45">
                  <c:v>119.88136934226405</c:v>
                </c:pt>
                <c:pt idx="46">
                  <c:v>124.48741859115289</c:v>
                </c:pt>
                <c:pt idx="47">
                  <c:v>139.05631564354292</c:v>
                </c:pt>
                <c:pt idx="48">
                  <c:v>148.87488459106075</c:v>
                </c:pt>
                <c:pt idx="49">
                  <c:v>137.81417200611628</c:v>
                </c:pt>
                <c:pt idx="50">
                  <c:v>112.08831691688668</c:v>
                </c:pt>
                <c:pt idx="51">
                  <c:v>97.078049421081616</c:v>
                </c:pt>
                <c:pt idx="52">
                  <c:v>83.806221149128277</c:v>
                </c:pt>
                <c:pt idx="53">
                  <c:v>81.064372720399206</c:v>
                </c:pt>
                <c:pt idx="54">
                  <c:v>65.50690214092414</c:v>
                </c:pt>
                <c:pt idx="55">
                  <c:v>59.761448778220071</c:v>
                </c:pt>
                <c:pt idx="56">
                  <c:v>60.679682370996474</c:v>
                </c:pt>
                <c:pt idx="57">
                  <c:v>85.704814074020618</c:v>
                </c:pt>
                <c:pt idx="58">
                  <c:v>93.623460667852754</c:v>
                </c:pt>
                <c:pt idx="59">
                  <c:v>103.78279458428418</c:v>
                </c:pt>
                <c:pt idx="60">
                  <c:v>105.06312887380707</c:v>
                </c:pt>
                <c:pt idx="61">
                  <c:v>141.68082966314222</c:v>
                </c:pt>
                <c:pt idx="62">
                  <c:v>149.39152870506589</c:v>
                </c:pt>
                <c:pt idx="63">
                  <c:v>149.78032215272771</c:v>
                </c:pt>
                <c:pt idx="64">
                  <c:v>150.81818977669712</c:v>
                </c:pt>
                <c:pt idx="65">
                  <c:v>191.67707649313022</c:v>
                </c:pt>
                <c:pt idx="66">
                  <c:v>226.07437167898303</c:v>
                </c:pt>
                <c:pt idx="67">
                  <c:v>243.86434693367758</c:v>
                </c:pt>
                <c:pt idx="68">
                  <c:v>225.02769944427669</c:v>
                </c:pt>
                <c:pt idx="69">
                  <c:v>216.79562092070654</c:v>
                </c:pt>
                <c:pt idx="70">
                  <c:v>218.66745827362408</c:v>
                </c:pt>
                <c:pt idx="71">
                  <c:v>226.15665753367784</c:v>
                </c:pt>
                <c:pt idx="72">
                  <c:v>194.05698894261249</c:v>
                </c:pt>
                <c:pt idx="73">
                  <c:v>156.62377127782159</c:v>
                </c:pt>
                <c:pt idx="74">
                  <c:v>141.49738812502741</c:v>
                </c:pt>
                <c:pt idx="75">
                  <c:v>148.73281136459704</c:v>
                </c:pt>
                <c:pt idx="76">
                  <c:v>179.97971042369724</c:v>
                </c:pt>
                <c:pt idx="77">
                  <c:v>184.46679898890156</c:v>
                </c:pt>
                <c:pt idx="93">
                  <c:v>216.27285732493829</c:v>
                </c:pt>
                <c:pt idx="94">
                  <c:v>230.14149189452183</c:v>
                </c:pt>
                <c:pt idx="95">
                  <c:v>200.16141294632311</c:v>
                </c:pt>
                <c:pt idx="96">
                  <c:v>211.57931673390922</c:v>
                </c:pt>
                <c:pt idx="97">
                  <c:v>205.98405507457375</c:v>
                </c:pt>
                <c:pt idx="98">
                  <c:v>175.3081396885878</c:v>
                </c:pt>
                <c:pt idx="99">
                  <c:v>181.69852966103943</c:v>
                </c:pt>
                <c:pt idx="100">
                  <c:v>179.51357484686579</c:v>
                </c:pt>
                <c:pt idx="101">
                  <c:v>193.47553342772443</c:v>
                </c:pt>
                <c:pt idx="102">
                  <c:v>236.03255624732711</c:v>
                </c:pt>
                <c:pt idx="103">
                  <c:v>228.41208469018065</c:v>
                </c:pt>
                <c:pt idx="104">
                  <c:v>238.57174677344983</c:v>
                </c:pt>
                <c:pt idx="105">
                  <c:v>282.53637929162034</c:v>
                </c:pt>
                <c:pt idx="106">
                  <c:v>280.38813821411412</c:v>
                </c:pt>
                <c:pt idx="107">
                  <c:v>264.14720069789325</c:v>
                </c:pt>
                <c:pt idx="108">
                  <c:v>238.17300082474216</c:v>
                </c:pt>
                <c:pt idx="109">
                  <c:v>229.04575661883342</c:v>
                </c:pt>
                <c:pt idx="110">
                  <c:v>246.54455853752629</c:v>
                </c:pt>
                <c:pt idx="111">
                  <c:v>247.54517007828443</c:v>
                </c:pt>
                <c:pt idx="112">
                  <c:v>237.17134261489863</c:v>
                </c:pt>
                <c:pt idx="113">
                  <c:v>233.45388623588931</c:v>
                </c:pt>
                <c:pt idx="114">
                  <c:v>222.68369105205193</c:v>
                </c:pt>
                <c:pt idx="115">
                  <c:v>215.90807584324168</c:v>
                </c:pt>
                <c:pt idx="116">
                  <c:v>219.73175234069504</c:v>
                </c:pt>
                <c:pt idx="117">
                  <c:v>221.74713139908505</c:v>
                </c:pt>
                <c:pt idx="118">
                  <c:v>209.85942368064698</c:v>
                </c:pt>
                <c:pt idx="119">
                  <c:v>209.29208427592357</c:v>
                </c:pt>
                <c:pt idx="120">
                  <c:v>209.20557247445794</c:v>
                </c:pt>
                <c:pt idx="121">
                  <c:v>217.73001556086822</c:v>
                </c:pt>
                <c:pt idx="122">
                  <c:v>248.88281851078847</c:v>
                </c:pt>
                <c:pt idx="123">
                  <c:v>246.54731089178421</c:v>
                </c:pt>
                <c:pt idx="124">
                  <c:v>236.47559271545111</c:v>
                </c:pt>
                <c:pt idx="125">
                  <c:v>244.09260784553203</c:v>
                </c:pt>
                <c:pt idx="126">
                  <c:v>259.48731962485402</c:v>
                </c:pt>
                <c:pt idx="127">
                  <c:v>250.05472295608547</c:v>
                </c:pt>
                <c:pt idx="128">
                  <c:v>262.91825347861277</c:v>
                </c:pt>
                <c:pt idx="129">
                  <c:v>241.09137223047099</c:v>
                </c:pt>
                <c:pt idx="130">
                  <c:v>221.53449019794638</c:v>
                </c:pt>
                <c:pt idx="131">
                  <c:v>241.64278737456149</c:v>
                </c:pt>
                <c:pt idx="132">
                  <c:v>265.29649981640506</c:v>
                </c:pt>
                <c:pt idx="133">
                  <c:v>270.37738879421215</c:v>
                </c:pt>
                <c:pt idx="134">
                  <c:v>313.08004925830301</c:v>
                </c:pt>
                <c:pt idx="135">
                  <c:v>335.75309080953173</c:v>
                </c:pt>
                <c:pt idx="136">
                  <c:v>400.64676774513561</c:v>
                </c:pt>
                <c:pt idx="137">
                  <c:v>456.65808823802502</c:v>
                </c:pt>
                <c:pt idx="138">
                  <c:v>448.18590956950442</c:v>
                </c:pt>
                <c:pt idx="139">
                  <c:v>448.17006236414142</c:v>
                </c:pt>
                <c:pt idx="140">
                  <c:v>480.99736996015497</c:v>
                </c:pt>
                <c:pt idx="141">
                  <c:v>494.98755140683943</c:v>
                </c:pt>
                <c:pt idx="142">
                  <c:v>517.04469191041767</c:v>
                </c:pt>
                <c:pt idx="143">
                  <c:v>490.86953053922343</c:v>
                </c:pt>
                <c:pt idx="144">
                  <c:v>465.74519929196418</c:v>
                </c:pt>
                <c:pt idx="145">
                  <c:v>473.69545286337274</c:v>
                </c:pt>
                <c:pt idx="146">
                  <c:v>481.45499716426446</c:v>
                </c:pt>
                <c:pt idx="147">
                  <c:v>496.0531360605425</c:v>
                </c:pt>
                <c:pt idx="148">
                  <c:v>451.94945660144731</c:v>
                </c:pt>
                <c:pt idx="149">
                  <c:v>473.30291883779608</c:v>
                </c:pt>
                <c:pt idx="150">
                  <c:v>449.62072539508165</c:v>
                </c:pt>
                <c:pt idx="151">
                  <c:v>478.24121136590139</c:v>
                </c:pt>
                <c:pt idx="152">
                  <c:v>493.13019025209906</c:v>
                </c:pt>
                <c:pt idx="153">
                  <c:v>476.65624018800366</c:v>
                </c:pt>
                <c:pt idx="154">
                  <c:v>401.16494895324473</c:v>
                </c:pt>
                <c:pt idx="155">
                  <c:v>416.38202788039797</c:v>
                </c:pt>
                <c:pt idx="156">
                  <c:v>332.02279980670602</c:v>
                </c:pt>
                <c:pt idx="157">
                  <c:v>297.03049554533169</c:v>
                </c:pt>
                <c:pt idx="158">
                  <c:v>257.28217291047866</c:v>
                </c:pt>
                <c:pt idx="159">
                  <c:v>238.53451757733896</c:v>
                </c:pt>
                <c:pt idx="160">
                  <c:v>219.46324999988059</c:v>
                </c:pt>
                <c:pt idx="161">
                  <c:v>219.53906735200499</c:v>
                </c:pt>
                <c:pt idx="162">
                  <c:v>184.98029788145968</c:v>
                </c:pt>
                <c:pt idx="163">
                  <c:v>194.79453385002898</c:v>
                </c:pt>
                <c:pt idx="164">
                  <c:v>213.77424395378551</c:v>
                </c:pt>
                <c:pt idx="165">
                  <c:v>216.64056521782348</c:v>
                </c:pt>
                <c:pt idx="166">
                  <c:v>204.45435567895589</c:v>
                </c:pt>
                <c:pt idx="167">
                  <c:v>199.84521208924022</c:v>
                </c:pt>
                <c:pt idx="168">
                  <c:v>197.31038456373011</c:v>
                </c:pt>
                <c:pt idx="169">
                  <c:v>208.18521850268812</c:v>
                </c:pt>
                <c:pt idx="170">
                  <c:v>184.69015083278777</c:v>
                </c:pt>
              </c:numCache>
            </c:numRef>
          </c:val>
          <c:smooth val="0"/>
          <c:extLst>
            <c:ext xmlns:c16="http://schemas.microsoft.com/office/drawing/2014/chart" uri="{C3380CC4-5D6E-409C-BE32-E72D297353CC}">
              <c16:uniqueId val="{00000001-6D44-446C-99F6-8CCDE8B7857C}"/>
            </c:ext>
          </c:extLst>
        </c:ser>
        <c:ser>
          <c:idx val="1"/>
          <c:order val="2"/>
          <c:tx>
            <c:v>Respiration</c:v>
          </c:tx>
          <c:spPr>
            <a:ln w="9525">
              <a:noFill/>
            </a:ln>
          </c:spPr>
          <c:marker>
            <c:symbol val="circle"/>
            <c:size val="4"/>
            <c:spPr>
              <a:solidFill>
                <a:schemeClr val="bg1">
                  <a:lumMod val="75000"/>
                </a:schemeClr>
              </a:solidFill>
              <a:ln>
                <a:solidFill>
                  <a:sysClr val="windowText" lastClr="000000"/>
                </a:solidFill>
              </a:ln>
            </c:spPr>
          </c:marker>
          <c:dPt>
            <c:idx val="11"/>
            <c:bubble3D val="0"/>
            <c:extLst>
              <c:ext xmlns:c16="http://schemas.microsoft.com/office/drawing/2014/chart" uri="{C3380CC4-5D6E-409C-BE32-E72D297353CC}">
                <c16:uniqueId val="{00000003-52D8-4B90-959D-C2B729B125AA}"/>
              </c:ext>
            </c:extLst>
          </c:dPt>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'SP02'!$Y$3:$Y$176</c:f>
              <c:numCache>
                <c:formatCode>0</c:formatCode>
                <c:ptCount val="174"/>
                <c:pt idx="3">
                  <c:v>-65.595675098904039</c:v>
                </c:pt>
                <c:pt idx="4">
                  <c:v>-60.777171987962014</c:v>
                </c:pt>
                <c:pt idx="5">
                  <c:v>-78.80581948185862</c:v>
                </c:pt>
                <c:pt idx="6">
                  <c:v>-110.58066216130408</c:v>
                </c:pt>
                <c:pt idx="7">
                  <c:v>-128.54600708952853</c:v>
                </c:pt>
                <c:pt idx="8">
                  <c:v>-136.05204734249904</c:v>
                </c:pt>
                <c:pt idx="9">
                  <c:v>-138.96631721149407</c:v>
                </c:pt>
                <c:pt idx="10">
                  <c:v>-132.2554428556428</c:v>
                </c:pt>
                <c:pt idx="11">
                  <c:v>-137.46513465049506</c:v>
                </c:pt>
                <c:pt idx="12">
                  <c:v>-107.3179130768829</c:v>
                </c:pt>
                <c:pt idx="13">
                  <c:v>-84.425674237419273</c:v>
                </c:pt>
                <c:pt idx="14">
                  <c:v>-64.109382611477983</c:v>
                </c:pt>
                <c:pt idx="15">
                  <c:v>-57.344151547424424</c:v>
                </c:pt>
                <c:pt idx="16">
                  <c:v>-54.76598551181803</c:v>
                </c:pt>
                <c:pt idx="17">
                  <c:v>-66.121909797625804</c:v>
                </c:pt>
                <c:pt idx="18">
                  <c:v>-70.360351934217164</c:v>
                </c:pt>
                <c:pt idx="19">
                  <c:v>-84.762990543245138</c:v>
                </c:pt>
                <c:pt idx="20">
                  <c:v>-93.123946355994661</c:v>
                </c:pt>
                <c:pt idx="21">
                  <c:v>-108.60719860036193</c:v>
                </c:pt>
                <c:pt idx="22">
                  <c:v>-96.516036676140601</c:v>
                </c:pt>
                <c:pt idx="23">
                  <c:v>-63.344379015930222</c:v>
                </c:pt>
                <c:pt idx="24">
                  <c:v>-55.005383374095437</c:v>
                </c:pt>
                <c:pt idx="25">
                  <c:v>-71.882057469254619</c:v>
                </c:pt>
                <c:pt idx="26">
                  <c:v>-72.161559157957299</c:v>
                </c:pt>
                <c:pt idx="27">
                  <c:v>-76.826437642482801</c:v>
                </c:pt>
                <c:pt idx="28">
                  <c:v>-58.362083147797343</c:v>
                </c:pt>
                <c:pt idx="29">
                  <c:v>-62.256777824782382</c:v>
                </c:pt>
                <c:pt idx="30">
                  <c:v>-98.378555256868779</c:v>
                </c:pt>
                <c:pt idx="31">
                  <c:v>-96.446863928541347</c:v>
                </c:pt>
                <c:pt idx="32">
                  <c:v>-73.178422515400285</c:v>
                </c:pt>
                <c:pt idx="33">
                  <c:v>-69.380487690942161</c:v>
                </c:pt>
                <c:pt idx="34">
                  <c:v>-65.211493462184777</c:v>
                </c:pt>
                <c:pt idx="35">
                  <c:v>-76.822191219612407</c:v>
                </c:pt>
                <c:pt idx="36">
                  <c:v>-92.200011205332501</c:v>
                </c:pt>
                <c:pt idx="37">
                  <c:v>-82.592672072112563</c:v>
                </c:pt>
                <c:pt idx="38">
                  <c:v>-87.325964258102204</c:v>
                </c:pt>
                <c:pt idx="39">
                  <c:v>-93.59055993437849</c:v>
                </c:pt>
                <c:pt idx="40">
                  <c:v>-86.930712708047153</c:v>
                </c:pt>
                <c:pt idx="41">
                  <c:v>-71.153388677437391</c:v>
                </c:pt>
                <c:pt idx="42">
                  <c:v>-91.015412201741682</c:v>
                </c:pt>
                <c:pt idx="43">
                  <c:v>-98.177866523578942</c:v>
                </c:pt>
                <c:pt idx="44">
                  <c:v>-116.31475555749249</c:v>
                </c:pt>
                <c:pt idx="45">
                  <c:v>-124.60355422632713</c:v>
                </c:pt>
                <c:pt idx="46">
                  <c:v>-122.84461972700667</c:v>
                </c:pt>
                <c:pt idx="47">
                  <c:v>-139.00770532415802</c:v>
                </c:pt>
                <c:pt idx="48">
                  <c:v>-154.26512330959335</c:v>
                </c:pt>
                <c:pt idx="49">
                  <c:v>-137.80810102148274</c:v>
                </c:pt>
                <c:pt idx="50">
                  <c:v>-110.38068423559537</c:v>
                </c:pt>
                <c:pt idx="51">
                  <c:v>-97.751386718505202</c:v>
                </c:pt>
                <c:pt idx="52">
                  <c:v>-81.553929791091988</c:v>
                </c:pt>
                <c:pt idx="53">
                  <c:v>-86.139992827774435</c:v>
                </c:pt>
                <c:pt idx="54">
                  <c:v>-74.5807067513107</c:v>
                </c:pt>
                <c:pt idx="55">
                  <c:v>-73.0578827918267</c:v>
                </c:pt>
                <c:pt idx="56">
                  <c:v>-63.738599975793996</c:v>
                </c:pt>
                <c:pt idx="57">
                  <c:v>-81.83055568005804</c:v>
                </c:pt>
                <c:pt idx="58">
                  <c:v>-88.9593922270072</c:v>
                </c:pt>
                <c:pt idx="59">
                  <c:v>-111.75858096633546</c:v>
                </c:pt>
                <c:pt idx="60">
                  <c:v>-104.12874022108385</c:v>
                </c:pt>
                <c:pt idx="61">
                  <c:v>-137.77682073760539</c:v>
                </c:pt>
                <c:pt idx="62">
                  <c:v>-141.15324115017054</c:v>
                </c:pt>
                <c:pt idx="63">
                  <c:v>-152.29336189641799</c:v>
                </c:pt>
                <c:pt idx="64">
                  <c:v>-158.87821886169104</c:v>
                </c:pt>
                <c:pt idx="65">
                  <c:v>-193.13317764159265</c:v>
                </c:pt>
                <c:pt idx="66">
                  <c:v>-225.92416175191684</c:v>
                </c:pt>
                <c:pt idx="67">
                  <c:v>-239.05841704855604</c:v>
                </c:pt>
                <c:pt idx="68">
                  <c:v>-220.42270880736595</c:v>
                </c:pt>
                <c:pt idx="69">
                  <c:v>-215.95806605798589</c:v>
                </c:pt>
                <c:pt idx="70">
                  <c:v>-211.68227810266234</c:v>
                </c:pt>
                <c:pt idx="71">
                  <c:v>-216.9905785768085</c:v>
                </c:pt>
                <c:pt idx="72">
                  <c:v>-192.67026135935836</c:v>
                </c:pt>
                <c:pt idx="73">
                  <c:v>-157.91324928195496</c:v>
                </c:pt>
                <c:pt idx="74">
                  <c:v>-151.48160643294185</c:v>
                </c:pt>
                <c:pt idx="75">
                  <c:v>-169.22437485077347</c:v>
                </c:pt>
                <c:pt idx="76">
                  <c:v>-179.96856836109646</c:v>
                </c:pt>
                <c:pt idx="77">
                  <c:v>-190.53706157063218</c:v>
                </c:pt>
                <c:pt idx="93">
                  <c:v>-217.94051340726486</c:v>
                </c:pt>
                <c:pt idx="94">
                  <c:v>-226.23354688040757</c:v>
                </c:pt>
                <c:pt idx="95">
                  <c:v>-213.58319056669006</c:v>
                </c:pt>
                <c:pt idx="96">
                  <c:v>-231.92010521341837</c:v>
                </c:pt>
                <c:pt idx="97">
                  <c:v>-236.49451339896314</c:v>
                </c:pt>
                <c:pt idx="98">
                  <c:v>-194.60652096866059</c:v>
                </c:pt>
                <c:pt idx="99">
                  <c:v>-198.39757520978631</c:v>
                </c:pt>
                <c:pt idx="100">
                  <c:v>-188.50516145598846</c:v>
                </c:pt>
                <c:pt idx="101">
                  <c:v>-200.94628415754161</c:v>
                </c:pt>
                <c:pt idx="102">
                  <c:v>-221.12209533523446</c:v>
                </c:pt>
                <c:pt idx="103">
                  <c:v>-214.6583760174006</c:v>
                </c:pt>
                <c:pt idx="104">
                  <c:v>-217.18018003162391</c:v>
                </c:pt>
                <c:pt idx="105">
                  <c:v>-255.35236175677042</c:v>
                </c:pt>
                <c:pt idx="106">
                  <c:v>-253.08591258869268</c:v>
                </c:pt>
                <c:pt idx="107">
                  <c:v>-257.644058403023</c:v>
                </c:pt>
                <c:pt idx="108">
                  <c:v>-237.12355039388802</c:v>
                </c:pt>
                <c:pt idx="109">
                  <c:v>-233.38971578071087</c:v>
                </c:pt>
                <c:pt idx="110">
                  <c:v>-252.01639673032909</c:v>
                </c:pt>
                <c:pt idx="111">
                  <c:v>-253.56038862274292</c:v>
                </c:pt>
                <c:pt idx="112">
                  <c:v>-253.20702021312738</c:v>
                </c:pt>
                <c:pt idx="113">
                  <c:v>-246.35302752925631</c:v>
                </c:pt>
                <c:pt idx="114">
                  <c:v>-224.57075546395919</c:v>
                </c:pt>
                <c:pt idx="115">
                  <c:v>-216.05260783840598</c:v>
                </c:pt>
                <c:pt idx="116">
                  <c:v>-228.19010099718258</c:v>
                </c:pt>
                <c:pt idx="117">
                  <c:v>-209.44159245115833</c:v>
                </c:pt>
                <c:pt idx="118">
                  <c:v>-201.27437371173167</c:v>
                </c:pt>
                <c:pt idx="119">
                  <c:v>-199.57862076197603</c:v>
                </c:pt>
                <c:pt idx="120">
                  <c:v>-212.64628830091868</c:v>
                </c:pt>
                <c:pt idx="121">
                  <c:v>-222.45223350215659</c:v>
                </c:pt>
                <c:pt idx="122">
                  <c:v>-259.15386239984326</c:v>
                </c:pt>
                <c:pt idx="123">
                  <c:v>-248.76948209873322</c:v>
                </c:pt>
                <c:pt idx="124">
                  <c:v>-243.90695014417057</c:v>
                </c:pt>
                <c:pt idx="125">
                  <c:v>-242.94156951519179</c:v>
                </c:pt>
                <c:pt idx="126">
                  <c:v>-233.61587836815639</c:v>
                </c:pt>
                <c:pt idx="127">
                  <c:v>-223.83856188574802</c:v>
                </c:pt>
                <c:pt idx="128">
                  <c:v>-247.9121120676422</c:v>
                </c:pt>
                <c:pt idx="129">
                  <c:v>-219.68859412925713</c:v>
                </c:pt>
                <c:pt idx="130">
                  <c:v>-219.71363729070282</c:v>
                </c:pt>
                <c:pt idx="131">
                  <c:v>-251.93187531407281</c:v>
                </c:pt>
                <c:pt idx="132">
                  <c:v>-266.59548973749128</c:v>
                </c:pt>
                <c:pt idx="133">
                  <c:v>-283.15831758761612</c:v>
                </c:pt>
                <c:pt idx="134">
                  <c:v>-304.81235159456116</c:v>
                </c:pt>
                <c:pt idx="135">
                  <c:v>-320.42708998177852</c:v>
                </c:pt>
                <c:pt idx="136">
                  <c:v>-388.81161829302215</c:v>
                </c:pt>
                <c:pt idx="137">
                  <c:v>-445.43921098337006</c:v>
                </c:pt>
                <c:pt idx="138">
                  <c:v>-398.03876913216743</c:v>
                </c:pt>
                <c:pt idx="139">
                  <c:v>-418.51176840956958</c:v>
                </c:pt>
                <c:pt idx="140">
                  <c:v>-463.8519663688453</c:v>
                </c:pt>
                <c:pt idx="141">
                  <c:v>-481.45029293301889</c:v>
                </c:pt>
                <c:pt idx="142">
                  <c:v>-484.06781075886238</c:v>
                </c:pt>
                <c:pt idx="143">
                  <c:v>-444.19003093625003</c:v>
                </c:pt>
                <c:pt idx="144">
                  <c:v>-400.02971900846944</c:v>
                </c:pt>
                <c:pt idx="145">
                  <c:v>-444.96950430095637</c:v>
                </c:pt>
                <c:pt idx="146">
                  <c:v>-463.80569438714127</c:v>
                </c:pt>
                <c:pt idx="147">
                  <c:v>-470.77904777382281</c:v>
                </c:pt>
                <c:pt idx="148">
                  <c:v>-466.36044182896711</c:v>
                </c:pt>
                <c:pt idx="149">
                  <c:v>-508.70811174237605</c:v>
                </c:pt>
                <c:pt idx="150">
                  <c:v>-504.87511737507583</c:v>
                </c:pt>
                <c:pt idx="151">
                  <c:v>-563.26449945276261</c:v>
                </c:pt>
                <c:pt idx="152">
                  <c:v>-553.82541740178624</c:v>
                </c:pt>
                <c:pt idx="153">
                  <c:v>-505.94502134265042</c:v>
                </c:pt>
                <c:pt idx="154">
                  <c:v>-445.22163138034085</c:v>
                </c:pt>
                <c:pt idx="155">
                  <c:v>-432.09215826964754</c:v>
                </c:pt>
                <c:pt idx="156">
                  <c:v>-346.32361886425969</c:v>
                </c:pt>
                <c:pt idx="157">
                  <c:v>-299.62792778641176</c:v>
                </c:pt>
                <c:pt idx="158">
                  <c:v>-245.47155414168986</c:v>
                </c:pt>
                <c:pt idx="159">
                  <c:v>-238.50130904946192</c:v>
                </c:pt>
                <c:pt idx="160">
                  <c:v>-242.91344509837614</c:v>
                </c:pt>
                <c:pt idx="161">
                  <c:v>-235.8528869429706</c:v>
                </c:pt>
                <c:pt idx="162">
                  <c:v>-203.14170382541212</c:v>
                </c:pt>
                <c:pt idx="163">
                  <c:v>-201.79827648049286</c:v>
                </c:pt>
                <c:pt idx="164">
                  <c:v>-226.66405294799742</c:v>
                </c:pt>
                <c:pt idx="165">
                  <c:v>-209.41655505841118</c:v>
                </c:pt>
                <c:pt idx="166">
                  <c:v>-204.16035135989475</c:v>
                </c:pt>
                <c:pt idx="167">
                  <c:v>-188.06273938697572</c:v>
                </c:pt>
                <c:pt idx="168">
                  <c:v>-186.56338368402365</c:v>
                </c:pt>
                <c:pt idx="169">
                  <c:v>-191.08584740316127</c:v>
                </c:pt>
                <c:pt idx="170">
                  <c:v>-177.29782924134477</c:v>
                </c:pt>
              </c:numCache>
            </c:numRef>
          </c:val>
          <c:smooth val="0"/>
          <c:extLst>
            <c:ext xmlns:c16="http://schemas.microsoft.com/office/drawing/2014/chart" uri="{C3380CC4-5D6E-409C-BE32-E72D297353CC}">
              <c16:uniqueId val="{00000000-6D44-446C-99F6-8CCDE8B7857C}"/>
            </c:ext>
          </c:extLst>
        </c:ser>
        <c:dLbls>
          <c:showLegendKey val="0"/>
          <c:showVal val="0"/>
          <c:showCatName val="0"/>
          <c:showSerName val="0"/>
          <c:showPercent val="0"/>
          <c:showBubbleSize val="0"/>
        </c:dLbls>
        <c:marker val="1"/>
        <c:smooth val="0"/>
        <c:axId val="301119368"/>
        <c:axId val="301119760"/>
      </c:lineChart>
      <c:scatterChart>
        <c:scatterStyle val="lineMarker"/>
        <c:varyColors val="0"/>
        <c:ser>
          <c:idx val="2"/>
          <c:order val="3"/>
          <c:tx>
            <c:v>Zero</c:v>
          </c:tx>
          <c:spPr>
            <a:ln w="6350">
              <a:solidFill>
                <a:schemeClr val="tx1"/>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2-6D44-446C-99F6-8CCDE8B7857C}"/>
            </c:ext>
          </c:extLst>
        </c:ser>
        <c:ser>
          <c:idx val="4"/>
          <c:order val="4"/>
          <c:tx>
            <c:v>Sample Dates</c:v>
          </c:tx>
          <c:spPr>
            <a:ln>
              <a:noFill/>
            </a:ln>
          </c:spPr>
          <c:marker>
            <c:symbol val="triangle"/>
            <c:size val="7"/>
            <c:spPr>
              <a:noFill/>
              <a:ln>
                <a:solidFill>
                  <a:schemeClr val="tx1"/>
                </a:solidFill>
              </a:ln>
            </c:spPr>
          </c:marker>
          <c:xVal>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Lit>
              <c:formatCode>General</c:formatCode>
              <c:ptCount val="20"/>
              <c:pt idx="0">
                <c:v>-500</c:v>
              </c:pt>
              <c:pt idx="1">
                <c:v>-500</c:v>
              </c:pt>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numLit>
          </c:yVal>
          <c:smooth val="0"/>
          <c:extLst>
            <c:ext xmlns:c16="http://schemas.microsoft.com/office/drawing/2014/chart" uri="{C3380CC4-5D6E-409C-BE32-E72D297353CC}">
              <c16:uniqueId val="{00000002-DBF2-4F55-AA8C-2B15DE1850E3}"/>
            </c:ext>
          </c:extLst>
        </c:ser>
        <c:dLbls>
          <c:showLegendKey val="0"/>
          <c:showVal val="0"/>
          <c:showCatName val="0"/>
          <c:showSerName val="0"/>
          <c:showPercent val="0"/>
          <c:showBubbleSize val="0"/>
        </c:dLbls>
        <c:axId val="301120544"/>
        <c:axId val="301120152"/>
      </c:scatterChart>
      <c:dateAx>
        <c:axId val="301119368"/>
        <c:scaling>
          <c:orientation val="minMax"/>
          <c:max val="41548"/>
          <c:min val="41365"/>
        </c:scaling>
        <c:delete val="0"/>
        <c:axPos val="b"/>
        <c:numFmt formatCode="mmm" sourceLinked="0"/>
        <c:majorTickMark val="out"/>
        <c:minorTickMark val="none"/>
        <c:tickLblPos val="nextTo"/>
        <c:spPr>
          <a:ln>
            <a:solidFill>
              <a:schemeClr val="tx1"/>
            </a:solidFill>
          </a:ln>
        </c:spPr>
        <c:crossAx val="301119760"/>
        <c:crossesAt val="-600"/>
        <c:auto val="1"/>
        <c:lblOffset val="100"/>
        <c:baseTimeUnit val="days"/>
        <c:majorUnit val="1"/>
        <c:majorTimeUnit val="months"/>
      </c:dateAx>
      <c:valAx>
        <c:axId val="301119760"/>
        <c:scaling>
          <c:orientation val="minMax"/>
          <c:max val="600"/>
          <c:min val="-600"/>
        </c:scaling>
        <c:delete val="0"/>
        <c:axPos val="l"/>
        <c:title>
          <c:tx>
            <c:rich>
              <a:bodyPr/>
              <a:lstStyle/>
              <a:p>
                <a:pPr>
                  <a:defRPr b="0"/>
                </a:pPr>
                <a:r>
                  <a:rPr lang="en-US" b="0"/>
                  <a:t>Ecosystem</a:t>
                </a:r>
                <a:r>
                  <a:rPr lang="en-US" b="0" baseline="0"/>
                  <a:t> </a:t>
                </a:r>
                <a:r>
                  <a:rPr lang="en-US" b="0"/>
                  <a:t>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1119368"/>
        <c:crosses val="autoZero"/>
        <c:crossBetween val="between"/>
      </c:valAx>
      <c:valAx>
        <c:axId val="301120152"/>
        <c:scaling>
          <c:orientation val="minMax"/>
          <c:max val="600"/>
          <c:min val="-600"/>
        </c:scaling>
        <c:delete val="0"/>
        <c:axPos val="r"/>
        <c:numFmt formatCode="0.0000" sourceLinked="1"/>
        <c:majorTickMark val="out"/>
        <c:minorTickMark val="none"/>
        <c:tickLblPos val="none"/>
        <c:spPr>
          <a:ln>
            <a:solidFill>
              <a:schemeClr val="tx1"/>
            </a:solidFill>
          </a:ln>
        </c:spPr>
        <c:crossAx val="301120544"/>
        <c:crosses val="max"/>
        <c:crossBetween val="between"/>
        <c:majorUnit val="200"/>
      </c:valAx>
      <c:catAx>
        <c:axId val="301120544"/>
        <c:scaling>
          <c:orientation val="minMax"/>
        </c:scaling>
        <c:delete val="1"/>
        <c:axPos val="b"/>
        <c:numFmt formatCode="[$-409]d\-mmm;@" sourceLinked="1"/>
        <c:majorTickMark val="out"/>
        <c:minorTickMark val="none"/>
        <c:tickLblPos val="nextTo"/>
        <c:crossAx val="301120152"/>
        <c:crosses val="autoZero"/>
        <c:auto val="0"/>
        <c:lblAlgn val="ctr"/>
        <c:lblOffset val="100"/>
        <c:noMultiLvlLbl val="0"/>
      </c:cat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SUM!$AL$5:$AL$24</c:f>
              <c:numCache>
                <c:formatCode>#,##0</c:formatCode>
                <c:ptCount val="20"/>
                <c:pt idx="0">
                  <c:v>416.33572658463657</c:v>
                </c:pt>
                <c:pt idx="1">
                  <c:v>323.4911341142938</c:v>
                </c:pt>
                <c:pt idx="2">
                  <c:v>190.0504001421541</c:v>
                </c:pt>
                <c:pt idx="3">
                  <c:v>588.96449151208799</c:v>
                </c:pt>
                <c:pt idx="4">
                  <c:v>633.48819320049597</c:v>
                </c:pt>
                <c:pt idx="5">
                  <c:v>449.58725804697394</c:v>
                </c:pt>
                <c:pt idx="6">
                  <c:v>545.40523563870931</c:v>
                </c:pt>
                <c:pt idx="7">
                  <c:v>608.84066944823667</c:v>
                </c:pt>
                <c:pt idx="8">
                  <c:v>553.40571556702798</c:v>
                </c:pt>
                <c:pt idx="9">
                  <c:v>512.6137541182045</c:v>
                </c:pt>
                <c:pt idx="10">
                  <c:v>393.36752530770252</c:v>
                </c:pt>
                <c:pt idx="11">
                  <c:v>582.08651640232802</c:v>
                </c:pt>
                <c:pt idx="12">
                  <c:v>288.82007702627038</c:v>
                </c:pt>
                <c:pt idx="13">
                  <c:v>325.00061934857536</c:v>
                </c:pt>
                <c:pt idx="14">
                  <c:v>559.11167208775612</c:v>
                </c:pt>
                <c:pt idx="15">
                  <c:v>399.9048771326444</c:v>
                </c:pt>
                <c:pt idx="16">
                  <c:v>542.66073856863045</c:v>
                </c:pt>
                <c:pt idx="17">
                  <c:v>487.53422914829764</c:v>
                </c:pt>
                <c:pt idx="18">
                  <c:v>523.07043560830755</c:v>
                </c:pt>
                <c:pt idx="19">
                  <c:v>502.39909352571067</c:v>
                </c:pt>
              </c:numCache>
            </c:numRef>
          </c:val>
          <c:extLst>
            <c:ext xmlns:c16="http://schemas.microsoft.com/office/drawing/2014/chart" uri="{C3380CC4-5D6E-409C-BE32-E72D297353CC}">
              <c16:uniqueId val="{00000000-C7FF-445D-9670-4F3B99E16E30}"/>
            </c:ext>
          </c:extLst>
        </c:ser>
        <c:dLbls>
          <c:showLegendKey val="0"/>
          <c:showVal val="0"/>
          <c:showCatName val="0"/>
          <c:showSerName val="0"/>
          <c:showPercent val="0"/>
          <c:showBubbleSize val="0"/>
        </c:dLbls>
        <c:gapWidth val="260"/>
        <c:overlap val="1"/>
        <c:axId val="300909424"/>
        <c:axId val="300909032"/>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1-5239-477D-82F6-6E6F9E649B36}"/>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SUM!$AI$5:$AI$24</c:f>
              <c:numCache>
                <c:formatCode>#,##0</c:formatCode>
                <c:ptCount val="20"/>
                <c:pt idx="0">
                  <c:v>356.55969810143199</c:v>
                </c:pt>
                <c:pt idx="1">
                  <c:v>253.28132438718339</c:v>
                </c:pt>
                <c:pt idx="2">
                  <c:v>125.53848733579797</c:v>
                </c:pt>
                <c:pt idx="3">
                  <c:v>526.38445431376454</c:v>
                </c:pt>
                <c:pt idx="4">
                  <c:v>566.14550435517788</c:v>
                </c:pt>
                <c:pt idx="5">
                  <c:v>368.95972726430898</c:v>
                </c:pt>
                <c:pt idx="6">
                  <c:v>476.5532164128046</c:v>
                </c:pt>
                <c:pt idx="7">
                  <c:v>533.8832382667922</c:v>
                </c:pt>
                <c:pt idx="8">
                  <c:v>468.58061182902509</c:v>
                </c:pt>
                <c:pt idx="9">
                  <c:v>448.6695587750832</c:v>
                </c:pt>
                <c:pt idx="10">
                  <c:v>331.10565929868363</c:v>
                </c:pt>
                <c:pt idx="11">
                  <c:v>505.62044005047619</c:v>
                </c:pt>
                <c:pt idx="12">
                  <c:v>208.66112390735407</c:v>
                </c:pt>
                <c:pt idx="13">
                  <c:v>241.17160959359637</c:v>
                </c:pt>
                <c:pt idx="14">
                  <c:v>493.57650172959541</c:v>
                </c:pt>
                <c:pt idx="15">
                  <c:v>309.71614412660563</c:v>
                </c:pt>
                <c:pt idx="16">
                  <c:v>465.50534687335289</c:v>
                </c:pt>
                <c:pt idx="17">
                  <c:v>437.80494670664422</c:v>
                </c:pt>
                <c:pt idx="18">
                  <c:v>430.46935410972094</c:v>
                </c:pt>
                <c:pt idx="19">
                  <c:v>445.59411806759704</c:v>
                </c:pt>
              </c:numCache>
            </c:numRef>
          </c:val>
          <c:smooth val="0"/>
          <c:extLst>
            <c:ext xmlns:c16="http://schemas.microsoft.com/office/drawing/2014/chart" uri="{C3380CC4-5D6E-409C-BE32-E72D297353CC}">
              <c16:uniqueId val="{00000001-6D44-446C-99F6-8CCDE8B7857C}"/>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3-5239-477D-82F6-6E6F9E649B36}"/>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SUM!$AK$5:$AK$24</c:f>
              <c:numCache>
                <c:formatCode>#,##0</c:formatCode>
                <c:ptCount val="2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numCache>
            </c:numRef>
          </c:val>
          <c:smooth val="0"/>
          <c:extLst>
            <c:ext xmlns:c16="http://schemas.microsoft.com/office/drawing/2014/chart" uri="{C3380CC4-5D6E-409C-BE32-E72D297353CC}">
              <c16:uniqueId val="{00000000-6D44-446C-99F6-8CCDE8B7857C}"/>
            </c:ext>
          </c:extLst>
        </c:ser>
        <c:dLbls>
          <c:showLegendKey val="0"/>
          <c:showVal val="0"/>
          <c:showCatName val="0"/>
          <c:showSerName val="0"/>
          <c:showPercent val="0"/>
          <c:showBubbleSize val="0"/>
        </c:dLbls>
        <c:marker val="1"/>
        <c:smooth val="0"/>
        <c:axId val="300908248"/>
        <c:axId val="300908640"/>
      </c:lineChart>
      <c:scatterChart>
        <c:scatterStyle val="lineMarker"/>
        <c:varyColors val="0"/>
        <c:ser>
          <c:idx val="2"/>
          <c:order val="3"/>
          <c:tx>
            <c:v>Zero</c:v>
          </c:tx>
          <c:spPr>
            <a:ln w="6350">
              <a:solidFill>
                <a:sysClr val="windowText" lastClr="000000"/>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2-6D44-446C-99F6-8CCDE8B7857C}"/>
            </c:ext>
          </c:extLst>
        </c:ser>
        <c:dLbls>
          <c:showLegendKey val="0"/>
          <c:showVal val="0"/>
          <c:showCatName val="0"/>
          <c:showSerName val="0"/>
          <c:showPercent val="0"/>
          <c:showBubbleSize val="0"/>
        </c:dLbls>
        <c:axId val="300909424"/>
        <c:axId val="300909032"/>
      </c:scatterChart>
      <c:dateAx>
        <c:axId val="300908248"/>
        <c:scaling>
          <c:orientation val="minMax"/>
          <c:max val="41548"/>
          <c:min val="41365"/>
        </c:scaling>
        <c:delete val="0"/>
        <c:axPos val="b"/>
        <c:numFmt formatCode="mmm" sourceLinked="0"/>
        <c:majorTickMark val="out"/>
        <c:minorTickMark val="none"/>
        <c:tickLblPos val="none"/>
        <c:spPr>
          <a:ln>
            <a:solidFill>
              <a:schemeClr val="tx1"/>
            </a:solidFill>
          </a:ln>
        </c:spPr>
        <c:crossAx val="300908640"/>
        <c:crossesAt val="-600"/>
        <c:auto val="1"/>
        <c:lblOffset val="100"/>
        <c:baseTimeUnit val="days"/>
        <c:majorUnit val="1"/>
        <c:majorTimeUnit val="months"/>
      </c:dateAx>
      <c:valAx>
        <c:axId val="300908640"/>
        <c:scaling>
          <c:orientation val="minMax"/>
          <c:max val="400"/>
          <c:min val="-600"/>
        </c:scaling>
        <c:delete val="0"/>
        <c:axPos val="l"/>
        <c:title>
          <c:tx>
            <c:rich>
              <a:bodyPr/>
              <a:lstStyle/>
              <a:p>
                <a:pPr>
                  <a:defRPr b="0"/>
                </a:pPr>
                <a:r>
                  <a:rPr lang="en-US" b="0"/>
                  <a:t>Residual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0908248"/>
        <c:crosses val="autoZero"/>
        <c:crossBetween val="between"/>
        <c:majorUnit val="200"/>
      </c:valAx>
      <c:valAx>
        <c:axId val="300909032"/>
        <c:scaling>
          <c:orientation val="minMax"/>
          <c:max val="400"/>
          <c:min val="-600"/>
        </c:scaling>
        <c:delete val="0"/>
        <c:axPos val="r"/>
        <c:numFmt formatCode="#,##0" sourceLinked="1"/>
        <c:majorTickMark val="out"/>
        <c:minorTickMark val="none"/>
        <c:tickLblPos val="none"/>
        <c:spPr>
          <a:ln>
            <a:solidFill>
              <a:schemeClr val="tx1"/>
            </a:solidFill>
          </a:ln>
        </c:spPr>
        <c:crossAx val="300909424"/>
        <c:crosses val="max"/>
        <c:crossBetween val="between"/>
        <c:majorUnit val="200"/>
      </c:valAx>
      <c:dateAx>
        <c:axId val="300909424"/>
        <c:scaling>
          <c:orientation val="minMax"/>
        </c:scaling>
        <c:delete val="1"/>
        <c:axPos val="b"/>
        <c:numFmt formatCode="m/d/yy;@" sourceLinked="1"/>
        <c:majorTickMark val="out"/>
        <c:minorTickMark val="none"/>
        <c:tickLblPos val="nextTo"/>
        <c:crossAx val="300909032"/>
        <c:crosses val="autoZero"/>
        <c:auto val="1"/>
        <c:lblOffset val="100"/>
        <c:baseTimeUnit val="days"/>
      </c:date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SUM!$A$25:$A$44</c:f>
              <c:numCache>
                <c:formatCode>m/d</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SUM!$AL$25:$AL$44</c:f>
              <c:numCache>
                <c:formatCode>#,##0.0</c:formatCode>
                <c:ptCount val="20"/>
                <c:pt idx="0">
                  <c:v>385.45315958138701</c:v>
                </c:pt>
                <c:pt idx="1">
                  <c:v>352.01856886896155</c:v>
                </c:pt>
                <c:pt idx="2">
                  <c:v>177.46959216002926</c:v>
                </c:pt>
                <c:pt idx="3">
                  <c:v>603.24874684956876</c:v>
                </c:pt>
                <c:pt idx="4">
                  <c:v>594.5013723982014</c:v>
                </c:pt>
                <c:pt idx="5">
                  <c:v>477.59980929998267</c:v>
                </c:pt>
                <c:pt idx="6">
                  <c:v>508.23316257778686</c:v>
                </c:pt>
                <c:pt idx="7">
                  <c:v>621.69084831838722</c:v>
                </c:pt>
                <c:pt idx="8">
                  <c:v>4.472614717687776</c:v>
                </c:pt>
                <c:pt idx="9">
                  <c:v>30.801314717687788</c:v>
                </c:pt>
                <c:pt idx="10">
                  <c:v>-43.189393241780067</c:v>
                </c:pt>
                <c:pt idx="11">
                  <c:v>604.88360645805835</c:v>
                </c:pt>
                <c:pt idx="12">
                  <c:v>206.17809334150272</c:v>
                </c:pt>
                <c:pt idx="13">
                  <c:v>339.77188831193064</c:v>
                </c:pt>
                <c:pt idx="14">
                  <c:v>557.85918826740749</c:v>
                </c:pt>
                <c:pt idx="15">
                  <c:v>424.52347398128131</c:v>
                </c:pt>
                <c:pt idx="16">
                  <c:v>693.9003406479012</c:v>
                </c:pt>
                <c:pt idx="17">
                  <c:v>28.396023910670124</c:v>
                </c:pt>
                <c:pt idx="18">
                  <c:v>322.8422991243612</c:v>
                </c:pt>
                <c:pt idx="19">
                  <c:v>387.17930248111691</c:v>
                </c:pt>
              </c:numCache>
            </c:numRef>
          </c:val>
          <c:extLst>
            <c:ext xmlns:c16="http://schemas.microsoft.com/office/drawing/2014/chart" uri="{C3380CC4-5D6E-409C-BE32-E72D297353CC}">
              <c16:uniqueId val="{00000000-C7FF-445D-9670-4F3B99E16E30}"/>
            </c:ext>
          </c:extLst>
        </c:ser>
        <c:dLbls>
          <c:showLegendKey val="0"/>
          <c:showVal val="0"/>
          <c:showCatName val="0"/>
          <c:showSerName val="0"/>
          <c:showPercent val="0"/>
          <c:showBubbleSize val="0"/>
        </c:dLbls>
        <c:gapWidth val="260"/>
        <c:overlap val="1"/>
        <c:axId val="300911384"/>
        <c:axId val="300910992"/>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1-A791-46B4-85C1-235282AD187B}"/>
              </c:ext>
            </c:extLst>
          </c:dPt>
          <c:cat>
            <c:numRef>
              <c:f>SUM!$A$25:$A$44</c:f>
              <c:numCache>
                <c:formatCode>m/d</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SUM!$AI$25:$AI$44</c:f>
              <c:numCache>
                <c:formatCode>#,##0.0</c:formatCode>
                <c:ptCount val="20"/>
                <c:pt idx="0">
                  <c:v>299.59813169589989</c:v>
                </c:pt>
                <c:pt idx="1">
                  <c:v>225.85802783761338</c:v>
                </c:pt>
                <c:pt idx="2">
                  <c:v>77.63438296296296</c:v>
                </c:pt>
                <c:pt idx="3">
                  <c:v>483.47371925925933</c:v>
                </c:pt>
                <c:pt idx="4">
                  <c:v>472.99375037037032</c:v>
                </c:pt>
                <c:pt idx="5">
                  <c:v>334.69484888888906</c:v>
                </c:pt>
                <c:pt idx="6">
                  <c:v>411.30835555555547</c:v>
                </c:pt>
                <c:pt idx="7">
                  <c:v>491.93548333333348</c:v>
                </c:pt>
                <c:pt idx="8">
                  <c:v>-141.61884000000001</c:v>
                </c:pt>
                <c:pt idx="9">
                  <c:v>-115.29013999999999</c:v>
                </c:pt>
                <c:pt idx="10">
                  <c:v>-198.14718999999999</c:v>
                </c:pt>
                <c:pt idx="11">
                  <c:v>478.86419857142863</c:v>
                </c:pt>
                <c:pt idx="12">
                  <c:v>74.258719999999983</c:v>
                </c:pt>
                <c:pt idx="13">
                  <c:v>186.51404185185191</c:v>
                </c:pt>
                <c:pt idx="14">
                  <c:v>465.28718692307689</c:v>
                </c:pt>
                <c:pt idx="15">
                  <c:v>321.23493999999999</c:v>
                </c:pt>
                <c:pt idx="16">
                  <c:v>436.63307384615376</c:v>
                </c:pt>
                <c:pt idx="17">
                  <c:v>-160.2987</c:v>
                </c:pt>
                <c:pt idx="18">
                  <c:v>238.37037999999995</c:v>
                </c:pt>
                <c:pt idx="19">
                  <c:v>300.1436066666667</c:v>
                </c:pt>
              </c:numCache>
            </c:numRef>
          </c:val>
          <c:smooth val="0"/>
          <c:extLst>
            <c:ext xmlns:c16="http://schemas.microsoft.com/office/drawing/2014/chart" uri="{C3380CC4-5D6E-409C-BE32-E72D297353CC}">
              <c16:uniqueId val="{00000001-6D44-446C-99F6-8CCDE8B7857C}"/>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3-A791-46B4-85C1-235282AD187B}"/>
              </c:ext>
            </c:extLst>
          </c:dPt>
          <c:cat>
            <c:numRef>
              <c:f>SUM!$A$25:$A$44</c:f>
              <c:numCache>
                <c:formatCode>m/d</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SUM!$AK$25:$AK$44</c:f>
              <c:numCache>
                <c:formatCode>#,##0.0</c:formatCode>
                <c:ptCount val="20"/>
                <c:pt idx="0">
                  <c:v>85.85502788548709</c:v>
                </c:pt>
                <c:pt idx="1">
                  <c:v>126.16054103134817</c:v>
                </c:pt>
                <c:pt idx="2">
                  <c:v>99.83520919706632</c:v>
                </c:pt>
                <c:pt idx="3">
                  <c:v>119.77502759030943</c:v>
                </c:pt>
                <c:pt idx="4">
                  <c:v>121.50762202783106</c:v>
                </c:pt>
                <c:pt idx="5">
                  <c:v>142.90496041109358</c:v>
                </c:pt>
                <c:pt idx="6">
                  <c:v>96.92480702223142</c:v>
                </c:pt>
                <c:pt idx="7">
                  <c:v>129.75536498505375</c:v>
                </c:pt>
                <c:pt idx="8">
                  <c:v>146.09145471768778</c:v>
                </c:pt>
                <c:pt idx="9">
                  <c:v>146.09145471768778</c:v>
                </c:pt>
                <c:pt idx="10">
                  <c:v>154.95779675821993</c:v>
                </c:pt>
                <c:pt idx="11">
                  <c:v>126.01940788662971</c:v>
                </c:pt>
                <c:pt idx="12">
                  <c:v>131.91937334150273</c:v>
                </c:pt>
                <c:pt idx="13">
                  <c:v>153.25784646007872</c:v>
                </c:pt>
                <c:pt idx="14">
                  <c:v>92.572001344330658</c:v>
                </c:pt>
                <c:pt idx="15">
                  <c:v>103.28853398128129</c:v>
                </c:pt>
                <c:pt idx="16">
                  <c:v>257.26726680174738</c:v>
                </c:pt>
                <c:pt idx="17">
                  <c:v>188.69472391067012</c:v>
                </c:pt>
                <c:pt idx="18">
                  <c:v>84.471919124361264</c:v>
                </c:pt>
                <c:pt idx="19">
                  <c:v>87.035695814450207</c:v>
                </c:pt>
              </c:numCache>
            </c:numRef>
          </c:val>
          <c:smooth val="0"/>
          <c:extLst>
            <c:ext xmlns:c16="http://schemas.microsoft.com/office/drawing/2014/chart" uri="{C3380CC4-5D6E-409C-BE32-E72D297353CC}">
              <c16:uniqueId val="{00000000-6D44-446C-99F6-8CCDE8B7857C}"/>
            </c:ext>
          </c:extLst>
        </c:ser>
        <c:dLbls>
          <c:showLegendKey val="0"/>
          <c:showVal val="0"/>
          <c:showCatName val="0"/>
          <c:showSerName val="0"/>
          <c:showPercent val="0"/>
          <c:showBubbleSize val="0"/>
        </c:dLbls>
        <c:marker val="1"/>
        <c:smooth val="0"/>
        <c:axId val="300910208"/>
        <c:axId val="300910600"/>
      </c:lineChart>
      <c:scatterChart>
        <c:scatterStyle val="lineMarker"/>
        <c:varyColors val="0"/>
        <c:ser>
          <c:idx val="2"/>
          <c:order val="3"/>
          <c:tx>
            <c:v>Zero</c:v>
          </c:tx>
          <c:spPr>
            <a:ln w="6350">
              <a:solidFill>
                <a:sysClr val="windowText" lastClr="000000"/>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2-6D44-446C-99F6-8CCDE8B7857C}"/>
            </c:ext>
          </c:extLst>
        </c:ser>
        <c:dLbls>
          <c:showLegendKey val="0"/>
          <c:showVal val="0"/>
          <c:showCatName val="0"/>
          <c:showSerName val="0"/>
          <c:showPercent val="0"/>
          <c:showBubbleSize val="0"/>
        </c:dLbls>
        <c:axId val="300911384"/>
        <c:axId val="300910992"/>
      </c:scatterChart>
      <c:dateAx>
        <c:axId val="300910208"/>
        <c:scaling>
          <c:orientation val="minMax"/>
          <c:max val="41548"/>
          <c:min val="41365"/>
        </c:scaling>
        <c:delete val="0"/>
        <c:axPos val="b"/>
        <c:numFmt formatCode="mmm" sourceLinked="0"/>
        <c:majorTickMark val="out"/>
        <c:minorTickMark val="none"/>
        <c:tickLblPos val="nextTo"/>
        <c:spPr>
          <a:ln>
            <a:solidFill>
              <a:schemeClr val="tx1"/>
            </a:solidFill>
          </a:ln>
        </c:spPr>
        <c:crossAx val="300910600"/>
        <c:crossesAt val="-600"/>
        <c:auto val="1"/>
        <c:lblOffset val="100"/>
        <c:baseTimeUnit val="days"/>
        <c:majorUnit val="1"/>
        <c:majorTimeUnit val="months"/>
      </c:dateAx>
      <c:valAx>
        <c:axId val="300910600"/>
        <c:scaling>
          <c:orientation val="minMax"/>
          <c:max val="400"/>
          <c:min val="-600"/>
        </c:scaling>
        <c:delete val="0"/>
        <c:axPos val="l"/>
        <c:title>
          <c:tx>
            <c:rich>
              <a:bodyPr/>
              <a:lstStyle/>
              <a:p>
                <a:pPr>
                  <a:defRPr b="0"/>
                </a:pPr>
                <a:r>
                  <a:rPr lang="en-US" b="0"/>
                  <a:t>Residual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0910208"/>
        <c:crosses val="autoZero"/>
        <c:crossBetween val="between"/>
        <c:majorUnit val="200"/>
      </c:valAx>
      <c:valAx>
        <c:axId val="300910992"/>
        <c:scaling>
          <c:orientation val="minMax"/>
          <c:max val="400"/>
          <c:min val="-600"/>
        </c:scaling>
        <c:delete val="0"/>
        <c:axPos val="r"/>
        <c:numFmt formatCode="#,##0.0" sourceLinked="1"/>
        <c:majorTickMark val="out"/>
        <c:minorTickMark val="none"/>
        <c:tickLblPos val="none"/>
        <c:spPr>
          <a:ln>
            <a:solidFill>
              <a:schemeClr val="tx1"/>
            </a:solidFill>
          </a:ln>
        </c:spPr>
        <c:crossAx val="300911384"/>
        <c:crosses val="max"/>
        <c:crossBetween val="between"/>
        <c:majorUnit val="200"/>
      </c:valAx>
      <c:dateAx>
        <c:axId val="300911384"/>
        <c:scaling>
          <c:orientation val="minMax"/>
        </c:scaling>
        <c:delete val="1"/>
        <c:axPos val="b"/>
        <c:numFmt formatCode="m/d" sourceLinked="1"/>
        <c:majorTickMark val="out"/>
        <c:minorTickMark val="none"/>
        <c:tickLblPos val="nextTo"/>
        <c:crossAx val="300910992"/>
        <c:crosses val="autoZero"/>
        <c:auto val="1"/>
        <c:lblOffset val="100"/>
        <c:baseTimeUnit val="days"/>
      </c:dateAx>
      <c:spPr>
        <a:ln>
          <a:solidFill>
            <a:sysClr val="windowText" lastClr="000000"/>
          </a:solidFill>
        </a:ln>
      </c:spPr>
    </c:plotArea>
    <c:legend>
      <c:legendPos val="r"/>
      <c:legendEntry>
        <c:idx val="3"/>
        <c:delete val="1"/>
      </c:legendEntry>
      <c:layout>
        <c:manualLayout>
          <c:xMode val="edge"/>
          <c:yMode val="edge"/>
          <c:x val="0.16212962962962965"/>
          <c:y val="0.62261127103929848"/>
          <c:w val="0.23023148148148148"/>
          <c:h val="0.23355467011263711"/>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75328083989498"/>
          <c:y val="2.3158927151403549E-2"/>
          <c:w val="0.78196916010498685"/>
          <c:h val="0.79887197433654122"/>
        </c:manualLayout>
      </c:layout>
      <c:scatterChart>
        <c:scatterStyle val="lineMarker"/>
        <c:varyColors val="0"/>
        <c:ser>
          <c:idx val="0"/>
          <c:order val="0"/>
          <c:tx>
            <c:v>Production</c:v>
          </c:tx>
          <c:spPr>
            <a:ln w="28575">
              <a:noFill/>
            </a:ln>
          </c:spPr>
          <c:marker>
            <c:symbol val="circle"/>
            <c:size val="7"/>
            <c:spPr>
              <a:solidFill>
                <a:srgbClr val="000000"/>
              </a:solidFill>
              <a:ln>
                <a:solidFill>
                  <a:srgbClr val="000000"/>
                </a:solidFill>
                <a:prstDash val="solid"/>
              </a:ln>
            </c:spPr>
          </c:marker>
          <c:xVal>
            <c:numRef>
              <c:f>F_8!$V$2:$V$21</c:f>
              <c:numCache>
                <c:formatCode>#,##0.00</c:formatCode>
                <c:ptCount val="20"/>
                <c:pt idx="0">
                  <c:v>0.36437803866819979</c:v>
                </c:pt>
                <c:pt idx="1">
                  <c:v>0.2010614697818969</c:v>
                </c:pt>
                <c:pt idx="2">
                  <c:v>0.12602157272792375</c:v>
                </c:pt>
                <c:pt idx="3">
                  <c:v>0.45054151389014518</c:v>
                </c:pt>
                <c:pt idx="4">
                  <c:v>0.48466322493445946</c:v>
                </c:pt>
                <c:pt idx="5">
                  <c:v>0.32527699554449174</c:v>
                </c:pt>
                <c:pt idx="6">
                  <c:v>0.51103186012688062</c:v>
                </c:pt>
                <c:pt idx="7">
                  <c:v>0.46155341720557935</c:v>
                </c:pt>
                <c:pt idx="8">
                  <c:v>0.4894982243449541</c:v>
                </c:pt>
                <c:pt idx="9">
                  <c:v>0.39041791331240622</c:v>
                </c:pt>
                <c:pt idx="10">
                  <c:v>0.40267858616538338</c:v>
                </c:pt>
                <c:pt idx="11">
                  <c:v>0.33678519274950802</c:v>
                </c:pt>
                <c:pt idx="12">
                  <c:v>0.2217061891793419</c:v>
                </c:pt>
                <c:pt idx="13">
                  <c:v>0.17185665233189112</c:v>
                </c:pt>
                <c:pt idx="14">
                  <c:v>0.2833892422178842</c:v>
                </c:pt>
                <c:pt idx="15">
                  <c:v>0.20180437850835786</c:v>
                </c:pt>
                <c:pt idx="16">
                  <c:v>0.28932774414135443</c:v>
                </c:pt>
                <c:pt idx="17">
                  <c:v>0.3345186486070203</c:v>
                </c:pt>
                <c:pt idx="18">
                  <c:v>0.38137387352585556</c:v>
                </c:pt>
                <c:pt idx="19">
                  <c:v>0.36651057455564473</c:v>
                </c:pt>
              </c:numCache>
            </c:numRef>
          </c:xVal>
          <c:yVal>
            <c:numRef>
              <c:f>F_8!$W$2:$W$21</c:f>
              <c:numCache>
                <c:formatCode>#,##0</c:formatCode>
                <c:ptCount val="20"/>
                <c:pt idx="0">
                  <c:v>356.55969810143199</c:v>
                </c:pt>
                <c:pt idx="1">
                  <c:v>253.28132438718339</c:v>
                </c:pt>
                <c:pt idx="2">
                  <c:v>125.53848733579797</c:v>
                </c:pt>
                <c:pt idx="3">
                  <c:v>526.38445431376454</c:v>
                </c:pt>
                <c:pt idx="4">
                  <c:v>566.14550435517788</c:v>
                </c:pt>
                <c:pt idx="5">
                  <c:v>368.95972726430898</c:v>
                </c:pt>
                <c:pt idx="6">
                  <c:v>476.5532164128046</c:v>
                </c:pt>
                <c:pt idx="7">
                  <c:v>533.8832382667922</c:v>
                </c:pt>
                <c:pt idx="8">
                  <c:v>468.58061182902509</c:v>
                </c:pt>
                <c:pt idx="9">
                  <c:v>448.6695587750832</c:v>
                </c:pt>
                <c:pt idx="10">
                  <c:v>331.10565929868363</c:v>
                </c:pt>
                <c:pt idx="11">
                  <c:v>505.62044005047619</c:v>
                </c:pt>
                <c:pt idx="12">
                  <c:v>208.66112390735407</c:v>
                </c:pt>
                <c:pt idx="13">
                  <c:v>241.17160959359637</c:v>
                </c:pt>
                <c:pt idx="14">
                  <c:v>493.57650172959541</c:v>
                </c:pt>
                <c:pt idx="15">
                  <c:v>309.71614412660563</c:v>
                </c:pt>
                <c:pt idx="16">
                  <c:v>465.50534687335289</c:v>
                </c:pt>
                <c:pt idx="17">
                  <c:v>437.80494670664422</c:v>
                </c:pt>
                <c:pt idx="18">
                  <c:v>430.46935410972094</c:v>
                </c:pt>
                <c:pt idx="19">
                  <c:v>445.59411806759704</c:v>
                </c:pt>
              </c:numCache>
            </c:numRef>
          </c:yVal>
          <c:smooth val="0"/>
          <c:extLst>
            <c:ext xmlns:c16="http://schemas.microsoft.com/office/drawing/2014/chart" uri="{C3380CC4-5D6E-409C-BE32-E72D297353CC}">
              <c16:uniqueId val="{00000001-08AB-4412-9AD6-357B89C97DD2}"/>
            </c:ext>
          </c:extLst>
        </c:ser>
        <c:ser>
          <c:idx val="5"/>
          <c:order val="1"/>
          <c:tx>
            <c:v>Respiration</c:v>
          </c:tx>
          <c:spPr>
            <a:ln w="28575">
              <a:noFill/>
            </a:ln>
          </c:spPr>
          <c:marker>
            <c:symbol val="circle"/>
            <c:size val="7"/>
            <c:spPr>
              <a:noFill/>
              <a:ln>
                <a:solidFill>
                  <a:srgbClr val="000000"/>
                </a:solidFill>
                <a:prstDash val="solid"/>
              </a:ln>
            </c:spPr>
          </c:marker>
          <c:xVal>
            <c:numRef>
              <c:f>F_8!$V$2:$V$21</c:f>
              <c:numCache>
                <c:formatCode>#,##0.00</c:formatCode>
                <c:ptCount val="20"/>
                <c:pt idx="0">
                  <c:v>0.36437803866819979</c:v>
                </c:pt>
                <c:pt idx="1">
                  <c:v>0.2010614697818969</c:v>
                </c:pt>
                <c:pt idx="2">
                  <c:v>0.12602157272792375</c:v>
                </c:pt>
                <c:pt idx="3">
                  <c:v>0.45054151389014518</c:v>
                </c:pt>
                <c:pt idx="4">
                  <c:v>0.48466322493445946</c:v>
                </c:pt>
                <c:pt idx="5">
                  <c:v>0.32527699554449174</c:v>
                </c:pt>
                <c:pt idx="6">
                  <c:v>0.51103186012688062</c:v>
                </c:pt>
                <c:pt idx="7">
                  <c:v>0.46155341720557935</c:v>
                </c:pt>
                <c:pt idx="8">
                  <c:v>0.4894982243449541</c:v>
                </c:pt>
                <c:pt idx="9">
                  <c:v>0.39041791331240622</c:v>
                </c:pt>
                <c:pt idx="10">
                  <c:v>0.40267858616538338</c:v>
                </c:pt>
                <c:pt idx="11">
                  <c:v>0.33678519274950802</c:v>
                </c:pt>
                <c:pt idx="12">
                  <c:v>0.2217061891793419</c:v>
                </c:pt>
                <c:pt idx="13">
                  <c:v>0.17185665233189112</c:v>
                </c:pt>
                <c:pt idx="14">
                  <c:v>0.2833892422178842</c:v>
                </c:pt>
                <c:pt idx="15">
                  <c:v>0.20180437850835786</c:v>
                </c:pt>
                <c:pt idx="16">
                  <c:v>0.28932774414135443</c:v>
                </c:pt>
                <c:pt idx="17">
                  <c:v>0.3345186486070203</c:v>
                </c:pt>
                <c:pt idx="18">
                  <c:v>0.38137387352585556</c:v>
                </c:pt>
                <c:pt idx="19">
                  <c:v>0.36651057455564473</c:v>
                </c:pt>
              </c:numCache>
            </c:numRef>
          </c:xVal>
          <c:yVal>
            <c:numRef>
              <c:f>F_8!$X$2:$X$21</c:f>
              <c:numCache>
                <c:formatCode>#,##0</c:formatCode>
                <c:ptCount val="2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numCache>
            </c:numRef>
          </c:yVal>
          <c:smooth val="0"/>
          <c:extLst>
            <c:ext xmlns:c16="http://schemas.microsoft.com/office/drawing/2014/chart" uri="{C3380CC4-5D6E-409C-BE32-E72D297353CC}">
              <c16:uniqueId val="{00000000-08AB-4412-9AD6-357B89C97DD2}"/>
            </c:ext>
          </c:extLst>
        </c:ser>
        <c:ser>
          <c:idx val="1"/>
          <c:order val="2"/>
          <c:tx>
            <c:v>Zero</c:v>
          </c:tx>
          <c:spPr>
            <a:ln w="12700">
              <a:solidFill>
                <a:srgbClr val="000000"/>
              </a:solidFill>
              <a:prstDash val="dash"/>
            </a:ln>
          </c:spPr>
          <c:marker>
            <c:symbol val="none"/>
          </c:marker>
          <c:xVal>
            <c:numLit>
              <c:formatCode>General</c:formatCode>
              <c:ptCount val="2"/>
              <c:pt idx="0">
                <c:v>0</c:v>
              </c:pt>
              <c:pt idx="1">
                <c:v>25</c:v>
              </c:pt>
            </c:numLit>
          </c:xVal>
          <c:yVal>
            <c:numLit>
              <c:formatCode>General</c:formatCode>
              <c:ptCount val="2"/>
              <c:pt idx="0">
                <c:v>0</c:v>
              </c:pt>
              <c:pt idx="1">
                <c:v>0</c:v>
              </c:pt>
            </c:numLit>
          </c:yVal>
          <c:smooth val="0"/>
          <c:extLst>
            <c:ext xmlns:c16="http://schemas.microsoft.com/office/drawing/2014/chart" uri="{C3380CC4-5D6E-409C-BE32-E72D297353CC}">
              <c16:uniqueId val="{00000000-F825-4012-8645-A416ACFF5B9E}"/>
            </c:ext>
          </c:extLst>
        </c:ser>
        <c:ser>
          <c:idx val="2"/>
          <c:order val="3"/>
          <c:tx>
            <c:v>Production</c:v>
          </c:tx>
          <c:spPr>
            <a:ln w="25400">
              <a:solidFill>
                <a:schemeClr val="tx1"/>
              </a:solidFill>
            </a:ln>
          </c:spPr>
          <c:marker>
            <c:symbol val="none"/>
          </c:marker>
          <c:xVal>
            <c:numRef>
              <c:f>F_8!$V$51:$W$51</c:f>
              <c:numCache>
                <c:formatCode>General</c:formatCode>
                <c:ptCount val="2"/>
                <c:pt idx="0">
                  <c:v>0</c:v>
                </c:pt>
                <c:pt idx="1">
                  <c:v>0.6</c:v>
                </c:pt>
              </c:numCache>
            </c:numRef>
          </c:xVal>
          <c:yVal>
            <c:numRef>
              <c:f>F_8!$X$51:$Y$51</c:f>
              <c:numCache>
                <c:formatCode>0</c:formatCode>
                <c:ptCount val="2"/>
                <c:pt idx="0">
                  <c:v>105.11540567031824</c:v>
                </c:pt>
                <c:pt idx="1">
                  <c:v>625.38006627166601</c:v>
                </c:pt>
              </c:numCache>
            </c:numRef>
          </c:yVal>
          <c:smooth val="0"/>
          <c:extLst>
            <c:ext xmlns:c16="http://schemas.microsoft.com/office/drawing/2014/chart" uri="{C3380CC4-5D6E-409C-BE32-E72D297353CC}">
              <c16:uniqueId val="{00000000-FEBA-4078-B119-66D62CE3F1CD}"/>
            </c:ext>
          </c:extLst>
        </c:ser>
        <c:ser>
          <c:idx val="3"/>
          <c:order val="4"/>
          <c:tx>
            <c:v>Respiration</c:v>
          </c:tx>
          <c:spPr>
            <a:ln w="25400">
              <a:solidFill>
                <a:schemeClr val="tx1"/>
              </a:solidFill>
              <a:prstDash val="sysDash"/>
            </a:ln>
          </c:spPr>
          <c:marker>
            <c:symbol val="none"/>
          </c:marker>
          <c:xVal>
            <c:numRef>
              <c:f>F_8!$V$52:$W$52</c:f>
              <c:numCache>
                <c:formatCode>General</c:formatCode>
                <c:ptCount val="2"/>
                <c:pt idx="0">
                  <c:v>0</c:v>
                </c:pt>
                <c:pt idx="1">
                  <c:v>0.6</c:v>
                </c:pt>
              </c:numCache>
            </c:numRef>
          </c:xVal>
          <c:yVal>
            <c:numRef>
              <c:f>F_8!$X$52:$Y$52</c:f>
              <c:numCache>
                <c:formatCode>0</c:formatCode>
                <c:ptCount val="2"/>
                <c:pt idx="0">
                  <c:v>-77.772649291725543</c:v>
                </c:pt>
                <c:pt idx="1">
                  <c:v>-66.902305443732175</c:v>
                </c:pt>
              </c:numCache>
            </c:numRef>
          </c:yVal>
          <c:smooth val="0"/>
          <c:extLst>
            <c:ext xmlns:c16="http://schemas.microsoft.com/office/drawing/2014/chart" uri="{C3380CC4-5D6E-409C-BE32-E72D297353CC}">
              <c16:uniqueId val="{00000000-6610-4BBA-B511-B7984BDA1CAA}"/>
            </c:ext>
          </c:extLst>
        </c:ser>
        <c:dLbls>
          <c:showLegendKey val="0"/>
          <c:showVal val="0"/>
          <c:showCatName val="0"/>
          <c:showSerName val="0"/>
          <c:showPercent val="0"/>
          <c:showBubbleSize val="0"/>
        </c:dLbls>
        <c:axId val="301177104"/>
        <c:axId val="301177496"/>
      </c:scatterChart>
      <c:valAx>
        <c:axId val="301177104"/>
        <c:scaling>
          <c:orientation val="minMax"/>
          <c:max val="0.60000000000000009"/>
        </c:scaling>
        <c:delete val="0"/>
        <c:axPos val="b"/>
        <c:title>
          <c:tx>
            <c:rich>
              <a:bodyPr/>
              <a:lstStyle/>
              <a:p>
                <a:pPr>
                  <a:defRPr sz="1000" b="0" i="0" u="none" strike="noStrike" baseline="0">
                    <a:solidFill>
                      <a:srgbClr val="000000"/>
                    </a:solidFill>
                    <a:latin typeface="Arial"/>
                    <a:ea typeface="Arial"/>
                    <a:cs typeface="Arial"/>
                  </a:defRPr>
                </a:pPr>
                <a:r>
                  <a:rPr lang="en-US"/>
                  <a:t>Average irradiance (kW</a:t>
                </a:r>
                <a:r>
                  <a:rPr lang="en-US" baseline="0"/>
                  <a:t> m</a:t>
                </a:r>
                <a:r>
                  <a:rPr lang="en-US" baseline="30000"/>
                  <a:t>-2</a:t>
                </a:r>
                <a:r>
                  <a:rPr lang="en-US" baseline="0"/>
                  <a:t>)</a:t>
                </a:r>
                <a:endParaRPr lang="en-US"/>
              </a:p>
            </c:rich>
          </c:tx>
          <c:layout>
            <c:manualLayout>
              <c:xMode val="edge"/>
              <c:yMode val="edge"/>
              <c:x val="0.41218528646262309"/>
              <c:y val="0.9342688767677626"/>
            </c:manualLayout>
          </c:layout>
          <c:overlay val="0"/>
          <c:spPr>
            <a:noFill/>
            <a:ln w="25400">
              <a:noFill/>
            </a:ln>
          </c:spPr>
        </c:title>
        <c:numFmt formatCode="General"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496"/>
        <c:crossesAt val="-100"/>
        <c:crossBetween val="midCat"/>
      </c:valAx>
      <c:valAx>
        <c:axId val="301177496"/>
        <c:scaling>
          <c:orientation val="minMax"/>
          <c:max val="600"/>
          <c:min val="-100"/>
        </c:scaling>
        <c:delete val="0"/>
        <c:axPos val="l"/>
        <c:title>
          <c:tx>
            <c:rich>
              <a:bodyPr/>
              <a:lstStyle/>
              <a:p>
                <a:pPr>
                  <a:defRPr sz="1000" b="0" i="0" u="none" strike="noStrike" baseline="0">
                    <a:solidFill>
                      <a:srgbClr val="000000"/>
                    </a:solidFill>
                    <a:latin typeface="Arial"/>
                    <a:ea typeface="Arial"/>
                    <a:cs typeface="Arial"/>
                  </a:defRPr>
                </a:pPr>
                <a:r>
                  <a:rPr lang="en-US"/>
                  <a:t>Residual P &amp; R</a:t>
                </a:r>
                <a:r>
                  <a:rPr lang="en-US" baseline="0"/>
                  <a:t> </a:t>
                </a:r>
              </a:p>
              <a:p>
                <a:pPr>
                  <a:defRPr sz="1000" b="0" i="0" u="none" strike="noStrike" baseline="0">
                    <a:solidFill>
                      <a:srgbClr val="000000"/>
                    </a:solidFill>
                    <a:latin typeface="Arial"/>
                    <a:ea typeface="Arial"/>
                    <a:cs typeface="Arial"/>
                  </a:defRPr>
                </a:pPr>
                <a:r>
                  <a:rPr lang="en-US" baseline="0"/>
                  <a:t>(mmol O</a:t>
                </a:r>
                <a:r>
                  <a:rPr lang="en-US" baseline="-25000"/>
                  <a:t>2</a:t>
                </a:r>
                <a:r>
                  <a:rPr lang="en-US" baseline="0"/>
                  <a:t> m</a:t>
                </a:r>
                <a:r>
                  <a:rPr lang="en-US" baseline="30000"/>
                  <a:t>-2</a:t>
                </a:r>
                <a:r>
                  <a:rPr lang="en-US" baseline="0"/>
                  <a:t> d</a:t>
                </a:r>
                <a:r>
                  <a:rPr lang="en-US" baseline="30000"/>
                  <a:t>-1</a:t>
                </a:r>
                <a:r>
                  <a:rPr lang="en-US" baseline="0"/>
                  <a:t>)</a:t>
                </a:r>
                <a:endParaRPr lang="en-US"/>
              </a:p>
            </c:rich>
          </c:tx>
          <c:layout>
            <c:manualLayout>
              <c:xMode val="edge"/>
              <c:yMode val="edge"/>
              <c:x val="1.5434601924759405E-2"/>
              <c:y val="0.22505854000130457"/>
            </c:manualLayout>
          </c:layout>
          <c:overlay val="0"/>
          <c:spPr>
            <a:noFill/>
            <a:ln w="25400">
              <a:noFill/>
            </a:ln>
          </c:spPr>
        </c:title>
        <c:numFmt formatCode="#,##0"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104"/>
        <c:crossesAt val="0"/>
        <c:crossBetween val="midCat"/>
        <c:majorUnit val="100"/>
      </c:valAx>
      <c:spPr>
        <a:noFill/>
        <a:ln w="9525">
          <a:solidFill>
            <a:srgbClr val="000000"/>
          </a:solidFill>
          <a:prstDash val="solid"/>
        </a:ln>
      </c:spPr>
    </c:plotArea>
    <c:legend>
      <c:legendPos val="r"/>
      <c:legendEntry>
        <c:idx val="0"/>
        <c:delete val="1"/>
      </c:legendEntry>
      <c:legendEntry>
        <c:idx val="1"/>
        <c:delete val="1"/>
      </c:legendEntry>
      <c:legendEntry>
        <c:idx val="2"/>
        <c:delete val="1"/>
      </c:legendEntry>
      <c:layout>
        <c:manualLayout>
          <c:xMode val="edge"/>
          <c:yMode val="edge"/>
          <c:x val="0.20108552055993001"/>
          <c:y val="0.16195231166412502"/>
          <c:w val="0.29893110236220471"/>
          <c:h val="8.9001810673320053E-2"/>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75328083989498"/>
          <c:y val="2.3158927151403549E-2"/>
          <c:w val="0.78196916010498685"/>
          <c:h val="0.79887197433654122"/>
        </c:manualLayout>
      </c:layout>
      <c:scatterChart>
        <c:scatterStyle val="lineMarker"/>
        <c:varyColors val="0"/>
        <c:ser>
          <c:idx val="0"/>
          <c:order val="0"/>
          <c:tx>
            <c:v>Production</c:v>
          </c:tx>
          <c:spPr>
            <a:ln w="28575">
              <a:noFill/>
            </a:ln>
          </c:spPr>
          <c:marker>
            <c:symbol val="circle"/>
            <c:size val="7"/>
            <c:spPr>
              <a:solidFill>
                <a:srgbClr val="000000"/>
              </a:solidFill>
              <a:ln>
                <a:solidFill>
                  <a:srgbClr val="000000"/>
                </a:solidFill>
                <a:prstDash val="solid"/>
              </a:ln>
            </c:spPr>
          </c:marker>
          <c:xVal>
            <c:numRef>
              <c:f>F_8!$V$22:$V$41</c:f>
              <c:numCache>
                <c:formatCode>#,##0.00</c:formatCode>
                <c:ptCount val="20"/>
                <c:pt idx="0">
                  <c:v>0.19899006339100295</c:v>
                </c:pt>
                <c:pt idx="1">
                  <c:v>8.6150952954629031E-2</c:v>
                </c:pt>
                <c:pt idx="2">
                  <c:v>6.5252734094689832E-2</c:v>
                </c:pt>
                <c:pt idx="3">
                  <c:v>0.22249790357566995</c:v>
                </c:pt>
                <c:pt idx="4">
                  <c:v>0.24436290575571054</c:v>
                </c:pt>
                <c:pt idx="5">
                  <c:v>0.18175820219196481</c:v>
                </c:pt>
                <c:pt idx="6">
                  <c:v>0.28210647550368073</c:v>
                </c:pt>
                <c:pt idx="7">
                  <c:v>0.26658467653528767</c:v>
                </c:pt>
                <c:pt idx="8">
                  <c:v>0.25177423760104539</c:v>
                </c:pt>
                <c:pt idx="9">
                  <c:v>0.19945688024940464</c:v>
                </c:pt>
                <c:pt idx="10">
                  <c:v>0.20217361910645426</c:v>
                </c:pt>
                <c:pt idx="11">
                  <c:v>0.10906285641277819</c:v>
                </c:pt>
                <c:pt idx="12">
                  <c:v>8.3628849569214028E-2</c:v>
                </c:pt>
                <c:pt idx="13">
                  <c:v>5.6950233765376161E-2</c:v>
                </c:pt>
                <c:pt idx="14">
                  <c:v>9.735737213897061E-2</c:v>
                </c:pt>
                <c:pt idx="15">
                  <c:v>6.4417526718042808E-2</c:v>
                </c:pt>
                <c:pt idx="16">
                  <c:v>9.8985950185157601E-2</c:v>
                </c:pt>
                <c:pt idx="17">
                  <c:v>0.13800112488060418</c:v>
                </c:pt>
                <c:pt idx="18">
                  <c:v>0.16571877779870328</c:v>
                </c:pt>
                <c:pt idx="19">
                  <c:v>0.17016446995918663</c:v>
                </c:pt>
              </c:numCache>
            </c:numRef>
          </c:xVal>
          <c:yVal>
            <c:numRef>
              <c:f>F_8!$W$22:$W$41</c:f>
              <c:numCache>
                <c:formatCode>#,##0</c:formatCode>
                <c:ptCount val="20"/>
                <c:pt idx="0">
                  <c:v>299.59813169589989</c:v>
                </c:pt>
                <c:pt idx="1">
                  <c:v>225.85802783761338</c:v>
                </c:pt>
                <c:pt idx="2">
                  <c:v>77.63438296296296</c:v>
                </c:pt>
                <c:pt idx="3">
                  <c:v>483.47371925925933</c:v>
                </c:pt>
                <c:pt idx="4">
                  <c:v>472.99375037037032</c:v>
                </c:pt>
                <c:pt idx="5">
                  <c:v>334.69484888888906</c:v>
                </c:pt>
                <c:pt idx="6">
                  <c:v>411.30835555555547</c:v>
                </c:pt>
                <c:pt idx="7">
                  <c:v>491.93548333333348</c:v>
                </c:pt>
                <c:pt idx="8">
                  <c:v>-141.61884000000001</c:v>
                </c:pt>
                <c:pt idx="9">
                  <c:v>-115.29013999999999</c:v>
                </c:pt>
                <c:pt idx="10">
                  <c:v>-198.14718999999999</c:v>
                </c:pt>
                <c:pt idx="11">
                  <c:v>478.86419857142863</c:v>
                </c:pt>
                <c:pt idx="12">
                  <c:v>74.258719999999983</c:v>
                </c:pt>
                <c:pt idx="13">
                  <c:v>186.51404185185191</c:v>
                </c:pt>
                <c:pt idx="14">
                  <c:v>465.28718692307689</c:v>
                </c:pt>
                <c:pt idx="15">
                  <c:v>321.23493999999999</c:v>
                </c:pt>
                <c:pt idx="16">
                  <c:v>436.63307384615376</c:v>
                </c:pt>
                <c:pt idx="17">
                  <c:v>-160.2987</c:v>
                </c:pt>
                <c:pt idx="18">
                  <c:v>238.37037999999995</c:v>
                </c:pt>
                <c:pt idx="19">
                  <c:v>300.1436066666667</c:v>
                </c:pt>
              </c:numCache>
            </c:numRef>
          </c:yVal>
          <c:smooth val="0"/>
          <c:extLst>
            <c:ext xmlns:c16="http://schemas.microsoft.com/office/drawing/2014/chart" uri="{C3380CC4-5D6E-409C-BE32-E72D297353CC}">
              <c16:uniqueId val="{00000001-08AB-4412-9AD6-357B89C97DD2}"/>
            </c:ext>
          </c:extLst>
        </c:ser>
        <c:ser>
          <c:idx val="5"/>
          <c:order val="1"/>
          <c:tx>
            <c:v>Respiration</c:v>
          </c:tx>
          <c:spPr>
            <a:ln w="28575">
              <a:noFill/>
            </a:ln>
          </c:spPr>
          <c:marker>
            <c:symbol val="circle"/>
            <c:size val="7"/>
            <c:spPr>
              <a:noFill/>
              <a:ln>
                <a:solidFill>
                  <a:srgbClr val="000000"/>
                </a:solidFill>
                <a:prstDash val="solid"/>
              </a:ln>
            </c:spPr>
          </c:marker>
          <c:xVal>
            <c:numRef>
              <c:f>F_8!$V$22:$V$41</c:f>
              <c:numCache>
                <c:formatCode>#,##0.00</c:formatCode>
                <c:ptCount val="20"/>
                <c:pt idx="0">
                  <c:v>0.19899006339100295</c:v>
                </c:pt>
                <c:pt idx="1">
                  <c:v>8.6150952954629031E-2</c:v>
                </c:pt>
                <c:pt idx="2">
                  <c:v>6.5252734094689832E-2</c:v>
                </c:pt>
                <c:pt idx="3">
                  <c:v>0.22249790357566995</c:v>
                </c:pt>
                <c:pt idx="4">
                  <c:v>0.24436290575571054</c:v>
                </c:pt>
                <c:pt idx="5">
                  <c:v>0.18175820219196481</c:v>
                </c:pt>
                <c:pt idx="6">
                  <c:v>0.28210647550368073</c:v>
                </c:pt>
                <c:pt idx="7">
                  <c:v>0.26658467653528767</c:v>
                </c:pt>
                <c:pt idx="8">
                  <c:v>0.25177423760104539</c:v>
                </c:pt>
                <c:pt idx="9">
                  <c:v>0.19945688024940464</c:v>
                </c:pt>
                <c:pt idx="10">
                  <c:v>0.20217361910645426</c:v>
                </c:pt>
                <c:pt idx="11">
                  <c:v>0.10906285641277819</c:v>
                </c:pt>
                <c:pt idx="12">
                  <c:v>8.3628849569214028E-2</c:v>
                </c:pt>
                <c:pt idx="13">
                  <c:v>5.6950233765376161E-2</c:v>
                </c:pt>
                <c:pt idx="14">
                  <c:v>9.735737213897061E-2</c:v>
                </c:pt>
                <c:pt idx="15">
                  <c:v>6.4417526718042808E-2</c:v>
                </c:pt>
                <c:pt idx="16">
                  <c:v>9.8985950185157601E-2</c:v>
                </c:pt>
                <c:pt idx="17">
                  <c:v>0.13800112488060418</c:v>
                </c:pt>
                <c:pt idx="18">
                  <c:v>0.16571877779870328</c:v>
                </c:pt>
                <c:pt idx="19">
                  <c:v>0.17016446995918663</c:v>
                </c:pt>
              </c:numCache>
            </c:numRef>
          </c:xVal>
          <c:yVal>
            <c:numRef>
              <c:f>F_8!$X$22:$X$41</c:f>
              <c:numCache>
                <c:formatCode>#,##0</c:formatCode>
                <c:ptCount val="20"/>
                <c:pt idx="0">
                  <c:v>-85.85502788548709</c:v>
                </c:pt>
                <c:pt idx="1">
                  <c:v>-126.16054103134817</c:v>
                </c:pt>
                <c:pt idx="2">
                  <c:v>-99.83520919706632</c:v>
                </c:pt>
                <c:pt idx="3">
                  <c:v>-119.77502759030943</c:v>
                </c:pt>
                <c:pt idx="4">
                  <c:v>-121.50762202783106</c:v>
                </c:pt>
                <c:pt idx="5">
                  <c:v>-142.90496041109358</c:v>
                </c:pt>
                <c:pt idx="6">
                  <c:v>-96.92480702223142</c:v>
                </c:pt>
                <c:pt idx="7">
                  <c:v>-129.75536498505375</c:v>
                </c:pt>
                <c:pt idx="8">
                  <c:v>-146.09145471768778</c:v>
                </c:pt>
                <c:pt idx="9">
                  <c:v>-146.09145471768778</c:v>
                </c:pt>
                <c:pt idx="10">
                  <c:v>-154.95779675821993</c:v>
                </c:pt>
                <c:pt idx="11">
                  <c:v>-126.01940788662971</c:v>
                </c:pt>
                <c:pt idx="12">
                  <c:v>-131.91937334150273</c:v>
                </c:pt>
                <c:pt idx="13">
                  <c:v>-153.25784646007872</c:v>
                </c:pt>
                <c:pt idx="14">
                  <c:v>-92.572001344330658</c:v>
                </c:pt>
                <c:pt idx="15">
                  <c:v>-103.28853398128129</c:v>
                </c:pt>
                <c:pt idx="16">
                  <c:v>-257.26726680174738</c:v>
                </c:pt>
                <c:pt idx="17">
                  <c:v>-188.69472391067012</c:v>
                </c:pt>
                <c:pt idx="18">
                  <c:v>-84.471919124361264</c:v>
                </c:pt>
                <c:pt idx="19">
                  <c:v>-87.035695814450207</c:v>
                </c:pt>
              </c:numCache>
            </c:numRef>
          </c:yVal>
          <c:smooth val="0"/>
          <c:extLst>
            <c:ext xmlns:c16="http://schemas.microsoft.com/office/drawing/2014/chart" uri="{C3380CC4-5D6E-409C-BE32-E72D297353CC}">
              <c16:uniqueId val="{00000000-08AB-4412-9AD6-357B89C97DD2}"/>
            </c:ext>
          </c:extLst>
        </c:ser>
        <c:ser>
          <c:idx val="1"/>
          <c:order val="2"/>
          <c:tx>
            <c:v>Zero</c:v>
          </c:tx>
          <c:spPr>
            <a:ln w="12700">
              <a:solidFill>
                <a:srgbClr val="000000"/>
              </a:solidFill>
              <a:prstDash val="dash"/>
            </a:ln>
          </c:spPr>
          <c:marker>
            <c:symbol val="none"/>
          </c:marker>
          <c:xVal>
            <c:numLit>
              <c:formatCode>General</c:formatCode>
              <c:ptCount val="2"/>
              <c:pt idx="0">
                <c:v>0</c:v>
              </c:pt>
              <c:pt idx="1">
                <c:v>25</c:v>
              </c:pt>
            </c:numLit>
          </c:xVal>
          <c:yVal>
            <c:numLit>
              <c:formatCode>General</c:formatCode>
              <c:ptCount val="2"/>
              <c:pt idx="0">
                <c:v>0</c:v>
              </c:pt>
              <c:pt idx="1">
                <c:v>0</c:v>
              </c:pt>
            </c:numLit>
          </c:yVal>
          <c:smooth val="0"/>
          <c:extLst>
            <c:ext xmlns:c16="http://schemas.microsoft.com/office/drawing/2014/chart" uri="{C3380CC4-5D6E-409C-BE32-E72D297353CC}">
              <c16:uniqueId val="{00000000-F825-4012-8645-A416ACFF5B9E}"/>
            </c:ext>
          </c:extLst>
        </c:ser>
        <c:ser>
          <c:idx val="2"/>
          <c:order val="3"/>
          <c:tx>
            <c:v>Production</c:v>
          </c:tx>
          <c:spPr>
            <a:ln w="25400">
              <a:solidFill>
                <a:schemeClr val="tx1"/>
              </a:solidFill>
            </a:ln>
          </c:spPr>
          <c:marker>
            <c:symbol val="none"/>
          </c:marker>
          <c:xVal>
            <c:numRef>
              <c:f>F_8!$V$53:$W$53</c:f>
              <c:numCache>
                <c:formatCode>General</c:formatCode>
                <c:ptCount val="2"/>
                <c:pt idx="0">
                  <c:v>0</c:v>
                </c:pt>
                <c:pt idx="1">
                  <c:v>0.35</c:v>
                </c:pt>
              </c:numCache>
            </c:numRef>
          </c:xVal>
          <c:yVal>
            <c:numRef>
              <c:f>F_8!$X$53:$Y$53</c:f>
              <c:numCache>
                <c:formatCode>0</c:formatCode>
                <c:ptCount val="2"/>
                <c:pt idx="0">
                  <c:v>207.00123325033002</c:v>
                </c:pt>
                <c:pt idx="1">
                  <c:v>266.71066048229477</c:v>
                </c:pt>
              </c:numCache>
            </c:numRef>
          </c:yVal>
          <c:smooth val="0"/>
          <c:extLst>
            <c:ext xmlns:c16="http://schemas.microsoft.com/office/drawing/2014/chart" uri="{C3380CC4-5D6E-409C-BE32-E72D297353CC}">
              <c16:uniqueId val="{00000000-FEBA-4078-B119-66D62CE3F1CD}"/>
            </c:ext>
          </c:extLst>
        </c:ser>
        <c:ser>
          <c:idx val="3"/>
          <c:order val="4"/>
          <c:tx>
            <c:v>Respiration</c:v>
          </c:tx>
          <c:spPr>
            <a:ln w="25400">
              <a:solidFill>
                <a:schemeClr val="tx1"/>
              </a:solidFill>
              <a:prstDash val="sysDash"/>
            </a:ln>
          </c:spPr>
          <c:marker>
            <c:symbol val="none"/>
          </c:marker>
          <c:xVal>
            <c:numRef>
              <c:f>F_8!$V$54:$W$54</c:f>
              <c:numCache>
                <c:formatCode>General</c:formatCode>
                <c:ptCount val="2"/>
                <c:pt idx="0">
                  <c:v>0</c:v>
                </c:pt>
                <c:pt idx="1">
                  <c:v>0.35</c:v>
                </c:pt>
              </c:numCache>
            </c:numRef>
          </c:xVal>
          <c:yVal>
            <c:numRef>
              <c:f>F_8!$X$54:$Y$54</c:f>
              <c:numCache>
                <c:formatCode>0</c:formatCode>
                <c:ptCount val="2"/>
                <c:pt idx="0">
                  <c:v>-141.83888648992536</c:v>
                </c:pt>
                <c:pt idx="1">
                  <c:v>-115.2057463173969</c:v>
                </c:pt>
              </c:numCache>
            </c:numRef>
          </c:yVal>
          <c:smooth val="0"/>
          <c:extLst>
            <c:ext xmlns:c16="http://schemas.microsoft.com/office/drawing/2014/chart" uri="{C3380CC4-5D6E-409C-BE32-E72D297353CC}">
              <c16:uniqueId val="{00000000-6610-4BBA-B511-B7984BDA1CAA}"/>
            </c:ext>
          </c:extLst>
        </c:ser>
        <c:dLbls>
          <c:showLegendKey val="0"/>
          <c:showVal val="0"/>
          <c:showCatName val="0"/>
          <c:showSerName val="0"/>
          <c:showPercent val="0"/>
          <c:showBubbleSize val="0"/>
        </c:dLbls>
        <c:axId val="301177104"/>
        <c:axId val="301177496"/>
      </c:scatterChart>
      <c:valAx>
        <c:axId val="301177104"/>
        <c:scaling>
          <c:orientation val="minMax"/>
          <c:max val="0.60000000000000009"/>
        </c:scaling>
        <c:delete val="0"/>
        <c:axPos val="b"/>
        <c:title>
          <c:tx>
            <c:rich>
              <a:bodyPr/>
              <a:lstStyle/>
              <a:p>
                <a:pPr>
                  <a:defRPr sz="1000" b="0" i="0" u="none" strike="noStrike" baseline="0">
                    <a:solidFill>
                      <a:srgbClr val="000000"/>
                    </a:solidFill>
                    <a:latin typeface="Arial"/>
                    <a:ea typeface="Arial"/>
                    <a:cs typeface="Arial"/>
                  </a:defRPr>
                </a:pPr>
                <a:r>
                  <a:rPr lang="en-US"/>
                  <a:t>Average irradiance (kW</a:t>
                </a:r>
                <a:r>
                  <a:rPr lang="en-US" baseline="0"/>
                  <a:t> m</a:t>
                </a:r>
                <a:r>
                  <a:rPr lang="en-US" baseline="30000"/>
                  <a:t>-2</a:t>
                </a:r>
                <a:r>
                  <a:rPr lang="en-US" baseline="0"/>
                  <a:t>)</a:t>
                </a:r>
                <a:endParaRPr lang="en-US"/>
              </a:p>
            </c:rich>
          </c:tx>
          <c:layout>
            <c:manualLayout>
              <c:xMode val="edge"/>
              <c:yMode val="edge"/>
              <c:x val="0.41218528646262309"/>
              <c:y val="0.9342688767677626"/>
            </c:manualLayout>
          </c:layout>
          <c:overlay val="0"/>
          <c:spPr>
            <a:noFill/>
            <a:ln w="25400">
              <a:noFill/>
            </a:ln>
          </c:spPr>
        </c:title>
        <c:numFmt formatCode="General"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496"/>
        <c:crossesAt val="-300"/>
        <c:crossBetween val="midCat"/>
      </c:valAx>
      <c:valAx>
        <c:axId val="301177496"/>
        <c:scaling>
          <c:orientation val="minMax"/>
          <c:max val="600"/>
          <c:min val="-300"/>
        </c:scaling>
        <c:delete val="0"/>
        <c:axPos val="l"/>
        <c:title>
          <c:tx>
            <c:rich>
              <a:bodyPr/>
              <a:lstStyle/>
              <a:p>
                <a:pPr>
                  <a:defRPr sz="1000" b="0" i="0" u="none" strike="noStrike" baseline="0">
                    <a:solidFill>
                      <a:srgbClr val="000000"/>
                    </a:solidFill>
                    <a:latin typeface="Arial"/>
                    <a:ea typeface="Arial"/>
                    <a:cs typeface="Arial"/>
                  </a:defRPr>
                </a:pPr>
                <a:r>
                  <a:rPr lang="en-US"/>
                  <a:t>Residual P &amp; R</a:t>
                </a:r>
                <a:r>
                  <a:rPr lang="en-US" baseline="0"/>
                  <a:t> </a:t>
                </a:r>
              </a:p>
              <a:p>
                <a:pPr>
                  <a:defRPr sz="1000" b="0" i="0" u="none" strike="noStrike" baseline="0">
                    <a:solidFill>
                      <a:srgbClr val="000000"/>
                    </a:solidFill>
                    <a:latin typeface="Arial"/>
                    <a:ea typeface="Arial"/>
                    <a:cs typeface="Arial"/>
                  </a:defRPr>
                </a:pPr>
                <a:r>
                  <a:rPr lang="en-US" baseline="0"/>
                  <a:t>(mmol O</a:t>
                </a:r>
                <a:r>
                  <a:rPr lang="en-US" baseline="-25000"/>
                  <a:t>2</a:t>
                </a:r>
                <a:r>
                  <a:rPr lang="en-US" baseline="0"/>
                  <a:t> m</a:t>
                </a:r>
                <a:r>
                  <a:rPr lang="en-US" baseline="30000"/>
                  <a:t>-2</a:t>
                </a:r>
                <a:r>
                  <a:rPr lang="en-US" baseline="0"/>
                  <a:t> d</a:t>
                </a:r>
                <a:r>
                  <a:rPr lang="en-US" baseline="30000"/>
                  <a:t>-1</a:t>
                </a:r>
                <a:r>
                  <a:rPr lang="en-US" baseline="0"/>
                  <a:t>)</a:t>
                </a:r>
                <a:endParaRPr lang="en-US"/>
              </a:p>
            </c:rich>
          </c:tx>
          <c:layout>
            <c:manualLayout>
              <c:xMode val="edge"/>
              <c:yMode val="edge"/>
              <c:x val="1.5434601924759405E-2"/>
              <c:y val="0.22505854000130457"/>
            </c:manualLayout>
          </c:layout>
          <c:overlay val="0"/>
          <c:spPr>
            <a:noFill/>
            <a:ln w="25400">
              <a:noFill/>
            </a:ln>
          </c:spPr>
        </c:title>
        <c:numFmt formatCode="#,##0"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104"/>
        <c:crossesAt val="0"/>
        <c:crossBetween val="midCat"/>
        <c:majorUnit val="100"/>
      </c:valAx>
      <c:spPr>
        <a:noFill/>
        <a:ln w="9525">
          <a:solidFill>
            <a:srgbClr val="000000"/>
          </a:solidFill>
          <a:prstDash val="solid"/>
        </a:ln>
      </c:spPr>
    </c:plotArea>
    <c:legend>
      <c:legendPos val="r"/>
      <c:legendEntry>
        <c:idx val="0"/>
        <c:delete val="1"/>
      </c:legendEntry>
      <c:legendEntry>
        <c:idx val="1"/>
        <c:delete val="1"/>
      </c:legendEntry>
      <c:legendEntry>
        <c:idx val="2"/>
        <c:delete val="1"/>
      </c:legendEntry>
      <c:layout>
        <c:manualLayout>
          <c:xMode val="edge"/>
          <c:yMode val="edge"/>
          <c:x val="0.28164107611548556"/>
          <c:y val="0.70467616321341764"/>
          <c:w val="0.29893110236220471"/>
          <c:h val="8.9001810673320053E-2"/>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19772528433947"/>
          <c:y val="2.6954177897574136E-2"/>
          <c:w val="0.78196916010498685"/>
          <c:h val="0.79887197433654122"/>
        </c:manualLayout>
      </c:layout>
      <c:scatterChart>
        <c:scatterStyle val="lineMarker"/>
        <c:varyColors val="0"/>
        <c:ser>
          <c:idx val="0"/>
          <c:order val="0"/>
          <c:tx>
            <c:v>Production</c:v>
          </c:tx>
          <c:spPr>
            <a:ln w="28575">
              <a:noFill/>
            </a:ln>
          </c:spPr>
          <c:marker>
            <c:symbol val="circle"/>
            <c:size val="7"/>
            <c:spPr>
              <a:solidFill>
                <a:srgbClr val="000000"/>
              </a:solidFill>
              <a:ln>
                <a:solidFill>
                  <a:srgbClr val="000000"/>
                </a:solidFill>
                <a:prstDash val="solid"/>
              </a:ln>
            </c:spPr>
          </c:marker>
          <c:xVal>
            <c:numRef>
              <c:f>T_6!$H$5:$H$11</c:f>
              <c:numCache>
                <c:formatCode>0.0</c:formatCode>
                <c:ptCount val="7"/>
                <c:pt idx="0">
                  <c:v>537.72142857142865</c:v>
                </c:pt>
                <c:pt idx="1">
                  <c:v>298.3518518518519</c:v>
                </c:pt>
                <c:pt idx="2">
                  <c:v>530.82307692307688</c:v>
                </c:pt>
                <c:pt idx="3">
                  <c:v>381.45</c:v>
                </c:pt>
                <c:pt idx="4">
                  <c:v>505.32115384615378</c:v>
                </c:pt>
                <c:pt idx="5">
                  <c:v>509.60200000000003</c:v>
                </c:pt>
                <c:pt idx="6">
                  <c:v>541.01199999999994</c:v>
                </c:pt>
              </c:numCache>
            </c:numRef>
          </c:xVal>
          <c:yVal>
            <c:numRef>
              <c:f>T_6!$G$5:$G$11</c:f>
              <c:numCache>
                <c:formatCode>0.0</c:formatCode>
                <c:ptCount val="7"/>
                <c:pt idx="0">
                  <c:v>380.25074241166402</c:v>
                </c:pt>
                <c:pt idx="1">
                  <c:v>119.18529120795077</c:v>
                </c:pt>
                <c:pt idx="2">
                  <c:v>282.56439548309476</c:v>
                </c:pt>
                <c:pt idx="3">
                  <c:v>108.79433235457299</c:v>
                </c:pt>
                <c:pt idx="4">
                  <c:v>336.69515789349055</c:v>
                </c:pt>
                <c:pt idx="5">
                  <c:v>424.29998259802693</c:v>
                </c:pt>
                <c:pt idx="6">
                  <c:v>475.53784608500399</c:v>
                </c:pt>
              </c:numCache>
            </c:numRef>
          </c:yVal>
          <c:smooth val="0"/>
          <c:extLst>
            <c:ext xmlns:c16="http://schemas.microsoft.com/office/drawing/2014/chart" uri="{C3380CC4-5D6E-409C-BE32-E72D297353CC}">
              <c16:uniqueId val="{00000000-7CF1-41B7-A47B-B7E593CB6E79}"/>
            </c:ext>
          </c:extLst>
        </c:ser>
        <c:ser>
          <c:idx val="5"/>
          <c:order val="1"/>
          <c:tx>
            <c:v>Respiration</c:v>
          </c:tx>
          <c:spPr>
            <a:ln w="28575">
              <a:noFill/>
            </a:ln>
          </c:spPr>
          <c:marker>
            <c:symbol val="circle"/>
            <c:size val="7"/>
            <c:spPr>
              <a:solidFill>
                <a:schemeClr val="bg1">
                  <a:lumMod val="75000"/>
                </a:schemeClr>
              </a:solidFill>
              <a:ln>
                <a:solidFill>
                  <a:srgbClr val="000000"/>
                </a:solidFill>
                <a:prstDash val="solid"/>
              </a:ln>
            </c:spPr>
          </c:marker>
          <c:xVal>
            <c:numRef>
              <c:f>T_6!$H$17:$H$23</c:f>
              <c:numCache>
                <c:formatCode>0.0</c:formatCode>
                <c:ptCount val="7"/>
                <c:pt idx="0">
                  <c:v>-48</c:v>
                </c:pt>
                <c:pt idx="1">
                  <c:v>-48</c:v>
                </c:pt>
                <c:pt idx="2">
                  <c:v>-48</c:v>
                </c:pt>
                <c:pt idx="3">
                  <c:v>-48</c:v>
                </c:pt>
                <c:pt idx="4">
                  <c:v>-48</c:v>
                </c:pt>
                <c:pt idx="5">
                  <c:v>-48</c:v>
                </c:pt>
                <c:pt idx="6">
                  <c:v>-48</c:v>
                </c:pt>
              </c:numCache>
            </c:numRef>
          </c:xVal>
          <c:yVal>
            <c:numRef>
              <c:f>T_6!$G$17:$G$23</c:f>
              <c:numCache>
                <c:formatCode>0.0</c:formatCode>
                <c:ptCount val="7"/>
                <c:pt idx="0">
                  <c:v>1.2126184743674173</c:v>
                </c:pt>
                <c:pt idx="1">
                  <c:v>67.853022373189305</c:v>
                </c:pt>
                <c:pt idx="2">
                  <c:v>6.8402209712741637</c:v>
                </c:pt>
                <c:pt idx="3">
                  <c:v>38.140420808470779</c:v>
                </c:pt>
                <c:pt idx="4">
                  <c:v>51.599358520938722</c:v>
                </c:pt>
                <c:pt idx="5">
                  <c:v>68.041562848719437</c:v>
                </c:pt>
                <c:pt idx="6">
                  <c:v>14.484256079591784</c:v>
                </c:pt>
              </c:numCache>
            </c:numRef>
          </c:yVal>
          <c:smooth val="0"/>
          <c:extLst>
            <c:ext xmlns:c16="http://schemas.microsoft.com/office/drawing/2014/chart" uri="{C3380CC4-5D6E-409C-BE32-E72D297353CC}">
              <c16:uniqueId val="{00000001-7CF1-41B7-A47B-B7E593CB6E79}"/>
            </c:ext>
          </c:extLst>
        </c:ser>
        <c:ser>
          <c:idx val="1"/>
          <c:order val="2"/>
          <c:tx>
            <c:v>1:1</c:v>
          </c:tx>
          <c:spPr>
            <a:ln w="12700">
              <a:solidFill>
                <a:srgbClr val="000000"/>
              </a:solidFill>
              <a:prstDash val="dash"/>
            </a:ln>
          </c:spPr>
          <c:marker>
            <c:symbol val="none"/>
          </c:marker>
          <c:xVal>
            <c:numLit>
              <c:formatCode>General</c:formatCode>
              <c:ptCount val="2"/>
              <c:pt idx="0">
                <c:v>0</c:v>
              </c:pt>
              <c:pt idx="1">
                <c:v>600</c:v>
              </c:pt>
            </c:numLit>
          </c:xVal>
          <c:yVal>
            <c:numLit>
              <c:formatCode>General</c:formatCode>
              <c:ptCount val="2"/>
              <c:pt idx="0">
                <c:v>0</c:v>
              </c:pt>
              <c:pt idx="1">
                <c:v>600</c:v>
              </c:pt>
            </c:numLit>
          </c:yVal>
          <c:smooth val="0"/>
          <c:extLst>
            <c:ext xmlns:c16="http://schemas.microsoft.com/office/drawing/2014/chart" uri="{C3380CC4-5D6E-409C-BE32-E72D297353CC}">
              <c16:uniqueId val="{00000002-7CF1-41B7-A47B-B7E593CB6E79}"/>
            </c:ext>
          </c:extLst>
        </c:ser>
        <c:dLbls>
          <c:showLegendKey val="0"/>
          <c:showVal val="0"/>
          <c:showCatName val="0"/>
          <c:showSerName val="0"/>
          <c:showPercent val="0"/>
          <c:showBubbleSize val="0"/>
        </c:dLbls>
        <c:axId val="141458016"/>
        <c:axId val="265287848"/>
      </c:scatterChart>
      <c:valAx>
        <c:axId val="141458016"/>
        <c:scaling>
          <c:orientation val="minMax"/>
          <c:max val="600"/>
        </c:scaling>
        <c:delete val="0"/>
        <c:axPos val="b"/>
        <c:title>
          <c:tx>
            <c:rich>
              <a:bodyPr/>
              <a:lstStyle/>
              <a:p>
                <a:pPr>
                  <a:defRPr sz="1000" b="0" i="0" u="none" strike="noStrike" baseline="0">
                    <a:solidFill>
                      <a:srgbClr val="000000"/>
                    </a:solidFill>
                    <a:latin typeface="Arial"/>
                    <a:ea typeface="Arial"/>
                    <a:cs typeface="Arial"/>
                  </a:defRPr>
                </a:pPr>
                <a:r>
                  <a:rPr lang="en-US"/>
                  <a:t>Open Water Model</a:t>
                </a:r>
              </a:p>
            </c:rich>
          </c:tx>
          <c:layout>
            <c:manualLayout>
              <c:xMode val="edge"/>
              <c:yMode val="edge"/>
              <c:x val="0.41218528646262309"/>
              <c:y val="0.9342688767677626"/>
            </c:manualLayout>
          </c:layout>
          <c:overlay val="0"/>
          <c:spPr>
            <a:noFill/>
            <a:ln w="25400">
              <a:noFill/>
            </a:ln>
          </c:spPr>
        </c:title>
        <c:numFmt formatCode="General"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5287848"/>
        <c:crossesAt val="-100"/>
        <c:crossBetween val="midCat"/>
      </c:valAx>
      <c:valAx>
        <c:axId val="265287848"/>
        <c:scaling>
          <c:orientation val="minMax"/>
          <c:max val="600"/>
        </c:scaling>
        <c:delete val="0"/>
        <c:axPos val="l"/>
        <c:title>
          <c:tx>
            <c:rich>
              <a:bodyPr/>
              <a:lstStyle/>
              <a:p>
                <a:pPr>
                  <a:defRPr sz="1000" b="0" i="0" u="none" strike="noStrike" baseline="0">
                    <a:solidFill>
                      <a:srgbClr val="000000"/>
                    </a:solidFill>
                    <a:latin typeface="Arial"/>
                    <a:ea typeface="Arial"/>
                    <a:cs typeface="Arial"/>
                  </a:defRPr>
                </a:pPr>
                <a:r>
                  <a:rPr lang="en-US"/>
                  <a:t>Hybrid Model adding components</a:t>
                </a:r>
              </a:p>
            </c:rich>
          </c:tx>
          <c:layout>
            <c:manualLayout>
              <c:xMode val="edge"/>
              <c:yMode val="edge"/>
              <c:x val="2.4092670234402522E-2"/>
              <c:y val="0.164284814898669"/>
            </c:manualLayout>
          </c:layout>
          <c:overlay val="0"/>
          <c:spPr>
            <a:noFill/>
            <a:ln w="25400">
              <a:noFill/>
            </a:ln>
          </c:spPr>
        </c:title>
        <c:numFmt formatCode="#,##0"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1458016"/>
        <c:crossesAt val="0"/>
        <c:crossBetween val="midCat"/>
        <c:majorUnit val="100"/>
      </c:valAx>
      <c:spPr>
        <a:noFill/>
        <a:ln w="9525">
          <a:solidFill>
            <a:srgbClr val="000000"/>
          </a:solidFill>
          <a:prstDash val="solid"/>
        </a:ln>
      </c:spPr>
    </c:plotArea>
    <c:legend>
      <c:legendPos val="r"/>
      <c:legendEntry>
        <c:idx val="2"/>
        <c:delete val="1"/>
      </c:legendEntry>
      <c:layout>
        <c:manualLayout>
          <c:xMode val="edge"/>
          <c:yMode val="edge"/>
          <c:x val="0.30678528820261097"/>
          <c:y val="9.7454290309063996E-2"/>
          <c:w val="0.26218110236220471"/>
          <c:h val="0.14063312919218432"/>
        </c:manualLayout>
      </c:layout>
      <c:overlay val="0"/>
      <c:txPr>
        <a:bodyPr/>
        <a:lstStyle/>
        <a:p>
          <a:pPr>
            <a:defRPr sz="11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75328083989498"/>
          <c:y val="2.3158927151403549E-2"/>
          <c:w val="0.78196916010498685"/>
          <c:h val="0.79887197433654122"/>
        </c:manualLayout>
      </c:layout>
      <c:scatterChart>
        <c:scatterStyle val="lineMarker"/>
        <c:varyColors val="0"/>
        <c:ser>
          <c:idx val="0"/>
          <c:order val="0"/>
          <c:tx>
            <c:v>Production</c:v>
          </c:tx>
          <c:spPr>
            <a:ln w="28575">
              <a:noFill/>
            </a:ln>
          </c:spPr>
          <c:marker>
            <c:symbol val="circle"/>
            <c:size val="7"/>
            <c:spPr>
              <a:solidFill>
                <a:srgbClr val="000000"/>
              </a:solidFill>
              <a:ln>
                <a:solidFill>
                  <a:srgbClr val="000000"/>
                </a:solidFill>
                <a:prstDash val="solid"/>
              </a:ln>
            </c:spPr>
          </c:marker>
          <c:xVal>
            <c:numRef>
              <c:f>F_8!$Q$2:$Q$18</c:f>
              <c:numCache>
                <c:formatCode>0.00</c:formatCode>
                <c:ptCount val="17"/>
                <c:pt idx="0">
                  <c:v>0.93440000000000012</c:v>
                </c:pt>
                <c:pt idx="1">
                  <c:v>0.10339999999999705</c:v>
                </c:pt>
                <c:pt idx="2">
                  <c:v>2.716899999999999</c:v>
                </c:pt>
                <c:pt idx="3">
                  <c:v>0.67340000000000089</c:v>
                </c:pt>
                <c:pt idx="4">
                  <c:v>8.0000000000168825E-4</c:v>
                </c:pt>
                <c:pt idx="5">
                  <c:v>0.1355000000000004</c:v>
                </c:pt>
                <c:pt idx="6">
                  <c:v>0.81830000000000069</c:v>
                </c:pt>
                <c:pt idx="7">
                  <c:v>0.17340000000000089</c:v>
                </c:pt>
                <c:pt idx="8">
                  <c:v>2.1168999999999976</c:v>
                </c:pt>
                <c:pt idx="9">
                  <c:v>1.1960000000000015</c:v>
                </c:pt>
                <c:pt idx="10">
                  <c:v>6.8999999999999062E-3</c:v>
                </c:pt>
                <c:pt idx="11">
                  <c:v>0.93229999999999968</c:v>
                </c:pt>
                <c:pt idx="12">
                  <c:v>8.8396999999999988</c:v>
                </c:pt>
                <c:pt idx="13">
                  <c:v>0.85009999999999941</c:v>
                </c:pt>
                <c:pt idx="14">
                  <c:v>0.13569999999999993</c:v>
                </c:pt>
                <c:pt idx="15">
                  <c:v>0.94819999999999993</c:v>
                </c:pt>
                <c:pt idx="16">
                  <c:v>7.0300000000003138E-2</c:v>
                </c:pt>
              </c:numCache>
            </c:numRef>
          </c:xVal>
          <c:yVal>
            <c:numRef>
              <c:f>F_8!$R$2:$R$18</c:f>
              <c:numCache>
                <c:formatCode>#,##0</c:formatCode>
                <c:ptCount val="17"/>
                <c:pt idx="0">
                  <c:v>125.53848733579797</c:v>
                </c:pt>
                <c:pt idx="1">
                  <c:v>526.38445431376454</c:v>
                </c:pt>
                <c:pt idx="2">
                  <c:v>566.14550435517788</c:v>
                </c:pt>
                <c:pt idx="3">
                  <c:v>368.95972726430898</c:v>
                </c:pt>
                <c:pt idx="4">
                  <c:v>476.5532164128046</c:v>
                </c:pt>
                <c:pt idx="5">
                  <c:v>533.8832382667922</c:v>
                </c:pt>
                <c:pt idx="6">
                  <c:v>468.58061182902509</c:v>
                </c:pt>
                <c:pt idx="7">
                  <c:v>448.6695587750832</c:v>
                </c:pt>
                <c:pt idx="8">
                  <c:v>331.10565929868363</c:v>
                </c:pt>
                <c:pt idx="9">
                  <c:v>505.62044005047619</c:v>
                </c:pt>
                <c:pt idx="10">
                  <c:v>241.17160959359637</c:v>
                </c:pt>
                <c:pt idx="11">
                  <c:v>493.57650172959541</c:v>
                </c:pt>
                <c:pt idx="12">
                  <c:v>309.71614412660563</c:v>
                </c:pt>
                <c:pt idx="13">
                  <c:v>465.50534687335289</c:v>
                </c:pt>
                <c:pt idx="14">
                  <c:v>437.80494670664422</c:v>
                </c:pt>
                <c:pt idx="15">
                  <c:v>430.46935410972094</c:v>
                </c:pt>
                <c:pt idx="16">
                  <c:v>445.59411806759704</c:v>
                </c:pt>
              </c:numCache>
            </c:numRef>
          </c:yVal>
          <c:smooth val="0"/>
          <c:extLst>
            <c:ext xmlns:c16="http://schemas.microsoft.com/office/drawing/2014/chart" uri="{C3380CC4-5D6E-409C-BE32-E72D297353CC}">
              <c16:uniqueId val="{00000001-08AB-4412-9AD6-357B89C97DD2}"/>
            </c:ext>
          </c:extLst>
        </c:ser>
        <c:ser>
          <c:idx val="5"/>
          <c:order val="1"/>
          <c:tx>
            <c:v>Respiration</c:v>
          </c:tx>
          <c:spPr>
            <a:ln w="28575">
              <a:noFill/>
            </a:ln>
          </c:spPr>
          <c:marker>
            <c:symbol val="circle"/>
            <c:size val="7"/>
            <c:spPr>
              <a:noFill/>
              <a:ln>
                <a:solidFill>
                  <a:srgbClr val="000000"/>
                </a:solidFill>
                <a:prstDash val="solid"/>
              </a:ln>
            </c:spPr>
          </c:marker>
          <c:xVal>
            <c:numRef>
              <c:f>F_8!$Q$2:$Q$18</c:f>
              <c:numCache>
                <c:formatCode>0.00</c:formatCode>
                <c:ptCount val="17"/>
                <c:pt idx="0">
                  <c:v>0.93440000000000012</c:v>
                </c:pt>
                <c:pt idx="1">
                  <c:v>0.10339999999999705</c:v>
                </c:pt>
                <c:pt idx="2">
                  <c:v>2.716899999999999</c:v>
                </c:pt>
                <c:pt idx="3">
                  <c:v>0.67340000000000089</c:v>
                </c:pt>
                <c:pt idx="4">
                  <c:v>8.0000000000168825E-4</c:v>
                </c:pt>
                <c:pt idx="5">
                  <c:v>0.1355000000000004</c:v>
                </c:pt>
                <c:pt idx="6">
                  <c:v>0.81830000000000069</c:v>
                </c:pt>
                <c:pt idx="7">
                  <c:v>0.17340000000000089</c:v>
                </c:pt>
                <c:pt idx="8">
                  <c:v>2.1168999999999976</c:v>
                </c:pt>
                <c:pt idx="9">
                  <c:v>1.1960000000000015</c:v>
                </c:pt>
                <c:pt idx="10">
                  <c:v>6.8999999999999062E-3</c:v>
                </c:pt>
                <c:pt idx="11">
                  <c:v>0.93229999999999968</c:v>
                </c:pt>
                <c:pt idx="12">
                  <c:v>8.8396999999999988</c:v>
                </c:pt>
                <c:pt idx="13">
                  <c:v>0.85009999999999941</c:v>
                </c:pt>
                <c:pt idx="14">
                  <c:v>0.13569999999999993</c:v>
                </c:pt>
                <c:pt idx="15">
                  <c:v>0.94819999999999993</c:v>
                </c:pt>
                <c:pt idx="16">
                  <c:v>7.0300000000003138E-2</c:v>
                </c:pt>
              </c:numCache>
            </c:numRef>
          </c:xVal>
          <c:yVal>
            <c:numRef>
              <c:f>F_8!$S$2:$S$18</c:f>
              <c:numCache>
                <c:formatCode>#,##0</c:formatCode>
                <c:ptCount val="17"/>
                <c:pt idx="0">
                  <c:v>-64.511912806356122</c:v>
                </c:pt>
                <c:pt idx="1">
                  <c:v>-62.580037198323453</c:v>
                </c:pt>
                <c:pt idx="2">
                  <c:v>-67.342688845318108</c:v>
                </c:pt>
                <c:pt idx="3">
                  <c:v>-80.627530782664991</c:v>
                </c:pt>
                <c:pt idx="4">
                  <c:v>-68.852019225904698</c:v>
                </c:pt>
                <c:pt idx="5">
                  <c:v>-74.957431181444505</c:v>
                </c:pt>
                <c:pt idx="6">
                  <c:v>-84.825103738002866</c:v>
                </c:pt>
                <c:pt idx="7">
                  <c:v>-63.944195343121322</c:v>
                </c:pt>
                <c:pt idx="8">
                  <c:v>-62.261866009018902</c:v>
                </c:pt>
                <c:pt idx="9">
                  <c:v>-76.466076351851768</c:v>
                </c:pt>
                <c:pt idx="10">
                  <c:v>-83.829009754978955</c:v>
                </c:pt>
                <c:pt idx="11">
                  <c:v>-65.53517035816067</c:v>
                </c:pt>
                <c:pt idx="12">
                  <c:v>-90.188733006038774</c:v>
                </c:pt>
                <c:pt idx="13">
                  <c:v>-77.155391695277601</c:v>
                </c:pt>
                <c:pt idx="14">
                  <c:v>-49.72928244165341</c:v>
                </c:pt>
                <c:pt idx="15">
                  <c:v>-92.601081498586581</c:v>
                </c:pt>
                <c:pt idx="16">
                  <c:v>-56.80497545811361</c:v>
                </c:pt>
              </c:numCache>
            </c:numRef>
          </c:yVal>
          <c:smooth val="0"/>
          <c:extLst>
            <c:ext xmlns:c16="http://schemas.microsoft.com/office/drawing/2014/chart" uri="{C3380CC4-5D6E-409C-BE32-E72D297353CC}">
              <c16:uniqueId val="{00000000-08AB-4412-9AD6-357B89C97DD2}"/>
            </c:ext>
          </c:extLst>
        </c:ser>
        <c:ser>
          <c:idx val="1"/>
          <c:order val="2"/>
          <c:tx>
            <c:v>Zero</c:v>
          </c:tx>
          <c:spPr>
            <a:ln w="12700">
              <a:solidFill>
                <a:srgbClr val="000000"/>
              </a:solidFill>
              <a:prstDash val="dash"/>
            </a:ln>
          </c:spPr>
          <c:marker>
            <c:symbol val="none"/>
          </c:marker>
          <c:xVal>
            <c:numLit>
              <c:formatCode>General</c:formatCode>
              <c:ptCount val="2"/>
              <c:pt idx="0">
                <c:v>0</c:v>
              </c:pt>
              <c:pt idx="1">
                <c:v>25</c:v>
              </c:pt>
            </c:numLit>
          </c:xVal>
          <c:yVal>
            <c:numLit>
              <c:formatCode>General</c:formatCode>
              <c:ptCount val="2"/>
              <c:pt idx="0">
                <c:v>0</c:v>
              </c:pt>
              <c:pt idx="1">
                <c:v>0</c:v>
              </c:pt>
            </c:numLit>
          </c:yVal>
          <c:smooth val="0"/>
          <c:extLst>
            <c:ext xmlns:c16="http://schemas.microsoft.com/office/drawing/2014/chart" uri="{C3380CC4-5D6E-409C-BE32-E72D297353CC}">
              <c16:uniqueId val="{00000000-F825-4012-8645-A416ACFF5B9E}"/>
            </c:ext>
          </c:extLst>
        </c:ser>
        <c:ser>
          <c:idx val="2"/>
          <c:order val="3"/>
          <c:tx>
            <c:v>Production</c:v>
          </c:tx>
          <c:spPr>
            <a:ln w="25400">
              <a:solidFill>
                <a:schemeClr val="tx1"/>
              </a:solidFill>
            </a:ln>
          </c:spPr>
          <c:marker>
            <c:symbol val="none"/>
          </c:marker>
          <c:xVal>
            <c:numRef>
              <c:f>F_8!$V$45:$W$45</c:f>
              <c:numCache>
                <c:formatCode>General</c:formatCode>
                <c:ptCount val="2"/>
                <c:pt idx="0">
                  <c:v>0</c:v>
                </c:pt>
                <c:pt idx="1">
                  <c:v>6</c:v>
                </c:pt>
              </c:numCache>
            </c:numRef>
          </c:xVal>
          <c:yVal>
            <c:numRef>
              <c:f>F_8!$X$45:$Y$45</c:f>
              <c:numCache>
                <c:formatCode>0</c:formatCode>
                <c:ptCount val="2"/>
                <c:pt idx="0">
                  <c:v>356.09125725513189</c:v>
                </c:pt>
                <c:pt idx="1">
                  <c:v>681.9822167960383</c:v>
                </c:pt>
              </c:numCache>
            </c:numRef>
          </c:yVal>
          <c:smooth val="0"/>
          <c:extLst>
            <c:ext xmlns:c16="http://schemas.microsoft.com/office/drawing/2014/chart" uri="{C3380CC4-5D6E-409C-BE32-E72D297353CC}">
              <c16:uniqueId val="{00000000-FEBA-4078-B119-66D62CE3F1CD}"/>
            </c:ext>
          </c:extLst>
        </c:ser>
        <c:ser>
          <c:idx val="3"/>
          <c:order val="4"/>
          <c:tx>
            <c:v>Respiration</c:v>
          </c:tx>
          <c:spPr>
            <a:ln w="25400">
              <a:solidFill>
                <a:schemeClr val="tx1"/>
              </a:solidFill>
              <a:prstDash val="sysDash"/>
            </a:ln>
          </c:spPr>
          <c:marker>
            <c:symbol val="none"/>
          </c:marker>
          <c:xVal>
            <c:numRef>
              <c:f>F_8!$V$46:$W$46</c:f>
              <c:numCache>
                <c:formatCode>General</c:formatCode>
                <c:ptCount val="2"/>
                <c:pt idx="0">
                  <c:v>0</c:v>
                </c:pt>
                <c:pt idx="1">
                  <c:v>6</c:v>
                </c:pt>
              </c:numCache>
            </c:numRef>
          </c:xVal>
          <c:yVal>
            <c:numRef>
              <c:f>F_8!$X$46:$Y$46</c:f>
              <c:numCache>
                <c:formatCode>0</c:formatCode>
                <c:ptCount val="2"/>
                <c:pt idx="0">
                  <c:v>-78.804313112624527</c:v>
                </c:pt>
                <c:pt idx="1">
                  <c:v>-44.678897741923009</c:v>
                </c:pt>
              </c:numCache>
            </c:numRef>
          </c:yVal>
          <c:smooth val="0"/>
          <c:extLst>
            <c:ext xmlns:c16="http://schemas.microsoft.com/office/drawing/2014/chart" uri="{C3380CC4-5D6E-409C-BE32-E72D297353CC}">
              <c16:uniqueId val="{00000000-6610-4BBA-B511-B7984BDA1CAA}"/>
            </c:ext>
          </c:extLst>
        </c:ser>
        <c:dLbls>
          <c:showLegendKey val="0"/>
          <c:showVal val="0"/>
          <c:showCatName val="0"/>
          <c:showSerName val="0"/>
          <c:showPercent val="0"/>
          <c:showBubbleSize val="0"/>
        </c:dLbls>
        <c:axId val="301177104"/>
        <c:axId val="301177496"/>
      </c:scatterChart>
      <c:valAx>
        <c:axId val="301177104"/>
        <c:scaling>
          <c:orientation val="minMax"/>
          <c:max val="25"/>
        </c:scaling>
        <c:delete val="0"/>
        <c:axPos val="b"/>
        <c:title>
          <c:tx>
            <c:rich>
              <a:bodyPr/>
              <a:lstStyle/>
              <a:p>
                <a:pPr>
                  <a:defRPr sz="1000" b="0" i="0" u="none" strike="noStrike" baseline="0">
                    <a:solidFill>
                      <a:srgbClr val="000000"/>
                    </a:solidFill>
                    <a:latin typeface="Arial"/>
                    <a:ea typeface="Arial"/>
                    <a:cs typeface="Arial"/>
                  </a:defRPr>
                </a:pPr>
                <a:r>
                  <a:rPr lang="en-US"/>
                  <a:t>Stratification Strength</a:t>
                </a:r>
              </a:p>
            </c:rich>
          </c:tx>
          <c:layout>
            <c:manualLayout>
              <c:xMode val="edge"/>
              <c:yMode val="edge"/>
              <c:x val="0.41218528646262309"/>
              <c:y val="0.9342688767677626"/>
            </c:manualLayout>
          </c:layout>
          <c:overlay val="0"/>
          <c:spPr>
            <a:noFill/>
            <a:ln w="25400">
              <a:noFill/>
            </a:ln>
          </c:spPr>
        </c:title>
        <c:numFmt formatCode="General"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496"/>
        <c:crossesAt val="-100"/>
        <c:crossBetween val="midCat"/>
      </c:valAx>
      <c:valAx>
        <c:axId val="301177496"/>
        <c:scaling>
          <c:orientation val="minMax"/>
          <c:max val="600"/>
          <c:min val="-100"/>
        </c:scaling>
        <c:delete val="0"/>
        <c:axPos val="l"/>
        <c:title>
          <c:tx>
            <c:rich>
              <a:bodyPr/>
              <a:lstStyle/>
              <a:p>
                <a:pPr>
                  <a:defRPr sz="1000" b="0" i="0" u="none" strike="noStrike" baseline="0">
                    <a:solidFill>
                      <a:srgbClr val="000000"/>
                    </a:solidFill>
                    <a:latin typeface="Arial"/>
                    <a:ea typeface="Arial"/>
                    <a:cs typeface="Arial"/>
                  </a:defRPr>
                </a:pPr>
                <a:r>
                  <a:rPr lang="en-US"/>
                  <a:t>Residual P &amp; R</a:t>
                </a:r>
                <a:r>
                  <a:rPr lang="en-US" baseline="0"/>
                  <a:t> </a:t>
                </a:r>
              </a:p>
              <a:p>
                <a:pPr>
                  <a:defRPr sz="1000" b="0" i="0" u="none" strike="noStrike" baseline="0">
                    <a:solidFill>
                      <a:srgbClr val="000000"/>
                    </a:solidFill>
                    <a:latin typeface="Arial"/>
                    <a:ea typeface="Arial"/>
                    <a:cs typeface="Arial"/>
                  </a:defRPr>
                </a:pPr>
                <a:r>
                  <a:rPr lang="en-US" baseline="0"/>
                  <a:t>(mmol O</a:t>
                </a:r>
                <a:r>
                  <a:rPr lang="en-US" baseline="-25000"/>
                  <a:t>2</a:t>
                </a:r>
                <a:r>
                  <a:rPr lang="en-US" baseline="0"/>
                  <a:t> m</a:t>
                </a:r>
                <a:r>
                  <a:rPr lang="en-US" baseline="30000"/>
                  <a:t>-2</a:t>
                </a:r>
                <a:r>
                  <a:rPr lang="en-US" baseline="0"/>
                  <a:t> d</a:t>
                </a:r>
                <a:r>
                  <a:rPr lang="en-US" baseline="30000"/>
                  <a:t>-1</a:t>
                </a:r>
                <a:r>
                  <a:rPr lang="en-US" baseline="0"/>
                  <a:t>)</a:t>
                </a:r>
                <a:endParaRPr lang="en-US"/>
              </a:p>
            </c:rich>
          </c:tx>
          <c:layout>
            <c:manualLayout>
              <c:xMode val="edge"/>
              <c:yMode val="edge"/>
              <c:x val="1.5434601924759405E-2"/>
              <c:y val="0.22505854000130457"/>
            </c:manualLayout>
          </c:layout>
          <c:overlay val="0"/>
          <c:spPr>
            <a:noFill/>
            <a:ln w="25400">
              <a:noFill/>
            </a:ln>
          </c:spPr>
        </c:title>
        <c:numFmt formatCode="#,##0"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104"/>
        <c:crossesAt val="0"/>
        <c:crossBetween val="midCat"/>
        <c:majorUnit val="100"/>
      </c:valAx>
      <c:spPr>
        <a:noFill/>
        <a:ln w="9525">
          <a:solidFill>
            <a:srgbClr val="000000"/>
          </a:solidFill>
          <a:prstDash val="solid"/>
        </a:ln>
      </c:spPr>
    </c:plotArea>
    <c:legend>
      <c:legendPos val="r"/>
      <c:legendEntry>
        <c:idx val="2"/>
        <c:delete val="1"/>
      </c:legendEntry>
      <c:layout>
        <c:manualLayout>
          <c:xMode val="edge"/>
          <c:yMode val="edge"/>
          <c:x val="0.32052996500437447"/>
          <c:y val="9.7432692948474842E-2"/>
          <c:w val="0.29893110236220471"/>
          <c:h val="0.19906468965884094"/>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75328083989498"/>
          <c:y val="2.3158927151403549E-2"/>
          <c:w val="0.78196916010498685"/>
          <c:h val="0.79887197433654122"/>
        </c:manualLayout>
      </c:layout>
      <c:scatterChart>
        <c:scatterStyle val="lineMarker"/>
        <c:varyColors val="0"/>
        <c:ser>
          <c:idx val="0"/>
          <c:order val="0"/>
          <c:tx>
            <c:v>Production</c:v>
          </c:tx>
          <c:spPr>
            <a:ln w="28575">
              <a:noFill/>
            </a:ln>
          </c:spPr>
          <c:marker>
            <c:symbol val="circle"/>
            <c:size val="7"/>
            <c:spPr>
              <a:solidFill>
                <a:srgbClr val="000000"/>
              </a:solidFill>
              <a:ln>
                <a:solidFill>
                  <a:srgbClr val="000000"/>
                </a:solidFill>
                <a:prstDash val="solid"/>
              </a:ln>
            </c:spPr>
          </c:marker>
          <c:xVal>
            <c:numRef>
              <c:f>F_8!$Q$19:$Q$36</c:f>
              <c:numCache>
                <c:formatCode>0.00</c:formatCode>
                <c:ptCount val="18"/>
                <c:pt idx="0">
                  <c:v>7.4959000000000024</c:v>
                </c:pt>
                <c:pt idx="1">
                  <c:v>6.6629000000000005</c:v>
                </c:pt>
                <c:pt idx="2">
                  <c:v>11.096900000000002</c:v>
                </c:pt>
                <c:pt idx="3">
                  <c:v>4.8781999999999996</c:v>
                </c:pt>
                <c:pt idx="4">
                  <c:v>1.6046000000000014</c:v>
                </c:pt>
                <c:pt idx="5">
                  <c:v>4.5928000000000004</c:v>
                </c:pt>
                <c:pt idx="6">
                  <c:v>3.4085999999999999</c:v>
                </c:pt>
                <c:pt idx="7">
                  <c:v>4.1685999999999979</c:v>
                </c:pt>
                <c:pt idx="8">
                  <c:v>8.9052000000000007</c:v>
                </c:pt>
                <c:pt idx="9">
                  <c:v>13.4329</c:v>
                </c:pt>
                <c:pt idx="10">
                  <c:v>2.7038000000000011</c:v>
                </c:pt>
                <c:pt idx="11">
                  <c:v>20.867899999999999</c:v>
                </c:pt>
                <c:pt idx="12">
                  <c:v>19.513099999999998</c:v>
                </c:pt>
                <c:pt idx="13">
                  <c:v>19.515500000000003</c:v>
                </c:pt>
                <c:pt idx="14">
                  <c:v>13.4061</c:v>
                </c:pt>
                <c:pt idx="15">
                  <c:v>14.307400000000001</c:v>
                </c:pt>
                <c:pt idx="16">
                  <c:v>11.624099999999999</c:v>
                </c:pt>
                <c:pt idx="17">
                  <c:v>7.9246000000000016</c:v>
                </c:pt>
              </c:numCache>
            </c:numRef>
          </c:xVal>
          <c:yVal>
            <c:numRef>
              <c:f>F_8!$R$19:$R$36</c:f>
              <c:numCache>
                <c:formatCode>#,##0</c:formatCode>
                <c:ptCount val="18"/>
                <c:pt idx="0">
                  <c:v>77.63438296296296</c:v>
                </c:pt>
                <c:pt idx="1">
                  <c:v>483.47371925925933</c:v>
                </c:pt>
                <c:pt idx="2">
                  <c:v>472.99375037037032</c:v>
                </c:pt>
                <c:pt idx="3">
                  <c:v>334.69484888888906</c:v>
                </c:pt>
                <c:pt idx="4">
                  <c:v>411.30835555555547</c:v>
                </c:pt>
                <c:pt idx="5" formatCode="#,##0.0">
                  <c:v>491.93548333333348</c:v>
                </c:pt>
                <c:pt idx="6" formatCode="#,##0.0">
                  <c:v>-141.61884000000001</c:v>
                </c:pt>
                <c:pt idx="7">
                  <c:v>-115.29013999999999</c:v>
                </c:pt>
                <c:pt idx="8">
                  <c:v>-198.14718999999999</c:v>
                </c:pt>
                <c:pt idx="9">
                  <c:v>478.86419857142863</c:v>
                </c:pt>
                <c:pt idx="10">
                  <c:v>74.258719999999983</c:v>
                </c:pt>
                <c:pt idx="11">
                  <c:v>186.51404185185191</c:v>
                </c:pt>
                <c:pt idx="12">
                  <c:v>465.28718692307689</c:v>
                </c:pt>
                <c:pt idx="13">
                  <c:v>321.23493999999999</c:v>
                </c:pt>
                <c:pt idx="14">
                  <c:v>436.63307384615376</c:v>
                </c:pt>
                <c:pt idx="15">
                  <c:v>-160.2987</c:v>
                </c:pt>
                <c:pt idx="16">
                  <c:v>238.37037999999995</c:v>
                </c:pt>
                <c:pt idx="17">
                  <c:v>300.1436066666667</c:v>
                </c:pt>
              </c:numCache>
            </c:numRef>
          </c:yVal>
          <c:smooth val="0"/>
          <c:extLst>
            <c:ext xmlns:c16="http://schemas.microsoft.com/office/drawing/2014/chart" uri="{C3380CC4-5D6E-409C-BE32-E72D297353CC}">
              <c16:uniqueId val="{00000001-08AB-4412-9AD6-357B89C97DD2}"/>
            </c:ext>
          </c:extLst>
        </c:ser>
        <c:ser>
          <c:idx val="5"/>
          <c:order val="1"/>
          <c:tx>
            <c:v>Respiration</c:v>
          </c:tx>
          <c:spPr>
            <a:ln w="28575">
              <a:noFill/>
            </a:ln>
          </c:spPr>
          <c:marker>
            <c:symbol val="circle"/>
            <c:size val="7"/>
            <c:spPr>
              <a:noFill/>
              <a:ln>
                <a:solidFill>
                  <a:srgbClr val="000000"/>
                </a:solidFill>
                <a:prstDash val="solid"/>
              </a:ln>
            </c:spPr>
          </c:marker>
          <c:xVal>
            <c:numRef>
              <c:f>F_8!$Q$19:$Q$36</c:f>
              <c:numCache>
                <c:formatCode>0.00</c:formatCode>
                <c:ptCount val="18"/>
                <c:pt idx="0">
                  <c:v>7.4959000000000024</c:v>
                </c:pt>
                <c:pt idx="1">
                  <c:v>6.6629000000000005</c:v>
                </c:pt>
                <c:pt idx="2">
                  <c:v>11.096900000000002</c:v>
                </c:pt>
                <c:pt idx="3">
                  <c:v>4.8781999999999996</c:v>
                </c:pt>
                <c:pt idx="4">
                  <c:v>1.6046000000000014</c:v>
                </c:pt>
                <c:pt idx="5">
                  <c:v>4.5928000000000004</c:v>
                </c:pt>
                <c:pt idx="6">
                  <c:v>3.4085999999999999</c:v>
                </c:pt>
                <c:pt idx="7">
                  <c:v>4.1685999999999979</c:v>
                </c:pt>
                <c:pt idx="8">
                  <c:v>8.9052000000000007</c:v>
                </c:pt>
                <c:pt idx="9">
                  <c:v>13.4329</c:v>
                </c:pt>
                <c:pt idx="10">
                  <c:v>2.7038000000000011</c:v>
                </c:pt>
                <c:pt idx="11">
                  <c:v>20.867899999999999</c:v>
                </c:pt>
                <c:pt idx="12">
                  <c:v>19.513099999999998</c:v>
                </c:pt>
                <c:pt idx="13">
                  <c:v>19.515500000000003</c:v>
                </c:pt>
                <c:pt idx="14">
                  <c:v>13.4061</c:v>
                </c:pt>
                <c:pt idx="15">
                  <c:v>14.307400000000001</c:v>
                </c:pt>
                <c:pt idx="16">
                  <c:v>11.624099999999999</c:v>
                </c:pt>
                <c:pt idx="17">
                  <c:v>7.9246000000000016</c:v>
                </c:pt>
              </c:numCache>
            </c:numRef>
          </c:xVal>
          <c:yVal>
            <c:numRef>
              <c:f>F_8!$S$19:$S$36</c:f>
              <c:numCache>
                <c:formatCode>#,##0</c:formatCode>
                <c:ptCount val="18"/>
                <c:pt idx="0">
                  <c:v>-99.83520919706632</c:v>
                </c:pt>
                <c:pt idx="1">
                  <c:v>-119.77502759030943</c:v>
                </c:pt>
                <c:pt idx="2">
                  <c:v>-121.50762202783106</c:v>
                </c:pt>
                <c:pt idx="3">
                  <c:v>-142.90496041109358</c:v>
                </c:pt>
                <c:pt idx="4">
                  <c:v>-96.92480702223142</c:v>
                </c:pt>
                <c:pt idx="5">
                  <c:v>-129.75536498505375</c:v>
                </c:pt>
                <c:pt idx="6">
                  <c:v>-146.09145471768778</c:v>
                </c:pt>
                <c:pt idx="7">
                  <c:v>-146.09145471768778</c:v>
                </c:pt>
                <c:pt idx="8">
                  <c:v>-154.95779675821993</c:v>
                </c:pt>
                <c:pt idx="9">
                  <c:v>-126.01940788662971</c:v>
                </c:pt>
                <c:pt idx="10">
                  <c:v>-131.91937334150273</c:v>
                </c:pt>
                <c:pt idx="11">
                  <c:v>-153.25784646007872</c:v>
                </c:pt>
                <c:pt idx="12">
                  <c:v>-92.572001344330658</c:v>
                </c:pt>
                <c:pt idx="13">
                  <c:v>-103.28853398128129</c:v>
                </c:pt>
                <c:pt idx="14">
                  <c:v>-257.26726680174738</c:v>
                </c:pt>
                <c:pt idx="15">
                  <c:v>-188.69472391067012</c:v>
                </c:pt>
                <c:pt idx="16">
                  <c:v>-84.471919124361264</c:v>
                </c:pt>
                <c:pt idx="17">
                  <c:v>-87.035695814450207</c:v>
                </c:pt>
              </c:numCache>
            </c:numRef>
          </c:yVal>
          <c:smooth val="0"/>
          <c:extLst>
            <c:ext xmlns:c16="http://schemas.microsoft.com/office/drawing/2014/chart" uri="{C3380CC4-5D6E-409C-BE32-E72D297353CC}">
              <c16:uniqueId val="{00000000-08AB-4412-9AD6-357B89C97DD2}"/>
            </c:ext>
          </c:extLst>
        </c:ser>
        <c:ser>
          <c:idx val="1"/>
          <c:order val="2"/>
          <c:tx>
            <c:v>Zero</c:v>
          </c:tx>
          <c:spPr>
            <a:ln w="12700">
              <a:solidFill>
                <a:srgbClr val="000000"/>
              </a:solidFill>
              <a:prstDash val="dash"/>
            </a:ln>
          </c:spPr>
          <c:marker>
            <c:symbol val="none"/>
          </c:marker>
          <c:xVal>
            <c:numLit>
              <c:formatCode>General</c:formatCode>
              <c:ptCount val="2"/>
              <c:pt idx="0">
                <c:v>0</c:v>
              </c:pt>
              <c:pt idx="1">
                <c:v>25</c:v>
              </c:pt>
            </c:numLit>
          </c:xVal>
          <c:yVal>
            <c:numLit>
              <c:formatCode>General</c:formatCode>
              <c:ptCount val="2"/>
              <c:pt idx="0">
                <c:v>0</c:v>
              </c:pt>
              <c:pt idx="1">
                <c:v>0</c:v>
              </c:pt>
            </c:numLit>
          </c:yVal>
          <c:smooth val="0"/>
          <c:extLst>
            <c:ext xmlns:c16="http://schemas.microsoft.com/office/drawing/2014/chart" uri="{C3380CC4-5D6E-409C-BE32-E72D297353CC}">
              <c16:uniqueId val="{00000000-F825-4012-8645-A416ACFF5B9E}"/>
            </c:ext>
          </c:extLst>
        </c:ser>
        <c:ser>
          <c:idx val="2"/>
          <c:order val="3"/>
          <c:tx>
            <c:v>Production</c:v>
          </c:tx>
          <c:spPr>
            <a:ln w="25400">
              <a:solidFill>
                <a:schemeClr val="tx1"/>
              </a:solidFill>
            </a:ln>
          </c:spPr>
          <c:marker>
            <c:symbol val="none"/>
          </c:marker>
          <c:xVal>
            <c:numRef>
              <c:f>F_8!$V$47:$W$47</c:f>
              <c:numCache>
                <c:formatCode>General</c:formatCode>
                <c:ptCount val="2"/>
                <c:pt idx="0">
                  <c:v>0</c:v>
                </c:pt>
                <c:pt idx="1">
                  <c:v>22</c:v>
                </c:pt>
              </c:numCache>
            </c:numRef>
          </c:xVal>
          <c:yVal>
            <c:numRef>
              <c:f>F_8!$X$47:$Y$47</c:f>
              <c:numCache>
                <c:formatCode>0</c:formatCode>
                <c:ptCount val="2"/>
                <c:pt idx="0">
                  <c:v>-170.71236897279698</c:v>
                </c:pt>
                <c:pt idx="1">
                  <c:v>732.5795001826167</c:v>
                </c:pt>
              </c:numCache>
            </c:numRef>
          </c:yVal>
          <c:smooth val="0"/>
          <c:extLst>
            <c:ext xmlns:c16="http://schemas.microsoft.com/office/drawing/2014/chart" uri="{C3380CC4-5D6E-409C-BE32-E72D297353CC}">
              <c16:uniqueId val="{00000000-FEBA-4078-B119-66D62CE3F1CD}"/>
            </c:ext>
          </c:extLst>
        </c:ser>
        <c:ser>
          <c:idx val="3"/>
          <c:order val="4"/>
          <c:tx>
            <c:v>Respiration</c:v>
          </c:tx>
          <c:spPr>
            <a:ln w="25400">
              <a:solidFill>
                <a:schemeClr val="tx1"/>
              </a:solidFill>
              <a:prstDash val="sysDash"/>
            </a:ln>
          </c:spPr>
          <c:marker>
            <c:symbol val="none"/>
          </c:marker>
          <c:xVal>
            <c:numRef>
              <c:f>F_8!$V$48:$W$48</c:f>
              <c:numCache>
                <c:formatCode>General</c:formatCode>
                <c:ptCount val="2"/>
                <c:pt idx="0">
                  <c:v>0</c:v>
                </c:pt>
                <c:pt idx="1">
                  <c:v>22</c:v>
                </c:pt>
              </c:numCache>
            </c:numRef>
          </c:xVal>
          <c:yVal>
            <c:numRef>
              <c:f>F_8!$X$48:$Y$48</c:f>
              <c:numCache>
                <c:formatCode>0</c:formatCode>
                <c:ptCount val="2"/>
                <c:pt idx="0">
                  <c:v>-199.7849538356985</c:v>
                </c:pt>
                <c:pt idx="1">
                  <c:v>-48.15910676188193</c:v>
                </c:pt>
              </c:numCache>
            </c:numRef>
          </c:yVal>
          <c:smooth val="0"/>
          <c:extLst>
            <c:ext xmlns:c16="http://schemas.microsoft.com/office/drawing/2014/chart" uri="{C3380CC4-5D6E-409C-BE32-E72D297353CC}">
              <c16:uniqueId val="{00000000-6610-4BBA-B511-B7984BDA1CAA}"/>
            </c:ext>
          </c:extLst>
        </c:ser>
        <c:dLbls>
          <c:showLegendKey val="0"/>
          <c:showVal val="0"/>
          <c:showCatName val="0"/>
          <c:showSerName val="0"/>
          <c:showPercent val="0"/>
          <c:showBubbleSize val="0"/>
        </c:dLbls>
        <c:axId val="301177104"/>
        <c:axId val="301177496"/>
      </c:scatterChart>
      <c:valAx>
        <c:axId val="301177104"/>
        <c:scaling>
          <c:orientation val="minMax"/>
          <c:max val="25"/>
        </c:scaling>
        <c:delete val="0"/>
        <c:axPos val="b"/>
        <c:title>
          <c:tx>
            <c:rich>
              <a:bodyPr/>
              <a:lstStyle/>
              <a:p>
                <a:pPr>
                  <a:defRPr sz="1000" b="0" i="0" u="none" strike="noStrike" baseline="0">
                    <a:solidFill>
                      <a:srgbClr val="000000"/>
                    </a:solidFill>
                    <a:latin typeface="Arial"/>
                    <a:ea typeface="Arial"/>
                    <a:cs typeface="Arial"/>
                  </a:defRPr>
                </a:pPr>
                <a:r>
                  <a:rPr lang="en-US"/>
                  <a:t>Stratification Strength</a:t>
                </a:r>
              </a:p>
            </c:rich>
          </c:tx>
          <c:layout>
            <c:manualLayout>
              <c:xMode val="edge"/>
              <c:yMode val="edge"/>
              <c:x val="0.41218528646262309"/>
              <c:y val="0.9342688767677626"/>
            </c:manualLayout>
          </c:layout>
          <c:overlay val="0"/>
          <c:spPr>
            <a:noFill/>
            <a:ln w="25400">
              <a:noFill/>
            </a:ln>
          </c:spPr>
        </c:title>
        <c:numFmt formatCode="General"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496"/>
        <c:crossesAt val="-300"/>
        <c:crossBetween val="midCat"/>
      </c:valAx>
      <c:valAx>
        <c:axId val="301177496"/>
        <c:scaling>
          <c:orientation val="minMax"/>
          <c:max val="600"/>
        </c:scaling>
        <c:delete val="0"/>
        <c:axPos val="l"/>
        <c:title>
          <c:tx>
            <c:rich>
              <a:bodyPr/>
              <a:lstStyle/>
              <a:p>
                <a:pPr>
                  <a:defRPr sz="1000" b="0" i="0" u="none" strike="noStrike" baseline="0">
                    <a:solidFill>
                      <a:srgbClr val="000000"/>
                    </a:solidFill>
                    <a:latin typeface="Arial"/>
                    <a:ea typeface="Arial"/>
                    <a:cs typeface="Arial"/>
                  </a:defRPr>
                </a:pPr>
                <a:r>
                  <a:rPr lang="en-US"/>
                  <a:t>Residual P &amp; R</a:t>
                </a:r>
                <a:r>
                  <a:rPr lang="en-US" baseline="0"/>
                  <a:t> </a:t>
                </a:r>
              </a:p>
              <a:p>
                <a:pPr>
                  <a:defRPr sz="1000" b="0" i="0" u="none" strike="noStrike" baseline="0">
                    <a:solidFill>
                      <a:srgbClr val="000000"/>
                    </a:solidFill>
                    <a:latin typeface="Arial"/>
                    <a:ea typeface="Arial"/>
                    <a:cs typeface="Arial"/>
                  </a:defRPr>
                </a:pPr>
                <a:r>
                  <a:rPr lang="en-US" baseline="0"/>
                  <a:t>(mmol O</a:t>
                </a:r>
                <a:r>
                  <a:rPr lang="en-US" baseline="-25000"/>
                  <a:t>2</a:t>
                </a:r>
                <a:r>
                  <a:rPr lang="en-US" baseline="0"/>
                  <a:t> m</a:t>
                </a:r>
                <a:r>
                  <a:rPr lang="en-US" baseline="30000"/>
                  <a:t>-2</a:t>
                </a:r>
                <a:r>
                  <a:rPr lang="en-US" baseline="0"/>
                  <a:t> d</a:t>
                </a:r>
                <a:r>
                  <a:rPr lang="en-US" baseline="30000"/>
                  <a:t>-1</a:t>
                </a:r>
                <a:r>
                  <a:rPr lang="en-US" baseline="0"/>
                  <a:t>)</a:t>
                </a:r>
                <a:endParaRPr lang="en-US"/>
              </a:p>
            </c:rich>
          </c:tx>
          <c:layout>
            <c:manualLayout>
              <c:xMode val="edge"/>
              <c:yMode val="edge"/>
              <c:x val="1.5434601924759405E-2"/>
              <c:y val="0.22505854000130457"/>
            </c:manualLayout>
          </c:layout>
          <c:overlay val="0"/>
          <c:spPr>
            <a:noFill/>
            <a:ln w="25400">
              <a:noFill/>
            </a:ln>
          </c:spPr>
        </c:title>
        <c:numFmt formatCode="#,##0" sourceLinked="0"/>
        <c:majorTickMark val="out"/>
        <c:minorTickMark val="none"/>
        <c:tickLblPos val="nextTo"/>
        <c:spPr>
          <a:ln w="952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177104"/>
        <c:crossesAt val="0"/>
        <c:crossBetween val="midCat"/>
        <c:majorUnit val="100"/>
      </c:valAx>
      <c:spPr>
        <a:noFill/>
        <a:ln w="9525">
          <a:solidFill>
            <a:srgbClr val="000000"/>
          </a:solidFill>
          <a:prstDash val="solid"/>
        </a:ln>
      </c:spPr>
    </c:plotArea>
    <c:legend>
      <c:legendPos val="r"/>
      <c:legendEntry>
        <c:idx val="0"/>
        <c:delete val="1"/>
      </c:legendEntry>
      <c:legendEntry>
        <c:idx val="1"/>
        <c:delete val="1"/>
      </c:legendEntry>
      <c:legendEntry>
        <c:idx val="2"/>
        <c:delete val="1"/>
      </c:legendEntry>
      <c:layout>
        <c:manualLayout>
          <c:xMode val="edge"/>
          <c:yMode val="edge"/>
          <c:x val="0.19552996500437447"/>
          <c:y val="0.15436176828581324"/>
          <c:w val="0.25170888013998249"/>
          <c:h val="0.11177344080825541"/>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1.8190459320569261E-2"/>
          <c:w val="0.76289020233673099"/>
          <c:h val="0.81210899458882468"/>
        </c:manualLayout>
      </c:layout>
      <c:scatterChart>
        <c:scatterStyle val="lineMarker"/>
        <c:varyColors val="0"/>
        <c:ser>
          <c:idx val="0"/>
          <c:order val="0"/>
          <c:tx>
            <c:v>Rt</c:v>
          </c:tx>
          <c:spPr>
            <a:ln w="28575">
              <a:noFill/>
            </a:ln>
          </c:spPr>
          <c:xVal>
            <c:numRef>
              <c:f>'SP01'!$AA$3:$AA$176</c:f>
              <c:numCache>
                <c:formatCode>General</c:formatCode>
                <c:ptCount val="174"/>
                <c:pt idx="3" formatCode="0.0">
                  <c:v>124.69235068261712</c:v>
                </c:pt>
                <c:pt idx="4" formatCode="0.0">
                  <c:v>117.6125362015428</c:v>
                </c:pt>
                <c:pt idx="5" formatCode="0.0">
                  <c:v>108.02653413793099</c:v>
                </c:pt>
                <c:pt idx="6" formatCode="0.0">
                  <c:v>112.95282038931124</c:v>
                </c:pt>
                <c:pt idx="7" formatCode="0.0">
                  <c:v>103.92789419542525</c:v>
                </c:pt>
                <c:pt idx="8" formatCode="0.0">
                  <c:v>100.78011621661028</c:v>
                </c:pt>
                <c:pt idx="9" formatCode="0.0">
                  <c:v>78.367669774749714</c:v>
                </c:pt>
                <c:pt idx="10" formatCode="0.0">
                  <c:v>64.388733005547294</c:v>
                </c:pt>
                <c:pt idx="11" formatCode="0.0">
                  <c:v>60.885670220060824</c:v>
                </c:pt>
                <c:pt idx="12" formatCode="0.0">
                  <c:v>59.964007453990853</c:v>
                </c:pt>
                <c:pt idx="13" formatCode="0.0">
                  <c:v>51.887360639104983</c:v>
                </c:pt>
                <c:pt idx="14" formatCode="0.0">
                  <c:v>44.375347844375632</c:v>
                </c:pt>
                <c:pt idx="15" formatCode="0.0">
                  <c:v>53.56482557823329</c:v>
                </c:pt>
                <c:pt idx="16" formatCode="0.0">
                  <c:v>65.322595617196413</c:v>
                </c:pt>
                <c:pt idx="17" formatCode="0.0">
                  <c:v>73.5944624927793</c:v>
                </c:pt>
                <c:pt idx="18" formatCode="0.0">
                  <c:v>76.681032284778567</c:v>
                </c:pt>
                <c:pt idx="19" formatCode="0.0">
                  <c:v>88.881623944741492</c:v>
                </c:pt>
                <c:pt idx="20" formatCode="0.0">
                  <c:v>96.463826674637033</c:v>
                </c:pt>
                <c:pt idx="21" formatCode="0.0">
                  <c:v>109.22727244899727</c:v>
                </c:pt>
                <c:pt idx="22" formatCode="0.0">
                  <c:v>109.10650752975712</c:v>
                </c:pt>
                <c:pt idx="23" formatCode="0.0">
                  <c:v>103.53910541417859</c:v>
                </c:pt>
                <c:pt idx="24" formatCode="0.0">
                  <c:v>125.26341032608376</c:v>
                </c:pt>
                <c:pt idx="25" formatCode="0.0">
                  <c:v>132.562514984865</c:v>
                </c:pt>
                <c:pt idx="26" formatCode="0.0">
                  <c:v>128.37424191249394</c:v>
                </c:pt>
                <c:pt idx="27" formatCode="0.0">
                  <c:v>140.55131716561189</c:v>
                </c:pt>
                <c:pt idx="28" formatCode="0.0">
                  <c:v>142.02199973068585</c:v>
                </c:pt>
                <c:pt idx="29" formatCode="0.0">
                  <c:v>130.42084748163657</c:v>
                </c:pt>
                <c:pt idx="30" formatCode="0.0">
                  <c:v>136.85159294521537</c:v>
                </c:pt>
                <c:pt idx="31" formatCode="0.0">
                  <c:v>119.50499426263953</c:v>
                </c:pt>
                <c:pt idx="32" formatCode="0.0">
                  <c:v>146.42413020215625</c:v>
                </c:pt>
                <c:pt idx="33" formatCode="0.0">
                  <c:v>177.59861552450849</c:v>
                </c:pt>
                <c:pt idx="34" formatCode="0.0">
                  <c:v>193.31367029107793</c:v>
                </c:pt>
                <c:pt idx="35" formatCode="0.0">
                  <c:v>236.19714643944795</c:v>
                </c:pt>
                <c:pt idx="36" formatCode="0.0">
                  <c:v>294.21739736297496</c:v>
                </c:pt>
                <c:pt idx="37" formatCode="0.0">
                  <c:v>321.23216343368949</c:v>
                </c:pt>
                <c:pt idx="38" formatCode="0.0">
                  <c:v>329.65920486741015</c:v>
                </c:pt>
                <c:pt idx="39" formatCode="0.0">
                  <c:v>311.45918324156781</c:v>
                </c:pt>
                <c:pt idx="40" formatCode="0.0">
                  <c:v>304.18971679755862</c:v>
                </c:pt>
                <c:pt idx="41" formatCode="0.0">
                  <c:v>272.40543266784567</c:v>
                </c:pt>
                <c:pt idx="42" formatCode="0.0">
                  <c:v>239.32122287274927</c:v>
                </c:pt>
                <c:pt idx="43" formatCode="0.0">
                  <c:v>217.08822830979901</c:v>
                </c:pt>
                <c:pt idx="44" formatCode="0.0">
                  <c:v>210.26735552197644</c:v>
                </c:pt>
                <c:pt idx="45" formatCode="0.0">
                  <c:v>213.75626494687782</c:v>
                </c:pt>
                <c:pt idx="46" formatCode="0.0">
                  <c:v>232.45823342327373</c:v>
                </c:pt>
                <c:pt idx="47" formatCode="0.0">
                  <c:v>252.42453744359949</c:v>
                </c:pt>
                <c:pt idx="48" formatCode="0.0">
                  <c:v>270.47678812150883</c:v>
                </c:pt>
                <c:pt idx="49" formatCode="0.0">
                  <c:v>297.22105146174766</c:v>
                </c:pt>
                <c:pt idx="50" formatCode="0.0">
                  <c:v>294.11320652517736</c:v>
                </c:pt>
                <c:pt idx="51" formatCode="0.0">
                  <c:v>299.00199066546116</c:v>
                </c:pt>
                <c:pt idx="52" formatCode="0.0">
                  <c:v>288.31071184454862</c:v>
                </c:pt>
                <c:pt idx="53" formatCode="0.0">
                  <c:v>270.28821409656882</c:v>
                </c:pt>
                <c:pt idx="54" formatCode="0.0">
                  <c:v>262.86042133041786</c:v>
                </c:pt>
                <c:pt idx="55" formatCode="0.0">
                  <c:v>249.0926630111243</c:v>
                </c:pt>
                <c:pt idx="56" formatCode="0.0">
                  <c:v>221.60555572901876</c:v>
                </c:pt>
                <c:pt idx="57" formatCode="0.0">
                  <c:v>236.38495150127898</c:v>
                </c:pt>
                <c:pt idx="58" formatCode="0.0">
                  <c:v>249.10126958581438</c:v>
                </c:pt>
                <c:pt idx="59" formatCode="0.0">
                  <c:v>251.35299512164343</c:v>
                </c:pt>
                <c:pt idx="60" formatCode="0.0">
                  <c:v>255.02128082183819</c:v>
                </c:pt>
                <c:pt idx="61" formatCode="0.0">
                  <c:v>256.72537923051311</c:v>
                </c:pt>
                <c:pt idx="62" formatCode="0.0">
                  <c:v>278.43428278679772</c:v>
                </c:pt>
                <c:pt idx="63" formatCode="0.0">
                  <c:v>289.88119287805597</c:v>
                </c:pt>
                <c:pt idx="64" formatCode="0.0">
                  <c:v>246.06241632635485</c:v>
                </c:pt>
                <c:pt idx="65" formatCode="0.0">
                  <c:v>269.15989562641226</c:v>
                </c:pt>
                <c:pt idx="66" formatCode="0.0">
                  <c:v>280.53179493638424</c:v>
                </c:pt>
                <c:pt idx="67" formatCode="0.0">
                  <c:v>258.85314345117769</c:v>
                </c:pt>
                <c:pt idx="68" formatCode="0.0">
                  <c:v>239.71553741653744</c:v>
                </c:pt>
                <c:pt idx="69" formatCode="0.0">
                  <c:v>207.99562247296441</c:v>
                </c:pt>
                <c:pt idx="70" formatCode="0.0">
                  <c:v>198.93404269222486</c:v>
                </c:pt>
                <c:pt idx="71" formatCode="0.0">
                  <c:v>208.65348992246135</c:v>
                </c:pt>
                <c:pt idx="72" formatCode="0.0">
                  <c:v>141.49350752900992</c:v>
                </c:pt>
                <c:pt idx="73" formatCode="0.0">
                  <c:v>145.23972785284275</c:v>
                </c:pt>
                <c:pt idx="74" formatCode="0.0">
                  <c:v>168.18884063150145</c:v>
                </c:pt>
                <c:pt idx="75" formatCode="0.0">
                  <c:v>161.62837078314791</c:v>
                </c:pt>
                <c:pt idx="76" formatCode="0.0">
                  <c:v>168.68993157442992</c:v>
                </c:pt>
                <c:pt idx="77" formatCode="0.0">
                  <c:v>159.04307858035776</c:v>
                </c:pt>
                <c:pt idx="93" formatCode="0.0">
                  <c:v>155.77418907354124</c:v>
                </c:pt>
                <c:pt idx="94" formatCode="0.0">
                  <c:v>157.82003717874525</c:v>
                </c:pt>
                <c:pt idx="95" formatCode="0.0">
                  <c:v>142.39221657725375</c:v>
                </c:pt>
                <c:pt idx="96" formatCode="0.0">
                  <c:v>148.02459307407199</c:v>
                </c:pt>
                <c:pt idx="97" formatCode="0.0">
                  <c:v>138.65630334770734</c:v>
                </c:pt>
                <c:pt idx="98" formatCode="0.0">
                  <c:v>127.04385928933904</c:v>
                </c:pt>
                <c:pt idx="99" formatCode="0.0">
                  <c:v>133.75757960337631</c:v>
                </c:pt>
                <c:pt idx="100" formatCode="0.0">
                  <c:v>98.098672812482889</c:v>
                </c:pt>
                <c:pt idx="101" formatCode="0.0">
                  <c:v>89.072139772963993</c:v>
                </c:pt>
                <c:pt idx="102" formatCode="0.0">
                  <c:v>105.17965432442328</c:v>
                </c:pt>
                <c:pt idx="103" formatCode="0.0">
                  <c:v>108.10663218312503</c:v>
                </c:pt>
                <c:pt idx="104" formatCode="0.0">
                  <c:v>106.63535635464551</c:v>
                </c:pt>
                <c:pt idx="105" formatCode="0.0">
                  <c:v>101.12886134555218</c:v>
                </c:pt>
                <c:pt idx="106" formatCode="0.0">
                  <c:v>113.90090151683238</c:v>
                </c:pt>
                <c:pt idx="107" formatCode="0.0">
                  <c:v>110.94199892779898</c:v>
                </c:pt>
                <c:pt idx="108" formatCode="0.0">
                  <c:v>112.40556329220554</c:v>
                </c:pt>
                <c:pt idx="109" formatCode="0.0">
                  <c:v>118.1869776253584</c:v>
                </c:pt>
                <c:pt idx="110" formatCode="0.0">
                  <c:v>125.72511390081102</c:v>
                </c:pt>
                <c:pt idx="111" formatCode="0.0">
                  <c:v>126.27018188621777</c:v>
                </c:pt>
                <c:pt idx="112" formatCode="0.0">
                  <c:v>127.57586552606449</c:v>
                </c:pt>
                <c:pt idx="113" formatCode="0.0">
                  <c:v>105.53247697326374</c:v>
                </c:pt>
                <c:pt idx="114" formatCode="0.0">
                  <c:v>98.870749525694194</c:v>
                </c:pt>
                <c:pt idx="115" formatCode="0.0">
                  <c:v>94.385020619865585</c:v>
                </c:pt>
                <c:pt idx="116" formatCode="0.0">
                  <c:v>68.58187335525912</c:v>
                </c:pt>
                <c:pt idx="117" formatCode="0.0">
                  <c:v>57.573414067638922</c:v>
                </c:pt>
                <c:pt idx="118" formatCode="0.0">
                  <c:v>65.219403862655412</c:v>
                </c:pt>
                <c:pt idx="119" formatCode="0.0">
                  <c:v>65.021898285882202</c:v>
                </c:pt>
                <c:pt idx="120" formatCode="0.0">
                  <c:v>97.307794768409309</c:v>
                </c:pt>
                <c:pt idx="121" formatCode="0.0">
                  <c:v>138.70684601643012</c:v>
                </c:pt>
                <c:pt idx="122" formatCode="0.0">
                  <c:v>186.41596802183645</c:v>
                </c:pt>
                <c:pt idx="123" formatCode="0.0">
                  <c:v>229.88950239793527</c:v>
                </c:pt>
                <c:pt idx="124" formatCode="0.0">
                  <c:v>235.98355338934471</c:v>
                </c:pt>
                <c:pt idx="125" formatCode="0.0">
                  <c:v>221.70834133687313</c:v>
                </c:pt>
                <c:pt idx="126" formatCode="0.0">
                  <c:v>235.93413661173221</c:v>
                </c:pt>
                <c:pt idx="127" formatCode="0.0">
                  <c:v>207.37304277345717</c:v>
                </c:pt>
                <c:pt idx="128" formatCode="0.0">
                  <c:v>183.53231863093239</c:v>
                </c:pt>
                <c:pt idx="129" formatCode="0.0">
                  <c:v>148.49909459726263</c:v>
                </c:pt>
                <c:pt idx="130" formatCode="0.0">
                  <c:v>113.24397318392458</c:v>
                </c:pt>
                <c:pt idx="131" formatCode="0.0">
                  <c:v>114.3401956790683</c:v>
                </c:pt>
                <c:pt idx="132" formatCode="0.0">
                  <c:v>148.01578702541272</c:v>
                </c:pt>
                <c:pt idx="133" formatCode="0.0">
                  <c:v>160.90600380473302</c:v>
                </c:pt>
                <c:pt idx="134" formatCode="0.0">
                  <c:v>173.21131512219216</c:v>
                </c:pt>
                <c:pt idx="135" formatCode="0.0">
                  <c:v>186.23629612354952</c:v>
                </c:pt>
                <c:pt idx="136" formatCode="0.0">
                  <c:v>199.35224403194655</c:v>
                </c:pt>
                <c:pt idx="137" formatCode="0.0">
                  <c:v>230.22844585066531</c:v>
                </c:pt>
                <c:pt idx="138" formatCode="0.0">
                  <c:v>226.41235079550711</c:v>
                </c:pt>
                <c:pt idx="139" formatCode="0.0">
                  <c:v>197.83851031908574</c:v>
                </c:pt>
                <c:pt idx="140" formatCode="0.0">
                  <c:v>195.90125863415088</c:v>
                </c:pt>
                <c:pt idx="141" formatCode="0.0">
                  <c:v>194.20473523649602</c:v>
                </c:pt>
                <c:pt idx="142" formatCode="0.0">
                  <c:v>158.81294248412161</c:v>
                </c:pt>
                <c:pt idx="143" formatCode="0.0">
                  <c:v>135.75878459879505</c:v>
                </c:pt>
                <c:pt idx="144" formatCode="0.0">
                  <c:v>110.06022782636896</c:v>
                </c:pt>
                <c:pt idx="145" formatCode="0.0">
                  <c:v>114.66114829000519</c:v>
                </c:pt>
                <c:pt idx="146" formatCode="0.0">
                  <c:v>128.92821769207649</c:v>
                </c:pt>
                <c:pt idx="147" formatCode="0.0">
                  <c:v>165.97096581378324</c:v>
                </c:pt>
                <c:pt idx="148" formatCode="0.0">
                  <c:v>170.31724317549779</c:v>
                </c:pt>
                <c:pt idx="149" formatCode="0.0">
                  <c:v>214.71178481014627</c:v>
                </c:pt>
                <c:pt idx="150" formatCode="0.0">
                  <c:v>280.95299692291599</c:v>
                </c:pt>
                <c:pt idx="151" formatCode="0.0">
                  <c:v>337.82024674321605</c:v>
                </c:pt>
                <c:pt idx="152" formatCode="0.0">
                  <c:v>339.42802696087102</c:v>
                </c:pt>
                <c:pt idx="153" formatCode="0.0">
                  <c:v>334.63034533763226</c:v>
                </c:pt>
                <c:pt idx="154" formatCode="0.0">
                  <c:v>295.30086437355266</c:v>
                </c:pt>
                <c:pt idx="155" formatCode="0.0">
                  <c:v>298.6087927350988</c:v>
                </c:pt>
                <c:pt idx="156" formatCode="0.0">
                  <c:v>266.31240114633476</c:v>
                </c:pt>
                <c:pt idx="157" formatCode="0.0">
                  <c:v>210.75485220485356</c:v>
                </c:pt>
                <c:pt idx="158" formatCode="0.0">
                  <c:v>177.50293731086302</c:v>
                </c:pt>
                <c:pt idx="159" formatCode="0.0">
                  <c:v>173.00838636796522</c:v>
                </c:pt>
                <c:pt idx="160" formatCode="0.0">
                  <c:v>177.43250498885575</c:v>
                </c:pt>
                <c:pt idx="161" formatCode="0.0">
                  <c:v>184.32316094902572</c:v>
                </c:pt>
                <c:pt idx="162" formatCode="0.0">
                  <c:v>190.64214553577813</c:v>
                </c:pt>
                <c:pt idx="163" formatCode="0.0">
                  <c:v>204.41006722122304</c:v>
                </c:pt>
                <c:pt idx="164" formatCode="0.0">
                  <c:v>222.23628245111036</c:v>
                </c:pt>
                <c:pt idx="165" formatCode="0.0">
                  <c:v>221.81673779357976</c:v>
                </c:pt>
                <c:pt idx="166" formatCode="0.0">
                  <c:v>249.02525556322138</c:v>
                </c:pt>
                <c:pt idx="167" formatCode="0.0">
                  <c:v>245.41080287586584</c:v>
                </c:pt>
                <c:pt idx="168" formatCode="0.0">
                  <c:v>225.63085618042447</c:v>
                </c:pt>
                <c:pt idx="169" formatCode="0.0">
                  <c:v>222.3514698910723</c:v>
                </c:pt>
                <c:pt idx="170" formatCode="0.0">
                  <c:v>200.93515543969355</c:v>
                </c:pt>
              </c:numCache>
            </c:numRef>
          </c:xVal>
          <c:yVal>
            <c:numRef>
              <c:f>'SP01'!$AK$3:$AK$176</c:f>
              <c:numCache>
                <c:formatCode>General</c:formatCode>
                <c:ptCount val="174"/>
                <c:pt idx="3" formatCode="0.0">
                  <c:v>166.7180415</c:v>
                </c:pt>
                <c:pt idx="4" formatCode="0.0">
                  <c:v>155.535066</c:v>
                </c:pt>
                <c:pt idx="5" formatCode="0.0">
                  <c:v>151.18103271428572</c:v>
                </c:pt>
                <c:pt idx="6" formatCode="0.0">
                  <c:v>152.26794571428573</c:v>
                </c:pt>
                <c:pt idx="7" formatCode="0.0">
                  <c:v>144.11216814285714</c:v>
                </c:pt>
                <c:pt idx="8" formatCode="0.0">
                  <c:v>134.69792342857141</c:v>
                </c:pt>
                <c:pt idx="9" formatCode="0.0">
                  <c:v>115.36252071428571</c:v>
                </c:pt>
                <c:pt idx="10" formatCode="0.0">
                  <c:v>87.882025714285717</c:v>
                </c:pt>
                <c:pt idx="11" formatCode="0.0">
                  <c:v>95.086884999999981</c:v>
                </c:pt>
                <c:pt idx="12" formatCode="0.0">
                  <c:v>105.57177928571427</c:v>
                </c:pt>
                <c:pt idx="13" formatCode="0.0">
                  <c:v>107.02398471428572</c:v>
                </c:pt>
                <c:pt idx="14" formatCode="0.0">
                  <c:v>90.486383285714282</c:v>
                </c:pt>
                <c:pt idx="15" formatCode="0.0">
                  <c:v>93.747576428571421</c:v>
                </c:pt>
                <c:pt idx="16" formatCode="0.0">
                  <c:v>95.132469285714279</c:v>
                </c:pt>
                <c:pt idx="17" formatCode="0.0">
                  <c:v>108.0066682857143</c:v>
                </c:pt>
                <c:pt idx="18" formatCode="0.0">
                  <c:v>103.16867742857143</c:v>
                </c:pt>
                <c:pt idx="19" formatCode="0.0">
                  <c:v>103.00549671428571</c:v>
                </c:pt>
                <c:pt idx="20" formatCode="0.0">
                  <c:v>110.45395142857144</c:v>
                </c:pt>
                <c:pt idx="21" formatCode="0.0">
                  <c:v>127.00038828571429</c:v>
                </c:pt>
                <c:pt idx="22" formatCode="0.0">
                  <c:v>146.38495114285712</c:v>
                </c:pt>
                <c:pt idx="23" formatCode="0.0">
                  <c:v>157.40329728571427</c:v>
                </c:pt>
                <c:pt idx="24" formatCode="0.0">
                  <c:v>196.68921842857142</c:v>
                </c:pt>
                <c:pt idx="25" formatCode="0.0">
                  <c:v>203.42142385714288</c:v>
                </c:pt>
                <c:pt idx="26" formatCode="0.0">
                  <c:v>213.3056787142857</c:v>
                </c:pt>
                <c:pt idx="27" formatCode="0.0">
                  <c:v>207.38327157142857</c:v>
                </c:pt>
                <c:pt idx="28" formatCode="0.0">
                  <c:v>195.13272699999996</c:v>
                </c:pt>
                <c:pt idx="29" formatCode="0.0">
                  <c:v>180.38256999999999</c:v>
                </c:pt>
                <c:pt idx="30" formatCode="0.0">
                  <c:v>188.67143057142857</c:v>
                </c:pt>
                <c:pt idx="31" formatCode="0.0">
                  <c:v>145.27870957142858</c:v>
                </c:pt>
                <c:pt idx="32" formatCode="0.0">
                  <c:v>178.84113828571429</c:v>
                </c:pt>
                <c:pt idx="33" formatCode="0.0">
                  <c:v>199.68240957142856</c:v>
                </c:pt>
                <c:pt idx="34" formatCode="0.0">
                  <c:v>240.62857757142856</c:v>
                </c:pt>
                <c:pt idx="35" formatCode="0.0">
                  <c:v>301.85269642857145</c:v>
                </c:pt>
                <c:pt idx="36" formatCode="0.0">
                  <c:v>353.63520657142857</c:v>
                </c:pt>
                <c:pt idx="37" formatCode="0.0">
                  <c:v>372.99068799999992</c:v>
                </c:pt>
                <c:pt idx="38" formatCode="0.0">
                  <c:v>421.11862771428571</c:v>
                </c:pt>
                <c:pt idx="39" formatCode="0.0">
                  <c:v>389.38219828571431</c:v>
                </c:pt>
                <c:pt idx="40" formatCode="0.0">
                  <c:v>359.93178757142857</c:v>
                </c:pt>
                <c:pt idx="41" formatCode="0.0">
                  <c:v>324.86569028571427</c:v>
                </c:pt>
                <c:pt idx="42" formatCode="0.0">
                  <c:v>308.4472554285714</c:v>
                </c:pt>
                <c:pt idx="43" formatCode="0.0">
                  <c:v>288.53647628571429</c:v>
                </c:pt>
                <c:pt idx="44" formatCode="0.0">
                  <c:v>284.06390628571432</c:v>
                </c:pt>
                <c:pt idx="45" formatCode="0.0">
                  <c:v>262.84766171428572</c:v>
                </c:pt>
                <c:pt idx="46" formatCode="0.0">
                  <c:v>286.73020200000002</c:v>
                </c:pt>
                <c:pt idx="47" formatCode="0.0">
                  <c:v>330.01311242857145</c:v>
                </c:pt>
                <c:pt idx="48" formatCode="0.0">
                  <c:v>345.37531542857141</c:v>
                </c:pt>
                <c:pt idx="49" formatCode="0.0">
                  <c:v>348.68769571428578</c:v>
                </c:pt>
                <c:pt idx="50" formatCode="0.0">
                  <c:v>338.17348528571432</c:v>
                </c:pt>
                <c:pt idx="51" formatCode="0.0">
                  <c:v>340.51273971428571</c:v>
                </c:pt>
                <c:pt idx="52" formatCode="0.0">
                  <c:v>335.81411857142859</c:v>
                </c:pt>
                <c:pt idx="53" formatCode="0.0">
                  <c:v>334.26156228571432</c:v>
                </c:pt>
                <c:pt idx="54" formatCode="0.0">
                  <c:v>320.62535714285713</c:v>
                </c:pt>
                <c:pt idx="55" formatCode="0.0">
                  <c:v>300.57550342857138</c:v>
                </c:pt>
                <c:pt idx="56" formatCode="0.0">
                  <c:v>266.13098014285714</c:v>
                </c:pt>
                <c:pt idx="57" formatCode="0.0">
                  <c:v>264.45435471428573</c:v>
                </c:pt>
                <c:pt idx="58" formatCode="0.0">
                  <c:v>264.64506042857141</c:v>
                </c:pt>
                <c:pt idx="59" formatCode="0.0">
                  <c:v>261.14848728571434</c:v>
                </c:pt>
                <c:pt idx="60" formatCode="0.0">
                  <c:v>258.91242942857144</c:v>
                </c:pt>
                <c:pt idx="61" formatCode="0.0">
                  <c:v>258.7258615714286</c:v>
                </c:pt>
                <c:pt idx="62" formatCode="0.0">
                  <c:v>286.90104700000001</c:v>
                </c:pt>
                <c:pt idx="63" formatCode="0.0">
                  <c:v>323.28513457142856</c:v>
                </c:pt>
                <c:pt idx="64" formatCode="0.0">
                  <c:v>309.04132028571433</c:v>
                </c:pt>
                <c:pt idx="65" formatCode="0.0">
                  <c:v>314.15286499999996</c:v>
                </c:pt>
                <c:pt idx="66" formatCode="0.0">
                  <c:v>315.13180199999999</c:v>
                </c:pt>
                <c:pt idx="67" formatCode="0.0">
                  <c:v>297.89548485714289</c:v>
                </c:pt>
                <c:pt idx="68" formatCode="0.0">
                  <c:v>282.87752171428571</c:v>
                </c:pt>
                <c:pt idx="69" formatCode="0.0">
                  <c:v>256.7455172857143</c:v>
                </c:pt>
                <c:pt idx="70" formatCode="0.0">
                  <c:v>228.01775757142858</c:v>
                </c:pt>
                <c:pt idx="71" formatCode="0.0">
                  <c:v>219.86001471428571</c:v>
                </c:pt>
                <c:pt idx="72" formatCode="0.0">
                  <c:v>174.87414114285713</c:v>
                </c:pt>
                <c:pt idx="73" formatCode="0.0">
                  <c:v>182.97258885714285</c:v>
                </c:pt>
                <c:pt idx="74" formatCode="0.0">
                  <c:v>196.70155771428568</c:v>
                </c:pt>
                <c:pt idx="75" formatCode="0.0">
                  <c:v>191.31003657142855</c:v>
                </c:pt>
                <c:pt idx="76" formatCode="0.0">
                  <c:v>187.71197542857149</c:v>
                </c:pt>
                <c:pt idx="77" formatCode="0.0">
                  <c:v>191.99690371428574</c:v>
                </c:pt>
                <c:pt idx="78" formatCode="0.0">
                  <c:v>201.55884066666667</c:v>
                </c:pt>
                <c:pt idx="93" formatCode="0.0">
                  <c:v>209.65961885714287</c:v>
                </c:pt>
                <c:pt idx="94" formatCode="0.0">
                  <c:v>249.64324414285716</c:v>
                </c:pt>
                <c:pt idx="95" formatCode="0.0">
                  <c:v>192.52531042857143</c:v>
                </c:pt>
                <c:pt idx="96" formatCode="0.0">
                  <c:v>201.38368328571428</c:v>
                </c:pt>
                <c:pt idx="97" formatCode="0.0">
                  <c:v>183.44072128571429</c:v>
                </c:pt>
                <c:pt idx="98" formatCode="0.0">
                  <c:v>159.68705600000001</c:v>
                </c:pt>
                <c:pt idx="99" formatCode="0.0">
                  <c:v>177.37964571428574</c:v>
                </c:pt>
                <c:pt idx="100" formatCode="0.0">
                  <c:v>148.32026428571427</c:v>
                </c:pt>
                <c:pt idx="101" formatCode="0.0">
                  <c:v>114.17477328571428</c:v>
                </c:pt>
                <c:pt idx="102" formatCode="0.0">
                  <c:v>141.91423328571429</c:v>
                </c:pt>
                <c:pt idx="103" formatCode="0.0">
                  <c:v>139.05875142857144</c:v>
                </c:pt>
                <c:pt idx="104" formatCode="0.0">
                  <c:v>151.84042399999998</c:v>
                </c:pt>
                <c:pt idx="105" formatCode="0.0">
                  <c:v>150.702439</c:v>
                </c:pt>
                <c:pt idx="106" formatCode="0.0">
                  <c:v>160.12800914285714</c:v>
                </c:pt>
                <c:pt idx="107" formatCode="0.0">
                  <c:v>153.22908114285715</c:v>
                </c:pt>
                <c:pt idx="108" formatCode="0.0">
                  <c:v>153.98217271428572</c:v>
                </c:pt>
                <c:pt idx="109" formatCode="0.0">
                  <c:v>156.02810928571427</c:v>
                </c:pt>
                <c:pt idx="110" formatCode="0.0">
                  <c:v>159.29435928571431</c:v>
                </c:pt>
                <c:pt idx="111" formatCode="0.0">
                  <c:v>162.17058785714286</c:v>
                </c:pt>
                <c:pt idx="112" formatCode="0.0">
                  <c:v>176.51791985714286</c:v>
                </c:pt>
                <c:pt idx="113" formatCode="0.0">
                  <c:v>141.91228442857144</c:v>
                </c:pt>
                <c:pt idx="114" formatCode="0.0">
                  <c:v>149.578238</c:v>
                </c:pt>
                <c:pt idx="115" formatCode="0.0">
                  <c:v>146.63912257142857</c:v>
                </c:pt>
                <c:pt idx="116" formatCode="0.0">
                  <c:v>129.83402814285714</c:v>
                </c:pt>
                <c:pt idx="117" formatCode="0.0">
                  <c:v>127.68417185714284</c:v>
                </c:pt>
                <c:pt idx="118" formatCode="0.0">
                  <c:v>126.24292614285712</c:v>
                </c:pt>
                <c:pt idx="119" formatCode="0.0">
                  <c:v>110.58202014285715</c:v>
                </c:pt>
                <c:pt idx="120" formatCode="0.0">
                  <c:v>169.37960814285711</c:v>
                </c:pt>
                <c:pt idx="121" formatCode="0.0">
                  <c:v>190.95142842857143</c:v>
                </c:pt>
                <c:pt idx="122" formatCode="0.0">
                  <c:v>232.21958699999999</c:v>
                </c:pt>
                <c:pt idx="123" formatCode="0.0">
                  <c:v>241.14393928571431</c:v>
                </c:pt>
                <c:pt idx="124" formatCode="0.0">
                  <c:v>246.77096957142857</c:v>
                </c:pt>
                <c:pt idx="125" formatCode="0.0">
                  <c:v>237.84332485714282</c:v>
                </c:pt>
                <c:pt idx="126" formatCode="0.0">
                  <c:v>252.81391300000001</c:v>
                </c:pt>
                <c:pt idx="127" formatCode="0.0">
                  <c:v>191.14044314285712</c:v>
                </c:pt>
                <c:pt idx="128" formatCode="0.0">
                  <c:v>183.74150857142857</c:v>
                </c:pt>
                <c:pt idx="129" formatCode="0.0">
                  <c:v>153.16699328571431</c:v>
                </c:pt>
                <c:pt idx="130" formatCode="0.0">
                  <c:v>140.66848571428571</c:v>
                </c:pt>
                <c:pt idx="131" formatCode="0.0">
                  <c:v>138.40299099999999</c:v>
                </c:pt>
                <c:pt idx="132" formatCode="0.0">
                  <c:v>153.58827342857143</c:v>
                </c:pt>
                <c:pt idx="133" formatCode="0.0">
                  <c:v>163.16655685714287</c:v>
                </c:pt>
                <c:pt idx="134" formatCode="0.0">
                  <c:v>180.4074872857143</c:v>
                </c:pt>
                <c:pt idx="135" formatCode="0.0">
                  <c:v>189.33181928571429</c:v>
                </c:pt>
                <c:pt idx="136" formatCode="0.0">
                  <c:v>181.04691642857142</c:v>
                </c:pt>
                <c:pt idx="137" formatCode="0.0">
                  <c:v>217.103871</c:v>
                </c:pt>
                <c:pt idx="138" formatCode="0.0">
                  <c:v>228.46185942857142</c:v>
                </c:pt>
                <c:pt idx="139" formatCode="0.0">
                  <c:v>222.14567671428571</c:v>
                </c:pt>
                <c:pt idx="140" formatCode="0.0">
                  <c:v>223.24780285714289</c:v>
                </c:pt>
                <c:pt idx="141" formatCode="0.0">
                  <c:v>227.8484302857143</c:v>
                </c:pt>
                <c:pt idx="142" formatCode="0.0">
                  <c:v>181.79003914285713</c:v>
                </c:pt>
                <c:pt idx="143" formatCode="0.0">
                  <c:v>171.41637328571429</c:v>
                </c:pt>
                <c:pt idx="144" formatCode="0.0">
                  <c:v>131.04965114285713</c:v>
                </c:pt>
                <c:pt idx="145" formatCode="0.0">
                  <c:v>120.95177185714286</c:v>
                </c:pt>
                <c:pt idx="146" formatCode="0.0">
                  <c:v>140.00911671428571</c:v>
                </c:pt>
                <c:pt idx="147" formatCode="0.0">
                  <c:v>131.35089214285713</c:v>
                </c:pt>
                <c:pt idx="148" formatCode="0.0">
                  <c:v>154.86638228571428</c:v>
                </c:pt>
                <c:pt idx="149" formatCode="0.0">
                  <c:v>215.83664328571427</c:v>
                </c:pt>
                <c:pt idx="150" formatCode="0.0">
                  <c:v>296.00145557142861</c:v>
                </c:pt>
                <c:pt idx="151" formatCode="0.0">
                  <c:v>363.62079114285706</c:v>
                </c:pt>
                <c:pt idx="152" formatCode="0.0">
                  <c:v>373.73395799999992</c:v>
                </c:pt>
                <c:pt idx="153" formatCode="0.0">
                  <c:v>373.81489942857144</c:v>
                </c:pt>
                <c:pt idx="154" formatCode="0.0">
                  <c:v>373.71427757142857</c:v>
                </c:pt>
                <c:pt idx="155" formatCode="0.0">
                  <c:v>361.11617999999999</c:v>
                </c:pt>
                <c:pt idx="156" formatCode="0.0">
                  <c:v>335.82760542857142</c:v>
                </c:pt>
                <c:pt idx="157" formatCode="0.0">
                  <c:v>314.38775728571426</c:v>
                </c:pt>
                <c:pt idx="158" formatCode="0.0">
                  <c:v>276.55502500000006</c:v>
                </c:pt>
                <c:pt idx="159" formatCode="0.0">
                  <c:v>256.62243700000005</c:v>
                </c:pt>
                <c:pt idx="160" formatCode="0.0">
                  <c:v>242.28264085714289</c:v>
                </c:pt>
                <c:pt idx="161" formatCode="0.0">
                  <c:v>249.0156498571429</c:v>
                </c:pt>
                <c:pt idx="162" formatCode="0.0">
                  <c:v>251.19528314285711</c:v>
                </c:pt>
                <c:pt idx="163" formatCode="0.0">
                  <c:v>239.32233314285713</c:v>
                </c:pt>
                <c:pt idx="164" formatCode="0.0">
                  <c:v>192.46634385714287</c:v>
                </c:pt>
                <c:pt idx="165" formatCode="0.0">
                  <c:v>195.02635871428569</c:v>
                </c:pt>
                <c:pt idx="166" formatCode="0.0">
                  <c:v>229.27291928571432</c:v>
                </c:pt>
                <c:pt idx="167" formatCode="0.0">
                  <c:v>244.35008914285712</c:v>
                </c:pt>
                <c:pt idx="168" formatCode="0.0">
                  <c:v>231.33763128571428</c:v>
                </c:pt>
                <c:pt idx="169" formatCode="0.0">
                  <c:v>232.80004842857144</c:v>
                </c:pt>
                <c:pt idx="170" formatCode="0.0">
                  <c:v>213.82049771428569</c:v>
                </c:pt>
              </c:numCache>
            </c:numRef>
          </c:yVal>
          <c:smooth val="0"/>
          <c:extLst>
            <c:ext xmlns:c16="http://schemas.microsoft.com/office/drawing/2014/chart" uri="{C3380CC4-5D6E-409C-BE32-E72D297353CC}">
              <c16:uniqueId val="{00000000-012C-4C62-A0BC-D0E4A584F8D5}"/>
            </c:ext>
          </c:extLst>
        </c:ser>
        <c:ser>
          <c:idx val="3"/>
          <c:order val="1"/>
          <c:tx>
            <c:v>Pg</c:v>
          </c:tx>
          <c:spPr>
            <a:ln w="28575">
              <a:noFill/>
            </a:ln>
          </c:spPr>
          <c:marker>
            <c:symbol val="circle"/>
            <c:size val="7"/>
            <c:spPr>
              <a:solidFill>
                <a:schemeClr val="tx1"/>
              </a:solidFill>
              <a:ln>
                <a:solidFill>
                  <a:schemeClr val="tx1"/>
                </a:solidFill>
              </a:ln>
            </c:spPr>
          </c:marker>
          <c:xVal>
            <c:numRef>
              <c:f>'SP01'!$X$3:$X$176</c:f>
              <c:numCache>
                <c:formatCode>0.0</c:formatCode>
                <c:ptCount val="174"/>
                <c:pt idx="3">
                  <c:v>126.31215746112559</c:v>
                </c:pt>
                <c:pt idx="4">
                  <c:v>117.68961892901143</c:v>
                </c:pt>
                <c:pt idx="5">
                  <c:v>113.43083951958474</c:v>
                </c:pt>
                <c:pt idx="6">
                  <c:v>121.61486838907675</c:v>
                </c:pt>
                <c:pt idx="7">
                  <c:v>117.0512105583483</c:v>
                </c:pt>
                <c:pt idx="8">
                  <c:v>107.31894010080757</c:v>
                </c:pt>
                <c:pt idx="9">
                  <c:v>85.018233302798834</c:v>
                </c:pt>
                <c:pt idx="10">
                  <c:v>73.840177056197987</c:v>
                </c:pt>
                <c:pt idx="11">
                  <c:v>72.486481370002053</c:v>
                </c:pt>
                <c:pt idx="12">
                  <c:v>73.580545887627778</c:v>
                </c:pt>
                <c:pt idx="13">
                  <c:v>61.511095133586743</c:v>
                </c:pt>
                <c:pt idx="14">
                  <c:v>49.050469073314844</c:v>
                </c:pt>
                <c:pt idx="15">
                  <c:v>50.806978710317445</c:v>
                </c:pt>
                <c:pt idx="16">
                  <c:v>62.378500976595255</c:v>
                </c:pt>
                <c:pt idx="17">
                  <c:v>67.692442625149923</c:v>
                </c:pt>
                <c:pt idx="18">
                  <c:v>70.657319798061252</c:v>
                </c:pt>
                <c:pt idx="19">
                  <c:v>76.101658739475099</c:v>
                </c:pt>
                <c:pt idx="20">
                  <c:v>91.606386692990867</c:v>
                </c:pt>
                <c:pt idx="21">
                  <c:v>106.66171136544837</c:v>
                </c:pt>
                <c:pt idx="22">
                  <c:v>119.58466325492255</c:v>
                </c:pt>
                <c:pt idx="23">
                  <c:v>125.25839263849674</c:v>
                </c:pt>
                <c:pt idx="24">
                  <c:v>144.43936998898238</c:v>
                </c:pt>
                <c:pt idx="25">
                  <c:v>152.72110588720417</c:v>
                </c:pt>
                <c:pt idx="26">
                  <c:v>153.93377804573544</c:v>
                </c:pt>
                <c:pt idx="27">
                  <c:v>163.52974270324381</c:v>
                </c:pt>
                <c:pt idx="28">
                  <c:v>164.51170482813581</c:v>
                </c:pt>
                <c:pt idx="29">
                  <c:v>150.43547409257863</c:v>
                </c:pt>
                <c:pt idx="30">
                  <c:v>147.61006516143169</c:v>
                </c:pt>
                <c:pt idx="31">
                  <c:v>135.66067547688871</c:v>
                </c:pt>
                <c:pt idx="32">
                  <c:v>155.00686465610164</c:v>
                </c:pt>
                <c:pt idx="33">
                  <c:v>187.9731081622802</c:v>
                </c:pt>
                <c:pt idx="34">
                  <c:v>201.50366585388591</c:v>
                </c:pt>
                <c:pt idx="35">
                  <c:v>239.31275277791977</c:v>
                </c:pt>
                <c:pt idx="36">
                  <c:v>287.77023413357159</c:v>
                </c:pt>
                <c:pt idx="37">
                  <c:v>334.10952095522424</c:v>
                </c:pt>
                <c:pt idx="38">
                  <c:v>344.03255150041241</c:v>
                </c:pt>
                <c:pt idx="39">
                  <c:v>332.34921418960738</c:v>
                </c:pt>
                <c:pt idx="40">
                  <c:v>314.35065658894695</c:v>
                </c:pt>
                <c:pt idx="41">
                  <c:v>299.51075365769896</c:v>
                </c:pt>
                <c:pt idx="42">
                  <c:v>263.10817290789868</c:v>
                </c:pt>
                <c:pt idx="43">
                  <c:v>245.0318946148935</c:v>
                </c:pt>
                <c:pt idx="44">
                  <c:v>228.39620969665037</c:v>
                </c:pt>
                <c:pt idx="45">
                  <c:v>229.7298735430775</c:v>
                </c:pt>
                <c:pt idx="46">
                  <c:v>248.30396077339944</c:v>
                </c:pt>
                <c:pt idx="47">
                  <c:v>276.80567440194358</c:v>
                </c:pt>
                <c:pt idx="48">
                  <c:v>284.24544414310736</c:v>
                </c:pt>
                <c:pt idx="49">
                  <c:v>317.955358095017</c:v>
                </c:pt>
                <c:pt idx="50">
                  <c:v>322.34885352478801</c:v>
                </c:pt>
                <c:pt idx="51">
                  <c:v>314.67214175211899</c:v>
                </c:pt>
                <c:pt idx="52">
                  <c:v>311.31197586427481</c:v>
                </c:pt>
                <c:pt idx="53">
                  <c:v>286.04920313297941</c:v>
                </c:pt>
                <c:pt idx="54">
                  <c:v>285.80824972520389</c:v>
                </c:pt>
                <c:pt idx="55">
                  <c:v>258.25114374902785</c:v>
                </c:pt>
                <c:pt idx="56">
                  <c:v>236.98845361518892</c:v>
                </c:pt>
                <c:pt idx="57">
                  <c:v>242.34046562316379</c:v>
                </c:pt>
                <c:pt idx="58">
                  <c:v>264.30915299694556</c:v>
                </c:pt>
                <c:pt idx="59">
                  <c:v>269.80794869303458</c:v>
                </c:pt>
                <c:pt idx="60">
                  <c:v>283.80336650295015</c:v>
                </c:pt>
                <c:pt idx="61">
                  <c:v>278.61948255809665</c:v>
                </c:pt>
                <c:pt idx="62">
                  <c:v>306.35309733147307</c:v>
                </c:pt>
                <c:pt idx="63">
                  <c:v>316.24054903356358</c:v>
                </c:pt>
                <c:pt idx="64">
                  <c:v>284.43732012671552</c:v>
                </c:pt>
                <c:pt idx="65">
                  <c:v>293.44497334705051</c:v>
                </c:pt>
                <c:pt idx="66">
                  <c:v>301.71493205229274</c:v>
                </c:pt>
                <c:pt idx="67">
                  <c:v>285.99804566964798</c:v>
                </c:pt>
                <c:pt idx="68">
                  <c:v>270.88202292251691</c:v>
                </c:pt>
                <c:pt idx="69">
                  <c:v>237.36494379562851</c:v>
                </c:pt>
                <c:pt idx="70">
                  <c:v>221.79196034996045</c:v>
                </c:pt>
                <c:pt idx="71">
                  <c:v>225.74004190300599</c:v>
                </c:pt>
                <c:pt idx="72">
                  <c:v>171.53879187414151</c:v>
                </c:pt>
                <c:pt idx="73">
                  <c:v>160.27611659684416</c:v>
                </c:pt>
                <c:pt idx="74">
                  <c:v>178.03429636432693</c:v>
                </c:pt>
                <c:pt idx="75">
                  <c:v>166.10968575359038</c:v>
                </c:pt>
                <c:pt idx="76">
                  <c:v>180.41160464049361</c:v>
                </c:pt>
                <c:pt idx="77">
                  <c:v>171.96307228807558</c:v>
                </c:pt>
                <c:pt idx="93">
                  <c:v>136.38273691483897</c:v>
                </c:pt>
                <c:pt idx="94">
                  <c:v>159.45922073925311</c:v>
                </c:pt>
                <c:pt idx="95">
                  <c:v>130.35525815750432</c:v>
                </c:pt>
                <c:pt idx="96">
                  <c:v>131.60375168082768</c:v>
                </c:pt>
                <c:pt idx="97">
                  <c:v>123.81872625175495</c:v>
                </c:pt>
                <c:pt idx="98">
                  <c:v>111.85499212622832</c:v>
                </c:pt>
                <c:pt idx="99">
                  <c:v>119.46308506692834</c:v>
                </c:pt>
                <c:pt idx="100">
                  <c:v>98.991794304607723</c:v>
                </c:pt>
                <c:pt idx="101">
                  <c:v>85.335664558086265</c:v>
                </c:pt>
                <c:pt idx="102">
                  <c:v>104.47369408986307</c:v>
                </c:pt>
                <c:pt idx="103">
                  <c:v>107.47160704524811</c:v>
                </c:pt>
                <c:pt idx="104">
                  <c:v>112.38117114994789</c:v>
                </c:pt>
                <c:pt idx="105">
                  <c:v>113.12836821924705</c:v>
                </c:pt>
                <c:pt idx="106">
                  <c:v>119.64001190013474</c:v>
                </c:pt>
                <c:pt idx="107">
                  <c:v>120.3033806106757</c:v>
                </c:pt>
                <c:pt idx="108">
                  <c:v>107.96585046447088</c:v>
                </c:pt>
                <c:pt idx="109">
                  <c:v>122.03892841510749</c:v>
                </c:pt>
                <c:pt idx="110">
                  <c:v>133.14920075729339</c:v>
                </c:pt>
                <c:pt idx="111">
                  <c:v>129.43308081952921</c:v>
                </c:pt>
                <c:pt idx="112">
                  <c:v>130.76007344879829</c:v>
                </c:pt>
                <c:pt idx="113">
                  <c:v>108.47505985311837</c:v>
                </c:pt>
                <c:pt idx="114">
                  <c:v>105.48357116250989</c:v>
                </c:pt>
                <c:pt idx="115">
                  <c:v>104.91851723558814</c:v>
                </c:pt>
                <c:pt idx="116">
                  <c:v>72.172883444530072</c:v>
                </c:pt>
                <c:pt idx="117">
                  <c:v>63.542504900779257</c:v>
                </c:pt>
                <c:pt idx="118">
                  <c:v>68.729145133865046</c:v>
                </c:pt>
                <c:pt idx="119">
                  <c:v>68.540852755733496</c:v>
                </c:pt>
                <c:pt idx="120">
                  <c:v>90.333063938132113</c:v>
                </c:pt>
                <c:pt idx="121">
                  <c:v>120.42038898529169</c:v>
                </c:pt>
                <c:pt idx="122">
                  <c:v>164.28065911256564</c:v>
                </c:pt>
                <c:pt idx="123">
                  <c:v>206.07242513510755</c:v>
                </c:pt>
                <c:pt idx="124">
                  <c:v>219.62584115039004</c:v>
                </c:pt>
                <c:pt idx="125">
                  <c:v>214.77079506286466</c:v>
                </c:pt>
                <c:pt idx="126">
                  <c:v>228.94518495335964</c:v>
                </c:pt>
                <c:pt idx="127">
                  <c:v>217.09781675129199</c:v>
                </c:pt>
                <c:pt idx="128">
                  <c:v>197.93001141053153</c:v>
                </c:pt>
                <c:pt idx="129">
                  <c:v>167.48565229071463</c:v>
                </c:pt>
                <c:pt idx="130">
                  <c:v>130.55586581014305</c:v>
                </c:pt>
                <c:pt idx="131">
                  <c:v>115.90678580079505</c:v>
                </c:pt>
                <c:pt idx="132">
                  <c:v>147.02874996876443</c:v>
                </c:pt>
                <c:pt idx="133">
                  <c:v>155.88662126287758</c:v>
                </c:pt>
                <c:pt idx="134">
                  <c:v>169.56242204886146</c:v>
                </c:pt>
                <c:pt idx="135">
                  <c:v>174.94287658056115</c:v>
                </c:pt>
                <c:pt idx="136">
                  <c:v>196.50688569904537</c:v>
                </c:pt>
                <c:pt idx="137">
                  <c:v>235.36902755400698</c:v>
                </c:pt>
                <c:pt idx="138">
                  <c:v>242.49986799238999</c:v>
                </c:pt>
                <c:pt idx="139">
                  <c:v>223.82078647692722</c:v>
                </c:pt>
                <c:pt idx="140">
                  <c:v>224.69181878918201</c:v>
                </c:pt>
                <c:pt idx="141">
                  <c:v>226.50620027609133</c:v>
                </c:pt>
                <c:pt idx="142">
                  <c:v>210.59010866149765</c:v>
                </c:pt>
                <c:pt idx="143">
                  <c:v>177.3491526823822</c:v>
                </c:pt>
                <c:pt idx="144">
                  <c:v>148.67441380252555</c:v>
                </c:pt>
                <c:pt idx="145">
                  <c:v>151.65381839059543</c:v>
                </c:pt>
                <c:pt idx="146">
                  <c:v>149.35794001585847</c:v>
                </c:pt>
                <c:pt idx="147">
                  <c:v>163.54754888921315</c:v>
                </c:pt>
                <c:pt idx="148">
                  <c:v>176.60810085779494</c:v>
                </c:pt>
                <c:pt idx="149">
                  <c:v>193.72746387375511</c:v>
                </c:pt>
                <c:pt idx="150">
                  <c:v>242.60172074036512</c:v>
                </c:pt>
                <c:pt idx="151">
                  <c:v>295.12515932899356</c:v>
                </c:pt>
                <c:pt idx="152">
                  <c:v>307.93259865703078</c:v>
                </c:pt>
                <c:pt idx="153">
                  <c:v>314.34898577637688</c:v>
                </c:pt>
                <c:pt idx="154">
                  <c:v>288.32453997703817</c:v>
                </c:pt>
                <c:pt idx="155">
                  <c:v>287.50578562728248</c:v>
                </c:pt>
                <c:pt idx="156">
                  <c:v>266.12334891129564</c:v>
                </c:pt>
                <c:pt idx="157">
                  <c:v>227.06701808585572</c:v>
                </c:pt>
                <c:pt idx="158">
                  <c:v>188.55985666811708</c:v>
                </c:pt>
                <c:pt idx="159">
                  <c:v>167.63732859938219</c:v>
                </c:pt>
                <c:pt idx="160">
                  <c:v>163.07996230355366</c:v>
                </c:pt>
                <c:pt idx="161">
                  <c:v>173.73181140886271</c:v>
                </c:pt>
                <c:pt idx="162">
                  <c:v>162.53151673504939</c:v>
                </c:pt>
                <c:pt idx="163">
                  <c:v>187.05476724611208</c:v>
                </c:pt>
                <c:pt idx="164">
                  <c:v>204.99317083411773</c:v>
                </c:pt>
                <c:pt idx="165">
                  <c:v>210.97196247178758</c:v>
                </c:pt>
                <c:pt idx="166">
                  <c:v>241.36729950605363</c:v>
                </c:pt>
                <c:pt idx="167">
                  <c:v>236.39974851444703</c:v>
                </c:pt>
                <c:pt idx="168">
                  <c:v>222.0874952265836</c:v>
                </c:pt>
                <c:pt idx="169">
                  <c:v>221.5078152871275</c:v>
                </c:pt>
                <c:pt idx="170">
                  <c:v>198.99550722689099</c:v>
                </c:pt>
              </c:numCache>
            </c:numRef>
          </c:xVal>
          <c:yVal>
            <c:numRef>
              <c:f>'SP01'!$AJ$3:$AJ$176</c:f>
              <c:numCache>
                <c:formatCode>General</c:formatCode>
                <c:ptCount val="174"/>
                <c:pt idx="3" formatCode="0.0">
                  <c:v>158.76881116666667</c:v>
                </c:pt>
                <c:pt idx="4" formatCode="0.0">
                  <c:v>147.69645285714287</c:v>
                </c:pt>
                <c:pt idx="5" formatCode="0.0">
                  <c:v>147.03661742857142</c:v>
                </c:pt>
                <c:pt idx="6" formatCode="0.0">
                  <c:v>158.26772157142858</c:v>
                </c:pt>
                <c:pt idx="7" formatCode="0.0">
                  <c:v>148.48687057142857</c:v>
                </c:pt>
                <c:pt idx="8" formatCode="0.0">
                  <c:v>137.96614928571429</c:v>
                </c:pt>
                <c:pt idx="9" formatCode="0.0">
                  <c:v>116.96460871428573</c:v>
                </c:pt>
                <c:pt idx="10" formatCode="0.0">
                  <c:v>95.481612285714306</c:v>
                </c:pt>
                <c:pt idx="11" formatCode="0.0">
                  <c:v>103.032809</c:v>
                </c:pt>
                <c:pt idx="12" formatCode="0.0">
                  <c:v>109.11394228571427</c:v>
                </c:pt>
                <c:pt idx="13" formatCode="0.0">
                  <c:v>106.23290214285713</c:v>
                </c:pt>
                <c:pt idx="14" formatCode="0.0">
                  <c:v>92.131947714285701</c:v>
                </c:pt>
                <c:pt idx="15" formatCode="0.0">
                  <c:v>83.632485428571428</c:v>
                </c:pt>
                <c:pt idx="16" formatCode="0.0">
                  <c:v>91.285637714285713</c:v>
                </c:pt>
                <c:pt idx="17" formatCode="0.0">
                  <c:v>96.740058142857137</c:v>
                </c:pt>
                <c:pt idx="18" formatCode="0.0">
                  <c:v>92.922554142857138</c:v>
                </c:pt>
                <c:pt idx="19" formatCode="0.0">
                  <c:v>90.576960999999983</c:v>
                </c:pt>
                <c:pt idx="20" formatCode="0.0">
                  <c:v>106.06394871428571</c:v>
                </c:pt>
                <c:pt idx="21" formatCode="0.0">
                  <c:v>122.18293157142855</c:v>
                </c:pt>
                <c:pt idx="22" formatCode="0.0">
                  <c:v>150.179913</c:v>
                </c:pt>
                <c:pt idx="23" formatCode="0.0">
                  <c:v>173.00851071428571</c:v>
                </c:pt>
                <c:pt idx="24" formatCode="0.0">
                  <c:v>209.78231328571428</c:v>
                </c:pt>
                <c:pt idx="25" formatCode="0.0">
                  <c:v>215.11579114285715</c:v>
                </c:pt>
                <c:pt idx="26" formatCode="0.0">
                  <c:v>227.18235314285712</c:v>
                </c:pt>
                <c:pt idx="27" formatCode="0.0">
                  <c:v>219.11650642857143</c:v>
                </c:pt>
                <c:pt idx="28" formatCode="0.0">
                  <c:v>209.32968014285711</c:v>
                </c:pt>
                <c:pt idx="29" formatCode="0.0">
                  <c:v>192.61925257142852</c:v>
                </c:pt>
                <c:pt idx="30" formatCode="0.0">
                  <c:v>188.24953971428573</c:v>
                </c:pt>
                <c:pt idx="31" formatCode="0.0">
                  <c:v>151.76407257142858</c:v>
                </c:pt>
                <c:pt idx="32" formatCode="0.0">
                  <c:v>178.33410085714286</c:v>
                </c:pt>
                <c:pt idx="33" formatCode="0.0">
                  <c:v>202.86862114285714</c:v>
                </c:pt>
                <c:pt idx="34" formatCode="0.0">
                  <c:v>241.09031414285715</c:v>
                </c:pt>
                <c:pt idx="35" formatCode="0.0">
                  <c:v>296.95417314285714</c:v>
                </c:pt>
                <c:pt idx="36" formatCode="0.0">
                  <c:v>343.88041614285714</c:v>
                </c:pt>
                <c:pt idx="37" formatCode="0.0">
                  <c:v>381.57049871428575</c:v>
                </c:pt>
                <c:pt idx="38" formatCode="0.0">
                  <c:v>425.65222957142856</c:v>
                </c:pt>
                <c:pt idx="39" formatCode="0.0">
                  <c:v>408.53118342857141</c:v>
                </c:pt>
                <c:pt idx="40" formatCode="0.0">
                  <c:v>377.68514014285716</c:v>
                </c:pt>
                <c:pt idx="41" formatCode="0.0">
                  <c:v>339.86342157142855</c:v>
                </c:pt>
                <c:pt idx="42" formatCode="0.0">
                  <c:v>318.89494700000006</c:v>
                </c:pt>
                <c:pt idx="43" formatCode="0.0">
                  <c:v>304.7234505714286</c:v>
                </c:pt>
                <c:pt idx="44" formatCode="0.0">
                  <c:v>289.28194742857141</c:v>
                </c:pt>
                <c:pt idx="45" formatCode="0.0">
                  <c:v>269.80850585714285</c:v>
                </c:pt>
                <c:pt idx="46" formatCode="0.0">
                  <c:v>286.79167271428571</c:v>
                </c:pt>
                <c:pt idx="47" formatCode="0.0">
                  <c:v>324.45403128571428</c:v>
                </c:pt>
                <c:pt idx="48" formatCode="0.0">
                  <c:v>349.4905247142857</c:v>
                </c:pt>
                <c:pt idx="49" formatCode="0.0">
                  <c:v>360.81278285714285</c:v>
                </c:pt>
                <c:pt idx="50" formatCode="0.0">
                  <c:v>352.9364588571429</c:v>
                </c:pt>
                <c:pt idx="51" formatCode="0.0">
                  <c:v>341.68379014285716</c:v>
                </c:pt>
                <c:pt idx="52" formatCode="0.0">
                  <c:v>343.51572399999998</c:v>
                </c:pt>
                <c:pt idx="53" formatCode="0.0">
                  <c:v>335.14499271428571</c:v>
                </c:pt>
                <c:pt idx="54" formatCode="0.0">
                  <c:v>333.41893485714292</c:v>
                </c:pt>
                <c:pt idx="55" formatCode="0.0">
                  <c:v>297.60169100000002</c:v>
                </c:pt>
                <c:pt idx="56" formatCode="0.0">
                  <c:v>268.46776414285711</c:v>
                </c:pt>
                <c:pt idx="57" formatCode="0.0">
                  <c:v>266.3306247142857</c:v>
                </c:pt>
                <c:pt idx="58" formatCode="0.0">
                  <c:v>275.14818642857142</c:v>
                </c:pt>
                <c:pt idx="59" formatCode="0.0">
                  <c:v>269.09876514285713</c:v>
                </c:pt>
                <c:pt idx="60" formatCode="0.0">
                  <c:v>281.19757499999997</c:v>
                </c:pt>
                <c:pt idx="61" formatCode="0.0">
                  <c:v>271.47495928571431</c:v>
                </c:pt>
                <c:pt idx="62" formatCode="0.0">
                  <c:v>306.73757542857146</c:v>
                </c:pt>
                <c:pt idx="63" formatCode="0.0">
                  <c:v>343.46993185714285</c:v>
                </c:pt>
                <c:pt idx="64" formatCode="0.0">
                  <c:v>330.94860757142851</c:v>
                </c:pt>
                <c:pt idx="65" formatCode="0.0">
                  <c:v>340.23220457142855</c:v>
                </c:pt>
                <c:pt idx="66" formatCode="0.0">
                  <c:v>337.07609542857142</c:v>
                </c:pt>
                <c:pt idx="67" formatCode="0.0">
                  <c:v>314.70160200000004</c:v>
                </c:pt>
                <c:pt idx="68" formatCode="0.0">
                  <c:v>307.75420314285714</c:v>
                </c:pt>
                <c:pt idx="69" formatCode="0.0">
                  <c:v>282.16530285714282</c:v>
                </c:pt>
                <c:pt idx="70" formatCode="0.0">
                  <c:v>243.83792328571431</c:v>
                </c:pt>
                <c:pt idx="71" formatCode="0.0">
                  <c:v>231.97239699999997</c:v>
                </c:pt>
                <c:pt idx="72" formatCode="0.0">
                  <c:v>186.25689871428571</c:v>
                </c:pt>
                <c:pt idx="73" formatCode="0.0">
                  <c:v>189.65267499999999</c:v>
                </c:pt>
                <c:pt idx="74" formatCode="0.0">
                  <c:v>203.54799314285717</c:v>
                </c:pt>
                <c:pt idx="75" formatCode="0.0">
                  <c:v>192.09742585714289</c:v>
                </c:pt>
                <c:pt idx="76" formatCode="0.0">
                  <c:v>196.23239142857142</c:v>
                </c:pt>
                <c:pt idx="77" formatCode="0.0">
                  <c:v>199.33450985714282</c:v>
                </c:pt>
                <c:pt idx="78" formatCode="0.0">
                  <c:v>207.76538583333331</c:v>
                </c:pt>
                <c:pt idx="93" formatCode="0.0">
                  <c:v>192.72681357142861</c:v>
                </c:pt>
                <c:pt idx="94" formatCode="0.0">
                  <c:v>234.39379728571427</c:v>
                </c:pt>
                <c:pt idx="95" formatCode="0.0">
                  <c:v>188.17767842857143</c:v>
                </c:pt>
                <c:pt idx="96" formatCode="0.0">
                  <c:v>183.84437814285712</c:v>
                </c:pt>
                <c:pt idx="97" formatCode="0.0">
                  <c:v>165.36005971428571</c:v>
                </c:pt>
                <c:pt idx="98" formatCode="0.0">
                  <c:v>146.51052985714287</c:v>
                </c:pt>
                <c:pt idx="99" formatCode="0.0">
                  <c:v>160.09589414285716</c:v>
                </c:pt>
                <c:pt idx="100" formatCode="0.0">
                  <c:v>140.75392928571426</c:v>
                </c:pt>
                <c:pt idx="101" formatCode="0.0">
                  <c:v>117.59230114285712</c:v>
                </c:pt>
                <c:pt idx="102" formatCode="0.0">
                  <c:v>135.33613657142857</c:v>
                </c:pt>
                <c:pt idx="103" formatCode="0.0">
                  <c:v>134.01881328571432</c:v>
                </c:pt>
                <c:pt idx="104" formatCode="0.0">
                  <c:v>151.68097400000002</c:v>
                </c:pt>
                <c:pt idx="105" formatCode="0.0">
                  <c:v>154.91369657142857</c:v>
                </c:pt>
                <c:pt idx="106" formatCode="0.0">
                  <c:v>163.53709000000001</c:v>
                </c:pt>
                <c:pt idx="107" formatCode="0.0">
                  <c:v>161.19634785714285</c:v>
                </c:pt>
                <c:pt idx="108" formatCode="0.0">
                  <c:v>147.11759428571426</c:v>
                </c:pt>
                <c:pt idx="109" formatCode="0.0">
                  <c:v>159.21184871428571</c:v>
                </c:pt>
                <c:pt idx="110" formatCode="0.0">
                  <c:v>165.53417271428572</c:v>
                </c:pt>
                <c:pt idx="111" formatCode="0.0">
                  <c:v>163.36580642857143</c:v>
                </c:pt>
                <c:pt idx="112" formatCode="0.0">
                  <c:v>175.60816471428572</c:v>
                </c:pt>
                <c:pt idx="113" formatCode="0.0">
                  <c:v>146.80628142857145</c:v>
                </c:pt>
                <c:pt idx="114" formatCode="0.0">
                  <c:v>144.29820071428574</c:v>
                </c:pt>
                <c:pt idx="115" formatCode="0.0">
                  <c:v>149.82529214285714</c:v>
                </c:pt>
                <c:pt idx="116" formatCode="0.0">
                  <c:v>129.34078214285714</c:v>
                </c:pt>
                <c:pt idx="117" formatCode="0.0">
                  <c:v>127.97340228571429</c:v>
                </c:pt>
                <c:pt idx="118" formatCode="0.0">
                  <c:v>130.55393585714287</c:v>
                </c:pt>
                <c:pt idx="119" formatCode="0.0">
                  <c:v>113.71331657142858</c:v>
                </c:pt>
                <c:pt idx="120" formatCode="0.0">
                  <c:v>143.31418000000002</c:v>
                </c:pt>
                <c:pt idx="121" formatCode="0.0">
                  <c:v>182.57799557142857</c:v>
                </c:pt>
                <c:pt idx="122" formatCode="0.0">
                  <c:v>216.25890385714283</c:v>
                </c:pt>
                <c:pt idx="123" formatCode="0.0">
                  <c:v>225.96422914285716</c:v>
                </c:pt>
                <c:pt idx="124" formatCode="0.0">
                  <c:v>234.01128542857143</c:v>
                </c:pt>
                <c:pt idx="125" formatCode="0.0">
                  <c:v>229.34412900000001</c:v>
                </c:pt>
                <c:pt idx="126" formatCode="0.0">
                  <c:v>250.923519</c:v>
                </c:pt>
                <c:pt idx="127" formatCode="0.0">
                  <c:v>215.6523704285714</c:v>
                </c:pt>
                <c:pt idx="128" formatCode="0.0">
                  <c:v>195.20113071428571</c:v>
                </c:pt>
                <c:pt idx="129" formatCode="0.0">
                  <c:v>166.55815857142858</c:v>
                </c:pt>
                <c:pt idx="130" formatCode="0.0">
                  <c:v>146.21295228571429</c:v>
                </c:pt>
                <c:pt idx="131" formatCode="0.0">
                  <c:v>137.0478532857143</c:v>
                </c:pt>
                <c:pt idx="132" formatCode="0.0">
                  <c:v>151.25449071428574</c:v>
                </c:pt>
                <c:pt idx="133" formatCode="0.0">
                  <c:v>156.85968328571428</c:v>
                </c:pt>
                <c:pt idx="134" formatCode="0.0">
                  <c:v>178.6128437142857</c:v>
                </c:pt>
                <c:pt idx="135" formatCode="0.0">
                  <c:v>176.4006072857143</c:v>
                </c:pt>
                <c:pt idx="136" formatCode="0.0">
                  <c:v>191.27235385714286</c:v>
                </c:pt>
                <c:pt idx="137" formatCode="0.0">
                  <c:v>226.41502085714282</c:v>
                </c:pt>
                <c:pt idx="138" formatCode="0.0">
                  <c:v>250.78766885714285</c:v>
                </c:pt>
                <c:pt idx="139" formatCode="0.0">
                  <c:v>248.914243</c:v>
                </c:pt>
                <c:pt idx="140" formatCode="0.0">
                  <c:v>249.9894622857143</c:v>
                </c:pt>
                <c:pt idx="141" formatCode="0.0">
                  <c:v>248.93862499999997</c:v>
                </c:pt>
                <c:pt idx="142" formatCode="0.0">
                  <c:v>233.59987557142856</c:v>
                </c:pt>
                <c:pt idx="143" formatCode="0.0">
                  <c:v>201.70573485714289</c:v>
                </c:pt>
                <c:pt idx="144" formatCode="0.0">
                  <c:v>169.58292785714289</c:v>
                </c:pt>
                <c:pt idx="145" formatCode="0.0">
                  <c:v>149.73291571428572</c:v>
                </c:pt>
                <c:pt idx="146" formatCode="0.0">
                  <c:v>153.67381214285714</c:v>
                </c:pt>
                <c:pt idx="147" formatCode="0.0">
                  <c:v>149.88928371428571</c:v>
                </c:pt>
                <c:pt idx="148" formatCode="0.0">
                  <c:v>165.40092299999998</c:v>
                </c:pt>
                <c:pt idx="149" formatCode="0.0">
                  <c:v>190.67859457142859</c:v>
                </c:pt>
                <c:pt idx="150" formatCode="0.0">
                  <c:v>268.00964199999999</c:v>
                </c:pt>
                <c:pt idx="151" formatCode="0.0">
                  <c:v>328.95939528571432</c:v>
                </c:pt>
                <c:pt idx="152" formatCode="0.0">
                  <c:v>357.56796171428579</c:v>
                </c:pt>
                <c:pt idx="153" formatCode="0.0">
                  <c:v>365.11280228571428</c:v>
                </c:pt>
                <c:pt idx="154" formatCode="0.0">
                  <c:v>361.82766128571433</c:v>
                </c:pt>
                <c:pt idx="155" formatCode="0.0">
                  <c:v>359.25215142857149</c:v>
                </c:pt>
                <c:pt idx="156" formatCode="0.0">
                  <c:v>342.13467442857149</c:v>
                </c:pt>
                <c:pt idx="157" formatCode="0.0">
                  <c:v>309.05711600000001</c:v>
                </c:pt>
                <c:pt idx="158" formatCode="0.0">
                  <c:v>289.43904628571426</c:v>
                </c:pt>
                <c:pt idx="159" formatCode="0.0">
                  <c:v>252.72128614285717</c:v>
                </c:pt>
                <c:pt idx="160" formatCode="0.0">
                  <c:v>232.46131671428574</c:v>
                </c:pt>
                <c:pt idx="161" formatCode="0.0">
                  <c:v>238.11694757142862</c:v>
                </c:pt>
                <c:pt idx="162" formatCode="0.0">
                  <c:v>231.89140471428573</c:v>
                </c:pt>
                <c:pt idx="163" formatCode="0.0">
                  <c:v>236.93579299999996</c:v>
                </c:pt>
                <c:pt idx="164" formatCode="0.0">
                  <c:v>208.788577</c:v>
                </c:pt>
                <c:pt idx="165" formatCode="0.0">
                  <c:v>194.0044404285714</c:v>
                </c:pt>
                <c:pt idx="166" formatCode="0.0">
                  <c:v>225.36747671428571</c:v>
                </c:pt>
                <c:pt idx="167" formatCode="0.0">
                  <c:v>240.73780414285713</c:v>
                </c:pt>
                <c:pt idx="168" formatCode="0.0">
                  <c:v>226.32924557142854</c:v>
                </c:pt>
                <c:pt idx="169" formatCode="0.0">
                  <c:v>231.4780651428571</c:v>
                </c:pt>
                <c:pt idx="170" formatCode="0.0">
                  <c:v>208.82768357142859</c:v>
                </c:pt>
              </c:numCache>
            </c:numRef>
          </c:yVal>
          <c:smooth val="0"/>
          <c:extLst>
            <c:ext xmlns:c16="http://schemas.microsoft.com/office/drawing/2014/chart" uri="{C3380CC4-5D6E-409C-BE32-E72D297353CC}">
              <c16:uniqueId val="{00000000-0DC3-49A7-85CE-151CF954553B}"/>
            </c:ext>
          </c:extLst>
        </c:ser>
        <c:dLbls>
          <c:showLegendKey val="0"/>
          <c:showVal val="0"/>
          <c:showCatName val="0"/>
          <c:showSerName val="0"/>
          <c:showPercent val="0"/>
          <c:showBubbleSize val="0"/>
        </c:dLbls>
        <c:axId val="301386544"/>
        <c:axId val="301386936"/>
      </c:scatterChart>
      <c:valAx>
        <c:axId val="301386544"/>
        <c:scaling>
          <c:orientation val="minMax"/>
        </c:scaling>
        <c:delete val="0"/>
        <c:axPos val="b"/>
        <c:title>
          <c:tx>
            <c:rich>
              <a:bodyPr/>
              <a:lstStyle/>
              <a:p>
                <a:pPr>
                  <a:defRPr b="0"/>
                </a:pPr>
                <a:r>
                  <a:rPr lang="en-US" b="0"/>
                  <a:t>Matlab</a:t>
                </a:r>
              </a:p>
            </c:rich>
          </c:tx>
          <c:layout>
            <c:manualLayout>
              <c:xMode val="edge"/>
              <c:yMode val="edge"/>
              <c:x val="0.52337035069420923"/>
              <c:y val="0.92440095017119439"/>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1386936"/>
        <c:crossesAt val="-500"/>
        <c:crossBetween val="midCat"/>
      </c:valAx>
      <c:valAx>
        <c:axId val="301386936"/>
        <c:scaling>
          <c:orientation val="minMax"/>
          <c:max val="400"/>
          <c:min val="0"/>
        </c:scaling>
        <c:delete val="0"/>
        <c:axPos val="l"/>
        <c:title>
          <c:tx>
            <c:rich>
              <a:bodyPr/>
              <a:lstStyle/>
              <a:p>
                <a:pPr>
                  <a:defRPr b="0"/>
                </a:pPr>
                <a:r>
                  <a:rPr lang="en-US" b="0"/>
                  <a:t>R version</a:t>
                </a:r>
              </a:p>
            </c:rich>
          </c:tx>
          <c:layout>
            <c:manualLayout>
              <c:xMode val="edge"/>
              <c:yMode val="edge"/>
              <c:x val="3.5684570893569828E-2"/>
              <c:y val="0.37761418114369333"/>
            </c:manualLayout>
          </c:layout>
          <c:overlay val="0"/>
        </c:title>
        <c:numFmt formatCode="General" sourceLinked="1"/>
        <c:majorTickMark val="out"/>
        <c:minorTickMark val="none"/>
        <c:tickLblPos val="nextTo"/>
        <c:spPr>
          <a:ln w="6350">
            <a:solidFill>
              <a:sysClr val="windowText" lastClr="000000"/>
            </a:solidFill>
          </a:ln>
        </c:spPr>
        <c:crossAx val="301386544"/>
        <c:crosses val="autoZero"/>
        <c:crossBetween val="midCat"/>
      </c:valAx>
      <c:spPr>
        <a:ln>
          <a:solidFill>
            <a:sysClr val="windowText" lastClr="000000"/>
          </a:solidFill>
        </a:ln>
      </c:spPr>
    </c:plotArea>
    <c:legend>
      <c:legendPos val="r"/>
      <c:layout>
        <c:manualLayout>
          <c:xMode val="edge"/>
          <c:yMode val="edge"/>
          <c:x val="0.20006090676839047"/>
          <c:y val="3.4041006398101412E-2"/>
          <c:w val="7.5347167531155473E-2"/>
          <c:h val="0.11281226622493319"/>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1.8190459320569261E-2"/>
          <c:w val="0.76289020233673099"/>
          <c:h val="0.81210899458882468"/>
        </c:manualLayout>
      </c:layout>
      <c:scatterChart>
        <c:scatterStyle val="lineMarker"/>
        <c:varyColors val="0"/>
        <c:ser>
          <c:idx val="0"/>
          <c:order val="0"/>
          <c:tx>
            <c:v>Channel</c:v>
          </c:tx>
          <c:spPr>
            <a:ln w="28575">
              <a:noFill/>
            </a:ln>
          </c:spPr>
          <c:xVal>
            <c:numRef>
              <c:f>'SP01'!$AA$3:$AA$176</c:f>
              <c:numCache>
                <c:formatCode>General</c:formatCode>
                <c:ptCount val="174"/>
                <c:pt idx="3" formatCode="0.0">
                  <c:v>124.69235068261712</c:v>
                </c:pt>
                <c:pt idx="4" formatCode="0.0">
                  <c:v>117.6125362015428</c:v>
                </c:pt>
                <c:pt idx="5" formatCode="0.0">
                  <c:v>108.02653413793099</c:v>
                </c:pt>
                <c:pt idx="6" formatCode="0.0">
                  <c:v>112.95282038931124</c:v>
                </c:pt>
                <c:pt idx="7" formatCode="0.0">
                  <c:v>103.92789419542525</c:v>
                </c:pt>
                <c:pt idx="8" formatCode="0.0">
                  <c:v>100.78011621661028</c:v>
                </c:pt>
                <c:pt idx="9" formatCode="0.0">
                  <c:v>78.367669774749714</c:v>
                </c:pt>
                <c:pt idx="10" formatCode="0.0">
                  <c:v>64.388733005547294</c:v>
                </c:pt>
                <c:pt idx="11" formatCode="0.0">
                  <c:v>60.885670220060824</c:v>
                </c:pt>
                <c:pt idx="12" formatCode="0.0">
                  <c:v>59.964007453990853</c:v>
                </c:pt>
                <c:pt idx="13" formatCode="0.0">
                  <c:v>51.887360639104983</c:v>
                </c:pt>
                <c:pt idx="14" formatCode="0.0">
                  <c:v>44.375347844375632</c:v>
                </c:pt>
                <c:pt idx="15" formatCode="0.0">
                  <c:v>53.56482557823329</c:v>
                </c:pt>
                <c:pt idx="16" formatCode="0.0">
                  <c:v>65.322595617196413</c:v>
                </c:pt>
                <c:pt idx="17" formatCode="0.0">
                  <c:v>73.5944624927793</c:v>
                </c:pt>
                <c:pt idx="18" formatCode="0.0">
                  <c:v>76.681032284778567</c:v>
                </c:pt>
                <c:pt idx="19" formatCode="0.0">
                  <c:v>88.881623944741492</c:v>
                </c:pt>
                <c:pt idx="20" formatCode="0.0">
                  <c:v>96.463826674637033</c:v>
                </c:pt>
                <c:pt idx="21" formatCode="0.0">
                  <c:v>109.22727244899727</c:v>
                </c:pt>
                <c:pt idx="22" formatCode="0.0">
                  <c:v>109.10650752975712</c:v>
                </c:pt>
                <c:pt idx="23" formatCode="0.0">
                  <c:v>103.53910541417859</c:v>
                </c:pt>
                <c:pt idx="24" formatCode="0.0">
                  <c:v>125.26341032608376</c:v>
                </c:pt>
                <c:pt idx="25" formatCode="0.0">
                  <c:v>132.562514984865</c:v>
                </c:pt>
                <c:pt idx="26" formatCode="0.0">
                  <c:v>128.37424191249394</c:v>
                </c:pt>
                <c:pt idx="27" formatCode="0.0">
                  <c:v>140.55131716561189</c:v>
                </c:pt>
                <c:pt idx="28" formatCode="0.0">
                  <c:v>142.02199973068585</c:v>
                </c:pt>
                <c:pt idx="29" formatCode="0.0">
                  <c:v>130.42084748163657</c:v>
                </c:pt>
                <c:pt idx="30" formatCode="0.0">
                  <c:v>136.85159294521537</c:v>
                </c:pt>
                <c:pt idx="31" formatCode="0.0">
                  <c:v>119.50499426263953</c:v>
                </c:pt>
                <c:pt idx="32" formatCode="0.0">
                  <c:v>146.42413020215625</c:v>
                </c:pt>
                <c:pt idx="33" formatCode="0.0">
                  <c:v>177.59861552450849</c:v>
                </c:pt>
                <c:pt idx="34" formatCode="0.0">
                  <c:v>193.31367029107793</c:v>
                </c:pt>
                <c:pt idx="35" formatCode="0.0">
                  <c:v>236.19714643944795</c:v>
                </c:pt>
                <c:pt idx="36" formatCode="0.0">
                  <c:v>294.21739736297496</c:v>
                </c:pt>
                <c:pt idx="37" formatCode="0.0">
                  <c:v>321.23216343368949</c:v>
                </c:pt>
                <c:pt idx="38" formatCode="0.0">
                  <c:v>329.65920486741015</c:v>
                </c:pt>
                <c:pt idx="39" formatCode="0.0">
                  <c:v>311.45918324156781</c:v>
                </c:pt>
                <c:pt idx="40" formatCode="0.0">
                  <c:v>304.18971679755862</c:v>
                </c:pt>
                <c:pt idx="41" formatCode="0.0">
                  <c:v>272.40543266784567</c:v>
                </c:pt>
                <c:pt idx="42" formatCode="0.0">
                  <c:v>239.32122287274927</c:v>
                </c:pt>
                <c:pt idx="43" formatCode="0.0">
                  <c:v>217.08822830979901</c:v>
                </c:pt>
                <c:pt idx="44" formatCode="0.0">
                  <c:v>210.26735552197644</c:v>
                </c:pt>
                <c:pt idx="45" formatCode="0.0">
                  <c:v>213.75626494687782</c:v>
                </c:pt>
                <c:pt idx="46" formatCode="0.0">
                  <c:v>232.45823342327373</c:v>
                </c:pt>
                <c:pt idx="47" formatCode="0.0">
                  <c:v>252.42453744359949</c:v>
                </c:pt>
                <c:pt idx="48" formatCode="0.0">
                  <c:v>270.47678812150883</c:v>
                </c:pt>
                <c:pt idx="49" formatCode="0.0">
                  <c:v>297.22105146174766</c:v>
                </c:pt>
                <c:pt idx="50" formatCode="0.0">
                  <c:v>294.11320652517736</c:v>
                </c:pt>
                <c:pt idx="51" formatCode="0.0">
                  <c:v>299.00199066546116</c:v>
                </c:pt>
                <c:pt idx="52" formatCode="0.0">
                  <c:v>288.31071184454862</c:v>
                </c:pt>
                <c:pt idx="53" formatCode="0.0">
                  <c:v>270.28821409656882</c:v>
                </c:pt>
                <c:pt idx="54" formatCode="0.0">
                  <c:v>262.86042133041786</c:v>
                </c:pt>
                <c:pt idx="55" formatCode="0.0">
                  <c:v>249.0926630111243</c:v>
                </c:pt>
                <c:pt idx="56" formatCode="0.0">
                  <c:v>221.60555572901876</c:v>
                </c:pt>
                <c:pt idx="57" formatCode="0.0">
                  <c:v>236.38495150127898</c:v>
                </c:pt>
                <c:pt idx="58" formatCode="0.0">
                  <c:v>249.10126958581438</c:v>
                </c:pt>
                <c:pt idx="59" formatCode="0.0">
                  <c:v>251.35299512164343</c:v>
                </c:pt>
                <c:pt idx="60" formatCode="0.0">
                  <c:v>255.02128082183819</c:v>
                </c:pt>
                <c:pt idx="61" formatCode="0.0">
                  <c:v>256.72537923051311</c:v>
                </c:pt>
                <c:pt idx="62" formatCode="0.0">
                  <c:v>278.43428278679772</c:v>
                </c:pt>
                <c:pt idx="63" formatCode="0.0">
                  <c:v>289.88119287805597</c:v>
                </c:pt>
                <c:pt idx="64" formatCode="0.0">
                  <c:v>246.06241632635485</c:v>
                </c:pt>
                <c:pt idx="65" formatCode="0.0">
                  <c:v>269.15989562641226</c:v>
                </c:pt>
                <c:pt idx="66" formatCode="0.0">
                  <c:v>280.53179493638424</c:v>
                </c:pt>
                <c:pt idx="67" formatCode="0.0">
                  <c:v>258.85314345117769</c:v>
                </c:pt>
                <c:pt idx="68" formatCode="0.0">
                  <c:v>239.71553741653744</c:v>
                </c:pt>
                <c:pt idx="69" formatCode="0.0">
                  <c:v>207.99562247296441</c:v>
                </c:pt>
                <c:pt idx="70" formatCode="0.0">
                  <c:v>198.93404269222486</c:v>
                </c:pt>
                <c:pt idx="71" formatCode="0.0">
                  <c:v>208.65348992246135</c:v>
                </c:pt>
                <c:pt idx="72" formatCode="0.0">
                  <c:v>141.49350752900992</c:v>
                </c:pt>
                <c:pt idx="73" formatCode="0.0">
                  <c:v>145.23972785284275</c:v>
                </c:pt>
                <c:pt idx="74" formatCode="0.0">
                  <c:v>168.18884063150145</c:v>
                </c:pt>
                <c:pt idx="75" formatCode="0.0">
                  <c:v>161.62837078314791</c:v>
                </c:pt>
                <c:pt idx="76" formatCode="0.0">
                  <c:v>168.68993157442992</c:v>
                </c:pt>
                <c:pt idx="77" formatCode="0.0">
                  <c:v>159.04307858035776</c:v>
                </c:pt>
                <c:pt idx="93" formatCode="0.0">
                  <c:v>155.77418907354124</c:v>
                </c:pt>
                <c:pt idx="94" formatCode="0.0">
                  <c:v>157.82003717874525</c:v>
                </c:pt>
                <c:pt idx="95" formatCode="0.0">
                  <c:v>142.39221657725375</c:v>
                </c:pt>
                <c:pt idx="96" formatCode="0.0">
                  <c:v>148.02459307407199</c:v>
                </c:pt>
                <c:pt idx="97" formatCode="0.0">
                  <c:v>138.65630334770734</c:v>
                </c:pt>
                <c:pt idx="98" formatCode="0.0">
                  <c:v>127.04385928933904</c:v>
                </c:pt>
                <c:pt idx="99" formatCode="0.0">
                  <c:v>133.75757960337631</c:v>
                </c:pt>
                <c:pt idx="100" formatCode="0.0">
                  <c:v>98.098672812482889</c:v>
                </c:pt>
                <c:pt idx="101" formatCode="0.0">
                  <c:v>89.072139772963993</c:v>
                </c:pt>
                <c:pt idx="102" formatCode="0.0">
                  <c:v>105.17965432442328</c:v>
                </c:pt>
                <c:pt idx="103" formatCode="0.0">
                  <c:v>108.10663218312503</c:v>
                </c:pt>
                <c:pt idx="104" formatCode="0.0">
                  <c:v>106.63535635464551</c:v>
                </c:pt>
                <c:pt idx="105" formatCode="0.0">
                  <c:v>101.12886134555218</c:v>
                </c:pt>
                <c:pt idx="106" formatCode="0.0">
                  <c:v>113.90090151683238</c:v>
                </c:pt>
                <c:pt idx="107" formatCode="0.0">
                  <c:v>110.94199892779898</c:v>
                </c:pt>
                <c:pt idx="108" formatCode="0.0">
                  <c:v>112.40556329220554</c:v>
                </c:pt>
                <c:pt idx="109" formatCode="0.0">
                  <c:v>118.1869776253584</c:v>
                </c:pt>
                <c:pt idx="110" formatCode="0.0">
                  <c:v>125.72511390081102</c:v>
                </c:pt>
                <c:pt idx="111" formatCode="0.0">
                  <c:v>126.27018188621777</c:v>
                </c:pt>
                <c:pt idx="112" formatCode="0.0">
                  <c:v>127.57586552606449</c:v>
                </c:pt>
                <c:pt idx="113" formatCode="0.0">
                  <c:v>105.53247697326374</c:v>
                </c:pt>
                <c:pt idx="114" formatCode="0.0">
                  <c:v>98.870749525694194</c:v>
                </c:pt>
                <c:pt idx="115" formatCode="0.0">
                  <c:v>94.385020619865585</c:v>
                </c:pt>
                <c:pt idx="116" formatCode="0.0">
                  <c:v>68.58187335525912</c:v>
                </c:pt>
                <c:pt idx="117" formatCode="0.0">
                  <c:v>57.573414067638922</c:v>
                </c:pt>
                <c:pt idx="118" formatCode="0.0">
                  <c:v>65.219403862655412</c:v>
                </c:pt>
                <c:pt idx="119" formatCode="0.0">
                  <c:v>65.021898285882202</c:v>
                </c:pt>
                <c:pt idx="120" formatCode="0.0">
                  <c:v>97.307794768409309</c:v>
                </c:pt>
                <c:pt idx="121" formatCode="0.0">
                  <c:v>138.70684601643012</c:v>
                </c:pt>
                <c:pt idx="122" formatCode="0.0">
                  <c:v>186.41596802183645</c:v>
                </c:pt>
                <c:pt idx="123" formatCode="0.0">
                  <c:v>229.88950239793527</c:v>
                </c:pt>
                <c:pt idx="124" formatCode="0.0">
                  <c:v>235.98355338934471</c:v>
                </c:pt>
                <c:pt idx="125" formatCode="0.0">
                  <c:v>221.70834133687313</c:v>
                </c:pt>
                <c:pt idx="126" formatCode="0.0">
                  <c:v>235.93413661173221</c:v>
                </c:pt>
                <c:pt idx="127" formatCode="0.0">
                  <c:v>207.37304277345717</c:v>
                </c:pt>
                <c:pt idx="128" formatCode="0.0">
                  <c:v>183.53231863093239</c:v>
                </c:pt>
                <c:pt idx="129" formatCode="0.0">
                  <c:v>148.49909459726263</c:v>
                </c:pt>
                <c:pt idx="130" formatCode="0.0">
                  <c:v>113.24397318392458</c:v>
                </c:pt>
                <c:pt idx="131" formatCode="0.0">
                  <c:v>114.3401956790683</c:v>
                </c:pt>
                <c:pt idx="132" formatCode="0.0">
                  <c:v>148.01578702541272</c:v>
                </c:pt>
                <c:pt idx="133" formatCode="0.0">
                  <c:v>160.90600380473302</c:v>
                </c:pt>
                <c:pt idx="134" formatCode="0.0">
                  <c:v>173.21131512219216</c:v>
                </c:pt>
                <c:pt idx="135" formatCode="0.0">
                  <c:v>186.23629612354952</c:v>
                </c:pt>
                <c:pt idx="136" formatCode="0.0">
                  <c:v>199.35224403194655</c:v>
                </c:pt>
                <c:pt idx="137" formatCode="0.0">
                  <c:v>230.22844585066531</c:v>
                </c:pt>
                <c:pt idx="138" formatCode="0.0">
                  <c:v>226.41235079550711</c:v>
                </c:pt>
                <c:pt idx="139" formatCode="0.0">
                  <c:v>197.83851031908574</c:v>
                </c:pt>
                <c:pt idx="140" formatCode="0.0">
                  <c:v>195.90125863415088</c:v>
                </c:pt>
                <c:pt idx="141" formatCode="0.0">
                  <c:v>194.20473523649602</c:v>
                </c:pt>
                <c:pt idx="142" formatCode="0.0">
                  <c:v>158.81294248412161</c:v>
                </c:pt>
                <c:pt idx="143" formatCode="0.0">
                  <c:v>135.75878459879505</c:v>
                </c:pt>
                <c:pt idx="144" formatCode="0.0">
                  <c:v>110.06022782636896</c:v>
                </c:pt>
                <c:pt idx="145" formatCode="0.0">
                  <c:v>114.66114829000519</c:v>
                </c:pt>
                <c:pt idx="146" formatCode="0.0">
                  <c:v>128.92821769207649</c:v>
                </c:pt>
                <c:pt idx="147" formatCode="0.0">
                  <c:v>165.97096581378324</c:v>
                </c:pt>
                <c:pt idx="148" formatCode="0.0">
                  <c:v>170.31724317549779</c:v>
                </c:pt>
                <c:pt idx="149" formatCode="0.0">
                  <c:v>214.71178481014627</c:v>
                </c:pt>
                <c:pt idx="150" formatCode="0.0">
                  <c:v>280.95299692291599</c:v>
                </c:pt>
                <c:pt idx="151" formatCode="0.0">
                  <c:v>337.82024674321605</c:v>
                </c:pt>
                <c:pt idx="152" formatCode="0.0">
                  <c:v>339.42802696087102</c:v>
                </c:pt>
                <c:pt idx="153" formatCode="0.0">
                  <c:v>334.63034533763226</c:v>
                </c:pt>
                <c:pt idx="154" formatCode="0.0">
                  <c:v>295.30086437355266</c:v>
                </c:pt>
                <c:pt idx="155" formatCode="0.0">
                  <c:v>298.6087927350988</c:v>
                </c:pt>
                <c:pt idx="156" formatCode="0.0">
                  <c:v>266.31240114633476</c:v>
                </c:pt>
                <c:pt idx="157" formatCode="0.0">
                  <c:v>210.75485220485356</c:v>
                </c:pt>
                <c:pt idx="158" formatCode="0.0">
                  <c:v>177.50293731086302</c:v>
                </c:pt>
                <c:pt idx="159" formatCode="0.0">
                  <c:v>173.00838636796522</c:v>
                </c:pt>
                <c:pt idx="160" formatCode="0.0">
                  <c:v>177.43250498885575</c:v>
                </c:pt>
                <c:pt idx="161" formatCode="0.0">
                  <c:v>184.32316094902572</c:v>
                </c:pt>
                <c:pt idx="162" formatCode="0.0">
                  <c:v>190.64214553577813</c:v>
                </c:pt>
                <c:pt idx="163" formatCode="0.0">
                  <c:v>204.41006722122304</c:v>
                </c:pt>
                <c:pt idx="164" formatCode="0.0">
                  <c:v>222.23628245111036</c:v>
                </c:pt>
                <c:pt idx="165" formatCode="0.0">
                  <c:v>221.81673779357976</c:v>
                </c:pt>
                <c:pt idx="166" formatCode="0.0">
                  <c:v>249.02525556322138</c:v>
                </c:pt>
                <c:pt idx="167" formatCode="0.0">
                  <c:v>245.41080287586584</c:v>
                </c:pt>
                <c:pt idx="168" formatCode="0.0">
                  <c:v>225.63085618042447</c:v>
                </c:pt>
                <c:pt idx="169" formatCode="0.0">
                  <c:v>222.3514698910723</c:v>
                </c:pt>
                <c:pt idx="170" formatCode="0.0">
                  <c:v>200.93515543969355</c:v>
                </c:pt>
              </c:numCache>
            </c:numRef>
          </c:xVal>
          <c:yVal>
            <c:numRef>
              <c:f>'SP01'!$AB$3:$AB$176</c:f>
              <c:numCache>
                <c:formatCode>0.00</c:formatCode>
                <c:ptCount val="174"/>
                <c:pt idx="3">
                  <c:v>1.0129904261940768</c:v>
                </c:pt>
                <c:pt idx="4">
                  <c:v>1.000655395504239</c:v>
                </c:pt>
                <c:pt idx="5">
                  <c:v>1.0500275735473785</c:v>
                </c:pt>
                <c:pt idx="6">
                  <c:v>1.0766873104178387</c:v>
                </c:pt>
                <c:pt idx="7">
                  <c:v>1.1262732826881496</c:v>
                </c:pt>
                <c:pt idx="8">
                  <c:v>1.0648820831893382</c:v>
                </c:pt>
                <c:pt idx="9">
                  <c:v>1.0848636120885651</c:v>
                </c:pt>
                <c:pt idx="10">
                  <c:v>1.1467872344970109</c:v>
                </c:pt>
                <c:pt idx="11">
                  <c:v>1.1905343426131647</c:v>
                </c:pt>
                <c:pt idx="12">
                  <c:v>1.2270785261322739</c:v>
                </c:pt>
                <c:pt idx="13">
                  <c:v>1.1854735792290199</c:v>
                </c:pt>
                <c:pt idx="14">
                  <c:v>1.1053540187523683</c:v>
                </c:pt>
                <c:pt idx="15">
                  <c:v>0.94851384582802545</c:v>
                </c:pt>
                <c:pt idx="16">
                  <c:v>0.95492991953574313</c:v>
                </c:pt>
                <c:pt idx="17">
                  <c:v>0.9198034788526589</c:v>
                </c:pt>
                <c:pt idx="18">
                  <c:v>0.92144455666237757</c:v>
                </c:pt>
                <c:pt idx="19">
                  <c:v>0.85621363969213915</c:v>
                </c:pt>
                <c:pt idx="20">
                  <c:v>0.94964495864310017</c:v>
                </c:pt>
                <c:pt idx="21">
                  <c:v>0.97651171702793493</c:v>
                </c:pt>
                <c:pt idx="22">
                  <c:v>1.0960360290361935</c:v>
                </c:pt>
                <c:pt idx="23">
                  <c:v>1.2097689287292599</c:v>
                </c:pt>
                <c:pt idx="24">
                  <c:v>1.1530850837685167</c:v>
                </c:pt>
                <c:pt idx="25">
                  <c:v>1.1520685610456374</c:v>
                </c:pt>
                <c:pt idx="26">
                  <c:v>1.199101749326505</c:v>
                </c:pt>
                <c:pt idx="27">
                  <c:v>1.1634877993392008</c:v>
                </c:pt>
                <c:pt idx="28">
                  <c:v>1.1583536715445273</c:v>
                </c:pt>
                <c:pt idx="29">
                  <c:v>1.1534618659318261</c:v>
                </c:pt>
                <c:pt idx="30">
                  <c:v>1.0786141540970091</c:v>
                </c:pt>
                <c:pt idx="31">
                  <c:v>1.1351883351313619</c:v>
                </c:pt>
                <c:pt idx="32">
                  <c:v>1.0586155741003609</c:v>
                </c:pt>
                <c:pt idx="33">
                  <c:v>1.0584153913989269</c:v>
                </c:pt>
                <c:pt idx="34">
                  <c:v>1.0423663549012134</c:v>
                </c:pt>
                <c:pt idx="35">
                  <c:v>1.0131907027050835</c:v>
                </c:pt>
                <c:pt idx="36">
                  <c:v>0.97808707681058871</c:v>
                </c:pt>
                <c:pt idx="37">
                  <c:v>1.0400873853473671</c:v>
                </c:pt>
                <c:pt idx="38">
                  <c:v>1.0436006227667243</c:v>
                </c:pt>
                <c:pt idx="39">
                  <c:v>1.0670714882464623</c:v>
                </c:pt>
                <c:pt idx="40">
                  <c:v>1.03340329810738</c:v>
                </c:pt>
                <c:pt idx="41">
                  <c:v>1.0995035991918114</c:v>
                </c:pt>
                <c:pt idx="42">
                  <c:v>1.0993934000069743</c:v>
                </c:pt>
                <c:pt idx="43">
                  <c:v>1.1287203204091614</c:v>
                </c:pt>
                <c:pt idx="44">
                  <c:v>1.0862181108887308</c:v>
                </c:pt>
                <c:pt idx="45">
                  <c:v>1.0747281423548891</c:v>
                </c:pt>
                <c:pt idx="46">
                  <c:v>1.0681659114275073</c:v>
                </c:pt>
                <c:pt idx="47">
                  <c:v>1.0965878246435994</c:v>
                </c:pt>
                <c:pt idx="48">
                  <c:v>1.0509051298531877</c:v>
                </c:pt>
                <c:pt idx="49">
                  <c:v>1.0697605587871284</c:v>
                </c:pt>
                <c:pt idx="50">
                  <c:v>1.0960026492288559</c:v>
                </c:pt>
                <c:pt idx="51">
                  <c:v>1.052408183142133</c:v>
                </c:pt>
                <c:pt idx="52">
                  <c:v>1.0797794291879381</c:v>
                </c:pt>
                <c:pt idx="53">
                  <c:v>1.0583117879893182</c:v>
                </c:pt>
                <c:pt idx="54">
                  <c:v>1.0873004322166113</c:v>
                </c:pt>
                <c:pt idx="55">
                  <c:v>1.0367673645108308</c:v>
                </c:pt>
                <c:pt idx="56">
                  <c:v>1.0694156689148195</c:v>
                </c:pt>
                <c:pt idx="57">
                  <c:v>1.0251941339076849</c:v>
                </c:pt>
                <c:pt idx="58">
                  <c:v>1.0610510072325912</c:v>
                </c:pt>
                <c:pt idx="59">
                  <c:v>1.0734224534004848</c:v>
                </c:pt>
                <c:pt idx="60">
                  <c:v>1.1128615054726338</c:v>
                </c:pt>
                <c:pt idx="61">
                  <c:v>1.0852821929534473</c:v>
                </c:pt>
                <c:pt idx="62">
                  <c:v>1.1002707506605904</c:v>
                </c:pt>
                <c:pt idx="63">
                  <c:v>1.090931584397737</c:v>
                </c:pt>
                <c:pt idx="64">
                  <c:v>1.155955973989395</c:v>
                </c:pt>
                <c:pt idx="65">
                  <c:v>1.0902254686349908</c:v>
                </c:pt>
                <c:pt idx="66">
                  <c:v>1.0755106462021966</c:v>
                </c:pt>
                <c:pt idx="67">
                  <c:v>1.1048660327495312</c:v>
                </c:pt>
                <c:pt idx="68">
                  <c:v>1.1300144573099722</c:v>
                </c:pt>
                <c:pt idx="69">
                  <c:v>1.1412016319068521</c:v>
                </c:pt>
                <c:pt idx="70">
                  <c:v>1.1149019913756015</c:v>
                </c:pt>
                <c:pt idx="71">
                  <c:v>1.0818896055220273</c:v>
                </c:pt>
                <c:pt idx="72">
                  <c:v>1.2123439079985456</c:v>
                </c:pt>
                <c:pt idx="73">
                  <c:v>1.1035280702208168</c:v>
                </c:pt>
                <c:pt idx="74">
                  <c:v>1.058538103335861</c:v>
                </c:pt>
                <c:pt idx="75">
                  <c:v>1.0277260418373884</c:v>
                </c:pt>
                <c:pt idx="76">
                  <c:v>1.0694865008045356</c:v>
                </c:pt>
                <c:pt idx="77">
                  <c:v>1.0812358124795094</c:v>
                </c:pt>
                <c:pt idx="93">
                  <c:v>0.87551562762719615</c:v>
                </c:pt>
                <c:pt idx="94">
                  <c:v>1.0103864096714876</c:v>
                </c:pt>
                <c:pt idx="95">
                  <c:v>0.91546617709108513</c:v>
                </c:pt>
                <c:pt idx="96">
                  <c:v>0.88906680266955873</c:v>
                </c:pt>
                <c:pt idx="97">
                  <c:v>0.89299024467178889</c:v>
                </c:pt>
                <c:pt idx="98">
                  <c:v>0.88044390930758432</c:v>
                </c:pt>
                <c:pt idx="99">
                  <c:v>0.89313133073404427</c:v>
                </c:pt>
                <c:pt idx="100">
                  <c:v>1.0091043177906398</c:v>
                </c:pt>
                <c:pt idx="101">
                  <c:v>0.95805113445796153</c:v>
                </c:pt>
                <c:pt idx="102">
                  <c:v>0.99328805329229641</c:v>
                </c:pt>
                <c:pt idx="103">
                  <c:v>0.99412593728013621</c:v>
                </c:pt>
                <c:pt idx="104">
                  <c:v>1.0538828301580676</c:v>
                </c:pt>
                <c:pt idx="105">
                  <c:v>1.1186556114054638</c:v>
                </c:pt>
                <c:pt idx="106">
                  <c:v>1.0503868740885622</c:v>
                </c:pt>
                <c:pt idx="107">
                  <c:v>1.0843808636346017</c:v>
                </c:pt>
                <c:pt idx="108">
                  <c:v>0.96050273049036416</c:v>
                </c:pt>
                <c:pt idx="109">
                  <c:v>1.0325920068957124</c:v>
                </c:pt>
                <c:pt idx="110">
                  <c:v>1.05905015017397</c:v>
                </c:pt>
                <c:pt idx="111">
                  <c:v>1.0250486606264773</c:v>
                </c:pt>
                <c:pt idx="112">
                  <c:v>1.0249593283933727</c:v>
                </c:pt>
                <c:pt idx="113">
                  <c:v>1.0278831973270193</c:v>
                </c:pt>
                <c:pt idx="114">
                  <c:v>1.0668834985932536</c:v>
                </c:pt>
                <c:pt idx="115">
                  <c:v>1.1116013594799758</c:v>
                </c:pt>
                <c:pt idx="116">
                  <c:v>1.0523609215319807</c:v>
                </c:pt>
                <c:pt idx="117">
                  <c:v>1.1036779028967723</c:v>
                </c:pt>
                <c:pt idx="118">
                  <c:v>1.0538143721552675</c:v>
                </c:pt>
                <c:pt idx="119">
                  <c:v>1.054119528383799</c:v>
                </c:pt>
                <c:pt idx="120">
                  <c:v>0.92832299974655763</c:v>
                </c:pt>
                <c:pt idx="121">
                  <c:v>0.86816471171889842</c:v>
                </c:pt>
                <c:pt idx="122">
                  <c:v>0.88125851479269246</c:v>
                </c:pt>
                <c:pt idx="123">
                  <c:v>0.89639771710149374</c:v>
                </c:pt>
                <c:pt idx="124">
                  <c:v>0.93068282935816982</c:v>
                </c:pt>
                <c:pt idx="125">
                  <c:v>0.96870868172042623</c:v>
                </c:pt>
                <c:pt idx="126">
                  <c:v>0.97037753095528512</c:v>
                </c:pt>
                <c:pt idx="127">
                  <c:v>1.0468950729939308</c:v>
                </c:pt>
                <c:pt idx="128">
                  <c:v>1.07844772455881</c:v>
                </c:pt>
                <c:pt idx="129">
                  <c:v>1.1278563869021865</c:v>
                </c:pt>
                <c:pt idx="130">
                  <c:v>1.1528725294555098</c:v>
                </c:pt>
                <c:pt idx="131">
                  <c:v>1.0137011320684099</c:v>
                </c:pt>
                <c:pt idx="132">
                  <c:v>0.99333154201667129</c:v>
                </c:pt>
                <c:pt idx="133">
                  <c:v>0.96880549871870103</c:v>
                </c:pt>
                <c:pt idx="134">
                  <c:v>0.97893386427580331</c:v>
                </c:pt>
                <c:pt idx="135">
                  <c:v>0.9393597285918085</c:v>
                </c:pt>
                <c:pt idx="136">
                  <c:v>0.98572698116984725</c:v>
                </c:pt>
                <c:pt idx="137">
                  <c:v>1.0223281779293079</c:v>
                </c:pt>
                <c:pt idx="138">
                  <c:v>1.071054061937694</c:v>
                </c:pt>
                <c:pt idx="139">
                  <c:v>1.1313307308872056</c:v>
                </c:pt>
                <c:pt idx="140">
                  <c:v>1.1469646512521801</c:v>
                </c:pt>
                <c:pt idx="141">
                  <c:v>1.1663268663364963</c:v>
                </c:pt>
                <c:pt idx="142">
                  <c:v>1.326026112025176</c:v>
                </c:pt>
                <c:pt idx="143">
                  <c:v>1.3063548941344625</c:v>
                </c:pt>
                <c:pt idx="144">
                  <c:v>1.3508459571524269</c:v>
                </c:pt>
                <c:pt idx="145">
                  <c:v>1.3226260215624828</c:v>
                </c:pt>
                <c:pt idx="146">
                  <c:v>1.158458114829253</c:v>
                </c:pt>
                <c:pt idx="147">
                  <c:v>0.9853985490010998</c:v>
                </c:pt>
                <c:pt idx="148">
                  <c:v>1.0369361173596201</c:v>
                </c:pt>
                <c:pt idx="149">
                  <c:v>0.90226749335186218</c:v>
                </c:pt>
                <c:pt idx="150">
                  <c:v>0.86349575693234848</c:v>
                </c:pt>
                <c:pt idx="151">
                  <c:v>0.87361596048245183</c:v>
                </c:pt>
                <c:pt idx="152">
                  <c:v>0.90721028965745654</c:v>
                </c:pt>
                <c:pt idx="153">
                  <c:v>0.93939175019888865</c:v>
                </c:pt>
                <c:pt idx="154">
                  <c:v>0.97637553682305001</c:v>
                </c:pt>
                <c:pt idx="155">
                  <c:v>0.96281754798270125</c:v>
                </c:pt>
                <c:pt idx="156">
                  <c:v>0.99929011103416376</c:v>
                </c:pt>
                <c:pt idx="157">
                  <c:v>1.0773987678591939</c:v>
                </c:pt>
                <c:pt idx="158">
                  <c:v>1.0622914726075205</c:v>
                </c:pt>
                <c:pt idx="159">
                  <c:v>0.96895492824746932</c:v>
                </c:pt>
                <c:pt idx="160">
                  <c:v>0.91910984581881683</c:v>
                </c:pt>
                <c:pt idx="161">
                  <c:v>0.94253923660145977</c:v>
                </c:pt>
                <c:pt idx="162">
                  <c:v>0.85254766871340537</c:v>
                </c:pt>
                <c:pt idx="163">
                  <c:v>0.91509566915641116</c:v>
                </c:pt>
                <c:pt idx="164">
                  <c:v>0.9224109068653723</c:v>
                </c:pt>
                <c:pt idx="165">
                  <c:v>0.95110930117507986</c:v>
                </c:pt>
                <c:pt idx="166">
                  <c:v>0.96924827548174697</c:v>
                </c:pt>
                <c:pt idx="167">
                  <c:v>0.96328175346878764</c:v>
                </c:pt>
                <c:pt idx="168">
                  <c:v>0.98429576072251646</c:v>
                </c:pt>
                <c:pt idx="169">
                  <c:v>0.99620576106666581</c:v>
                </c:pt>
                <c:pt idx="170">
                  <c:v>0.9903468947056171</c:v>
                </c:pt>
              </c:numCache>
            </c:numRef>
          </c:yVal>
          <c:smooth val="0"/>
          <c:extLst>
            <c:ext xmlns:c16="http://schemas.microsoft.com/office/drawing/2014/chart" uri="{C3380CC4-5D6E-409C-BE32-E72D297353CC}">
              <c16:uniqueId val="{00000000-7F43-4CE0-924D-6485676360FB}"/>
            </c:ext>
          </c:extLst>
        </c:ser>
        <c:ser>
          <c:idx val="3"/>
          <c:order val="1"/>
          <c:tx>
            <c:v>Shoal</c:v>
          </c:tx>
          <c:spPr>
            <a:ln w="28575">
              <a:noFill/>
            </a:ln>
          </c:spPr>
          <c:marker>
            <c:symbol val="circle"/>
            <c:size val="7"/>
            <c:spPr>
              <a:solidFill>
                <a:schemeClr val="tx1"/>
              </a:solidFill>
              <a:ln>
                <a:solidFill>
                  <a:schemeClr val="tx1"/>
                </a:solidFill>
              </a:ln>
            </c:spPr>
          </c:marker>
          <c:xVal>
            <c:numRef>
              <c:f>'SP01'!$X$3:$X$176</c:f>
              <c:numCache>
                <c:formatCode>0.0</c:formatCode>
                <c:ptCount val="174"/>
                <c:pt idx="3">
                  <c:v>126.31215746112559</c:v>
                </c:pt>
                <c:pt idx="4">
                  <c:v>117.68961892901143</c:v>
                </c:pt>
                <c:pt idx="5">
                  <c:v>113.43083951958474</c:v>
                </c:pt>
                <c:pt idx="6">
                  <c:v>121.61486838907675</c:v>
                </c:pt>
                <c:pt idx="7">
                  <c:v>117.0512105583483</c:v>
                </c:pt>
                <c:pt idx="8">
                  <c:v>107.31894010080757</c:v>
                </c:pt>
                <c:pt idx="9">
                  <c:v>85.018233302798834</c:v>
                </c:pt>
                <c:pt idx="10">
                  <c:v>73.840177056197987</c:v>
                </c:pt>
                <c:pt idx="11">
                  <c:v>72.486481370002053</c:v>
                </c:pt>
                <c:pt idx="12">
                  <c:v>73.580545887627778</c:v>
                </c:pt>
                <c:pt idx="13">
                  <c:v>61.511095133586743</c:v>
                </c:pt>
                <c:pt idx="14">
                  <c:v>49.050469073314844</c:v>
                </c:pt>
                <c:pt idx="15">
                  <c:v>50.806978710317445</c:v>
                </c:pt>
                <c:pt idx="16">
                  <c:v>62.378500976595255</c:v>
                </c:pt>
                <c:pt idx="17">
                  <c:v>67.692442625149923</c:v>
                </c:pt>
                <c:pt idx="18">
                  <c:v>70.657319798061252</c:v>
                </c:pt>
                <c:pt idx="19">
                  <c:v>76.101658739475099</c:v>
                </c:pt>
                <c:pt idx="20">
                  <c:v>91.606386692990867</c:v>
                </c:pt>
                <c:pt idx="21">
                  <c:v>106.66171136544837</c:v>
                </c:pt>
                <c:pt idx="22">
                  <c:v>119.58466325492255</c:v>
                </c:pt>
                <c:pt idx="23">
                  <c:v>125.25839263849674</c:v>
                </c:pt>
                <c:pt idx="24">
                  <c:v>144.43936998898238</c:v>
                </c:pt>
                <c:pt idx="25">
                  <c:v>152.72110588720417</c:v>
                </c:pt>
                <c:pt idx="26">
                  <c:v>153.93377804573544</c:v>
                </c:pt>
                <c:pt idx="27">
                  <c:v>163.52974270324381</c:v>
                </c:pt>
                <c:pt idx="28">
                  <c:v>164.51170482813581</c:v>
                </c:pt>
                <c:pt idx="29">
                  <c:v>150.43547409257863</c:v>
                </c:pt>
                <c:pt idx="30">
                  <c:v>147.61006516143169</c:v>
                </c:pt>
                <c:pt idx="31">
                  <c:v>135.66067547688871</c:v>
                </c:pt>
                <c:pt idx="32">
                  <c:v>155.00686465610164</c:v>
                </c:pt>
                <c:pt idx="33">
                  <c:v>187.9731081622802</c:v>
                </c:pt>
                <c:pt idx="34">
                  <c:v>201.50366585388591</c:v>
                </c:pt>
                <c:pt idx="35">
                  <c:v>239.31275277791977</c:v>
                </c:pt>
                <c:pt idx="36">
                  <c:v>287.77023413357159</c:v>
                </c:pt>
                <c:pt idx="37">
                  <c:v>334.10952095522424</c:v>
                </c:pt>
                <c:pt idx="38">
                  <c:v>344.03255150041241</c:v>
                </c:pt>
                <c:pt idx="39">
                  <c:v>332.34921418960738</c:v>
                </c:pt>
                <c:pt idx="40">
                  <c:v>314.35065658894695</c:v>
                </c:pt>
                <c:pt idx="41">
                  <c:v>299.51075365769896</c:v>
                </c:pt>
                <c:pt idx="42">
                  <c:v>263.10817290789868</c:v>
                </c:pt>
                <c:pt idx="43">
                  <c:v>245.0318946148935</c:v>
                </c:pt>
                <c:pt idx="44">
                  <c:v>228.39620969665037</c:v>
                </c:pt>
                <c:pt idx="45">
                  <c:v>229.7298735430775</c:v>
                </c:pt>
                <c:pt idx="46">
                  <c:v>248.30396077339944</c:v>
                </c:pt>
                <c:pt idx="47">
                  <c:v>276.80567440194358</c:v>
                </c:pt>
                <c:pt idx="48">
                  <c:v>284.24544414310736</c:v>
                </c:pt>
                <c:pt idx="49">
                  <c:v>317.955358095017</c:v>
                </c:pt>
                <c:pt idx="50">
                  <c:v>322.34885352478801</c:v>
                </c:pt>
                <c:pt idx="51">
                  <c:v>314.67214175211899</c:v>
                </c:pt>
                <c:pt idx="52">
                  <c:v>311.31197586427481</c:v>
                </c:pt>
                <c:pt idx="53">
                  <c:v>286.04920313297941</c:v>
                </c:pt>
                <c:pt idx="54">
                  <c:v>285.80824972520389</c:v>
                </c:pt>
                <c:pt idx="55">
                  <c:v>258.25114374902785</c:v>
                </c:pt>
                <c:pt idx="56">
                  <c:v>236.98845361518892</c:v>
                </c:pt>
                <c:pt idx="57">
                  <c:v>242.34046562316379</c:v>
                </c:pt>
                <c:pt idx="58">
                  <c:v>264.30915299694556</c:v>
                </c:pt>
                <c:pt idx="59">
                  <c:v>269.80794869303458</c:v>
                </c:pt>
                <c:pt idx="60">
                  <c:v>283.80336650295015</c:v>
                </c:pt>
                <c:pt idx="61">
                  <c:v>278.61948255809665</c:v>
                </c:pt>
                <c:pt idx="62">
                  <c:v>306.35309733147307</c:v>
                </c:pt>
                <c:pt idx="63">
                  <c:v>316.24054903356358</c:v>
                </c:pt>
                <c:pt idx="64">
                  <c:v>284.43732012671552</c:v>
                </c:pt>
                <c:pt idx="65">
                  <c:v>293.44497334705051</c:v>
                </c:pt>
                <c:pt idx="66">
                  <c:v>301.71493205229274</c:v>
                </c:pt>
                <c:pt idx="67">
                  <c:v>285.99804566964798</c:v>
                </c:pt>
                <c:pt idx="68">
                  <c:v>270.88202292251691</c:v>
                </c:pt>
                <c:pt idx="69">
                  <c:v>237.36494379562851</c:v>
                </c:pt>
                <c:pt idx="70">
                  <c:v>221.79196034996045</c:v>
                </c:pt>
                <c:pt idx="71">
                  <c:v>225.74004190300599</c:v>
                </c:pt>
                <c:pt idx="72">
                  <c:v>171.53879187414151</c:v>
                </c:pt>
                <c:pt idx="73">
                  <c:v>160.27611659684416</c:v>
                </c:pt>
                <c:pt idx="74">
                  <c:v>178.03429636432693</c:v>
                </c:pt>
                <c:pt idx="75">
                  <c:v>166.10968575359038</c:v>
                </c:pt>
                <c:pt idx="76">
                  <c:v>180.41160464049361</c:v>
                </c:pt>
                <c:pt idx="77">
                  <c:v>171.96307228807558</c:v>
                </c:pt>
                <c:pt idx="93">
                  <c:v>136.38273691483897</c:v>
                </c:pt>
                <c:pt idx="94">
                  <c:v>159.45922073925311</c:v>
                </c:pt>
                <c:pt idx="95">
                  <c:v>130.35525815750432</c:v>
                </c:pt>
                <c:pt idx="96">
                  <c:v>131.60375168082768</c:v>
                </c:pt>
                <c:pt idx="97">
                  <c:v>123.81872625175495</c:v>
                </c:pt>
                <c:pt idx="98">
                  <c:v>111.85499212622832</c:v>
                </c:pt>
                <c:pt idx="99">
                  <c:v>119.46308506692834</c:v>
                </c:pt>
                <c:pt idx="100">
                  <c:v>98.991794304607723</c:v>
                </c:pt>
                <c:pt idx="101">
                  <c:v>85.335664558086265</c:v>
                </c:pt>
                <c:pt idx="102">
                  <c:v>104.47369408986307</c:v>
                </c:pt>
                <c:pt idx="103">
                  <c:v>107.47160704524811</c:v>
                </c:pt>
                <c:pt idx="104">
                  <c:v>112.38117114994789</c:v>
                </c:pt>
                <c:pt idx="105">
                  <c:v>113.12836821924705</c:v>
                </c:pt>
                <c:pt idx="106">
                  <c:v>119.64001190013474</c:v>
                </c:pt>
                <c:pt idx="107">
                  <c:v>120.3033806106757</c:v>
                </c:pt>
                <c:pt idx="108">
                  <c:v>107.96585046447088</c:v>
                </c:pt>
                <c:pt idx="109">
                  <c:v>122.03892841510749</c:v>
                </c:pt>
                <c:pt idx="110">
                  <c:v>133.14920075729339</c:v>
                </c:pt>
                <c:pt idx="111">
                  <c:v>129.43308081952921</c:v>
                </c:pt>
                <c:pt idx="112">
                  <c:v>130.76007344879829</c:v>
                </c:pt>
                <c:pt idx="113">
                  <c:v>108.47505985311837</c:v>
                </c:pt>
                <c:pt idx="114">
                  <c:v>105.48357116250989</c:v>
                </c:pt>
                <c:pt idx="115">
                  <c:v>104.91851723558814</c:v>
                </c:pt>
                <c:pt idx="116">
                  <c:v>72.172883444530072</c:v>
                </c:pt>
                <c:pt idx="117">
                  <c:v>63.542504900779257</c:v>
                </c:pt>
                <c:pt idx="118">
                  <c:v>68.729145133865046</c:v>
                </c:pt>
                <c:pt idx="119">
                  <c:v>68.540852755733496</c:v>
                </c:pt>
                <c:pt idx="120">
                  <c:v>90.333063938132113</c:v>
                </c:pt>
                <c:pt idx="121">
                  <c:v>120.42038898529169</c:v>
                </c:pt>
                <c:pt idx="122">
                  <c:v>164.28065911256564</c:v>
                </c:pt>
                <c:pt idx="123">
                  <c:v>206.07242513510755</c:v>
                </c:pt>
                <c:pt idx="124">
                  <c:v>219.62584115039004</c:v>
                </c:pt>
                <c:pt idx="125">
                  <c:v>214.77079506286466</c:v>
                </c:pt>
                <c:pt idx="126">
                  <c:v>228.94518495335964</c:v>
                </c:pt>
                <c:pt idx="127">
                  <c:v>217.09781675129199</c:v>
                </c:pt>
                <c:pt idx="128">
                  <c:v>197.93001141053153</c:v>
                </c:pt>
                <c:pt idx="129">
                  <c:v>167.48565229071463</c:v>
                </c:pt>
                <c:pt idx="130">
                  <c:v>130.55586581014305</c:v>
                </c:pt>
                <c:pt idx="131">
                  <c:v>115.90678580079505</c:v>
                </c:pt>
                <c:pt idx="132">
                  <c:v>147.02874996876443</c:v>
                </c:pt>
                <c:pt idx="133">
                  <c:v>155.88662126287758</c:v>
                </c:pt>
                <c:pt idx="134">
                  <c:v>169.56242204886146</c:v>
                </c:pt>
                <c:pt idx="135">
                  <c:v>174.94287658056115</c:v>
                </c:pt>
                <c:pt idx="136">
                  <c:v>196.50688569904537</c:v>
                </c:pt>
                <c:pt idx="137">
                  <c:v>235.36902755400698</c:v>
                </c:pt>
                <c:pt idx="138">
                  <c:v>242.49986799238999</c:v>
                </c:pt>
                <c:pt idx="139">
                  <c:v>223.82078647692722</c:v>
                </c:pt>
                <c:pt idx="140">
                  <c:v>224.69181878918201</c:v>
                </c:pt>
                <c:pt idx="141">
                  <c:v>226.50620027609133</c:v>
                </c:pt>
                <c:pt idx="142">
                  <c:v>210.59010866149765</c:v>
                </c:pt>
                <c:pt idx="143">
                  <c:v>177.3491526823822</c:v>
                </c:pt>
                <c:pt idx="144">
                  <c:v>148.67441380252555</c:v>
                </c:pt>
                <c:pt idx="145">
                  <c:v>151.65381839059543</c:v>
                </c:pt>
                <c:pt idx="146">
                  <c:v>149.35794001585847</c:v>
                </c:pt>
                <c:pt idx="147">
                  <c:v>163.54754888921315</c:v>
                </c:pt>
                <c:pt idx="148">
                  <c:v>176.60810085779494</c:v>
                </c:pt>
                <c:pt idx="149">
                  <c:v>193.72746387375511</c:v>
                </c:pt>
                <c:pt idx="150">
                  <c:v>242.60172074036512</c:v>
                </c:pt>
                <c:pt idx="151">
                  <c:v>295.12515932899356</c:v>
                </c:pt>
                <c:pt idx="152">
                  <c:v>307.93259865703078</c:v>
                </c:pt>
                <c:pt idx="153">
                  <c:v>314.34898577637688</c:v>
                </c:pt>
                <c:pt idx="154">
                  <c:v>288.32453997703817</c:v>
                </c:pt>
                <c:pt idx="155">
                  <c:v>287.50578562728248</c:v>
                </c:pt>
                <c:pt idx="156">
                  <c:v>266.12334891129564</c:v>
                </c:pt>
                <c:pt idx="157">
                  <c:v>227.06701808585572</c:v>
                </c:pt>
                <c:pt idx="158">
                  <c:v>188.55985666811708</c:v>
                </c:pt>
                <c:pt idx="159">
                  <c:v>167.63732859938219</c:v>
                </c:pt>
                <c:pt idx="160">
                  <c:v>163.07996230355366</c:v>
                </c:pt>
                <c:pt idx="161">
                  <c:v>173.73181140886271</c:v>
                </c:pt>
                <c:pt idx="162">
                  <c:v>162.53151673504939</c:v>
                </c:pt>
                <c:pt idx="163">
                  <c:v>187.05476724611208</c:v>
                </c:pt>
                <c:pt idx="164">
                  <c:v>204.99317083411773</c:v>
                </c:pt>
                <c:pt idx="165">
                  <c:v>210.97196247178758</c:v>
                </c:pt>
                <c:pt idx="166">
                  <c:v>241.36729950605363</c:v>
                </c:pt>
                <c:pt idx="167">
                  <c:v>236.39974851444703</c:v>
                </c:pt>
                <c:pt idx="168">
                  <c:v>222.0874952265836</c:v>
                </c:pt>
                <c:pt idx="169">
                  <c:v>221.5078152871275</c:v>
                </c:pt>
                <c:pt idx="170">
                  <c:v>198.99550722689099</c:v>
                </c:pt>
              </c:numCache>
            </c:numRef>
          </c:xVal>
          <c:yVal>
            <c:numRef>
              <c:f>'SP01'!$AB$3:$AB$176</c:f>
              <c:numCache>
                <c:formatCode>0.00</c:formatCode>
                <c:ptCount val="174"/>
                <c:pt idx="3">
                  <c:v>1.0129904261940768</c:v>
                </c:pt>
                <c:pt idx="4">
                  <c:v>1.000655395504239</c:v>
                </c:pt>
                <c:pt idx="5">
                  <c:v>1.0500275735473785</c:v>
                </c:pt>
                <c:pt idx="6">
                  <c:v>1.0766873104178387</c:v>
                </c:pt>
                <c:pt idx="7">
                  <c:v>1.1262732826881496</c:v>
                </c:pt>
                <c:pt idx="8">
                  <c:v>1.0648820831893382</c:v>
                </c:pt>
                <c:pt idx="9">
                  <c:v>1.0848636120885651</c:v>
                </c:pt>
                <c:pt idx="10">
                  <c:v>1.1467872344970109</c:v>
                </c:pt>
                <c:pt idx="11">
                  <c:v>1.1905343426131647</c:v>
                </c:pt>
                <c:pt idx="12">
                  <c:v>1.2270785261322739</c:v>
                </c:pt>
                <c:pt idx="13">
                  <c:v>1.1854735792290199</c:v>
                </c:pt>
                <c:pt idx="14">
                  <c:v>1.1053540187523683</c:v>
                </c:pt>
                <c:pt idx="15">
                  <c:v>0.94851384582802545</c:v>
                </c:pt>
                <c:pt idx="16">
                  <c:v>0.95492991953574313</c:v>
                </c:pt>
                <c:pt idx="17">
                  <c:v>0.9198034788526589</c:v>
                </c:pt>
                <c:pt idx="18">
                  <c:v>0.92144455666237757</c:v>
                </c:pt>
                <c:pt idx="19">
                  <c:v>0.85621363969213915</c:v>
                </c:pt>
                <c:pt idx="20">
                  <c:v>0.94964495864310017</c:v>
                </c:pt>
                <c:pt idx="21">
                  <c:v>0.97651171702793493</c:v>
                </c:pt>
                <c:pt idx="22">
                  <c:v>1.0960360290361935</c:v>
                </c:pt>
                <c:pt idx="23">
                  <c:v>1.2097689287292599</c:v>
                </c:pt>
                <c:pt idx="24">
                  <c:v>1.1530850837685167</c:v>
                </c:pt>
                <c:pt idx="25">
                  <c:v>1.1520685610456374</c:v>
                </c:pt>
                <c:pt idx="26">
                  <c:v>1.199101749326505</c:v>
                </c:pt>
                <c:pt idx="27">
                  <c:v>1.1634877993392008</c:v>
                </c:pt>
                <c:pt idx="28">
                  <c:v>1.1583536715445273</c:v>
                </c:pt>
                <c:pt idx="29">
                  <c:v>1.1534618659318261</c:v>
                </c:pt>
                <c:pt idx="30">
                  <c:v>1.0786141540970091</c:v>
                </c:pt>
                <c:pt idx="31">
                  <c:v>1.1351883351313619</c:v>
                </c:pt>
                <c:pt idx="32">
                  <c:v>1.0586155741003609</c:v>
                </c:pt>
                <c:pt idx="33">
                  <c:v>1.0584153913989269</c:v>
                </c:pt>
                <c:pt idx="34">
                  <c:v>1.0423663549012134</c:v>
                </c:pt>
                <c:pt idx="35">
                  <c:v>1.0131907027050835</c:v>
                </c:pt>
                <c:pt idx="36">
                  <c:v>0.97808707681058871</c:v>
                </c:pt>
                <c:pt idx="37">
                  <c:v>1.0400873853473671</c:v>
                </c:pt>
                <c:pt idx="38">
                  <c:v>1.0436006227667243</c:v>
                </c:pt>
                <c:pt idx="39">
                  <c:v>1.0670714882464623</c:v>
                </c:pt>
                <c:pt idx="40">
                  <c:v>1.03340329810738</c:v>
                </c:pt>
                <c:pt idx="41">
                  <c:v>1.0995035991918114</c:v>
                </c:pt>
                <c:pt idx="42">
                  <c:v>1.0993934000069743</c:v>
                </c:pt>
                <c:pt idx="43">
                  <c:v>1.1287203204091614</c:v>
                </c:pt>
                <c:pt idx="44">
                  <c:v>1.0862181108887308</c:v>
                </c:pt>
                <c:pt idx="45">
                  <c:v>1.0747281423548891</c:v>
                </c:pt>
                <c:pt idx="46">
                  <c:v>1.0681659114275073</c:v>
                </c:pt>
                <c:pt idx="47">
                  <c:v>1.0965878246435994</c:v>
                </c:pt>
                <c:pt idx="48">
                  <c:v>1.0509051298531877</c:v>
                </c:pt>
                <c:pt idx="49">
                  <c:v>1.0697605587871284</c:v>
                </c:pt>
                <c:pt idx="50">
                  <c:v>1.0960026492288559</c:v>
                </c:pt>
                <c:pt idx="51">
                  <c:v>1.052408183142133</c:v>
                </c:pt>
                <c:pt idx="52">
                  <c:v>1.0797794291879381</c:v>
                </c:pt>
                <c:pt idx="53">
                  <c:v>1.0583117879893182</c:v>
                </c:pt>
                <c:pt idx="54">
                  <c:v>1.0873004322166113</c:v>
                </c:pt>
                <c:pt idx="55">
                  <c:v>1.0367673645108308</c:v>
                </c:pt>
                <c:pt idx="56">
                  <c:v>1.0694156689148195</c:v>
                </c:pt>
                <c:pt idx="57">
                  <c:v>1.0251941339076849</c:v>
                </c:pt>
                <c:pt idx="58">
                  <c:v>1.0610510072325912</c:v>
                </c:pt>
                <c:pt idx="59">
                  <c:v>1.0734224534004848</c:v>
                </c:pt>
                <c:pt idx="60">
                  <c:v>1.1128615054726338</c:v>
                </c:pt>
                <c:pt idx="61">
                  <c:v>1.0852821929534473</c:v>
                </c:pt>
                <c:pt idx="62">
                  <c:v>1.1002707506605904</c:v>
                </c:pt>
                <c:pt idx="63">
                  <c:v>1.090931584397737</c:v>
                </c:pt>
                <c:pt idx="64">
                  <c:v>1.155955973989395</c:v>
                </c:pt>
                <c:pt idx="65">
                  <c:v>1.0902254686349908</c:v>
                </c:pt>
                <c:pt idx="66">
                  <c:v>1.0755106462021966</c:v>
                </c:pt>
                <c:pt idx="67">
                  <c:v>1.1048660327495312</c:v>
                </c:pt>
                <c:pt idx="68">
                  <c:v>1.1300144573099722</c:v>
                </c:pt>
                <c:pt idx="69">
                  <c:v>1.1412016319068521</c:v>
                </c:pt>
                <c:pt idx="70">
                  <c:v>1.1149019913756015</c:v>
                </c:pt>
                <c:pt idx="71">
                  <c:v>1.0818896055220273</c:v>
                </c:pt>
                <c:pt idx="72">
                  <c:v>1.2123439079985456</c:v>
                </c:pt>
                <c:pt idx="73">
                  <c:v>1.1035280702208168</c:v>
                </c:pt>
                <c:pt idx="74">
                  <c:v>1.058538103335861</c:v>
                </c:pt>
                <c:pt idx="75">
                  <c:v>1.0277260418373884</c:v>
                </c:pt>
                <c:pt idx="76">
                  <c:v>1.0694865008045356</c:v>
                </c:pt>
                <c:pt idx="77">
                  <c:v>1.0812358124795094</c:v>
                </c:pt>
                <c:pt idx="93">
                  <c:v>0.87551562762719615</c:v>
                </c:pt>
                <c:pt idx="94">
                  <c:v>1.0103864096714876</c:v>
                </c:pt>
                <c:pt idx="95">
                  <c:v>0.91546617709108513</c:v>
                </c:pt>
                <c:pt idx="96">
                  <c:v>0.88906680266955873</c:v>
                </c:pt>
                <c:pt idx="97">
                  <c:v>0.89299024467178889</c:v>
                </c:pt>
                <c:pt idx="98">
                  <c:v>0.88044390930758432</c:v>
                </c:pt>
                <c:pt idx="99">
                  <c:v>0.89313133073404427</c:v>
                </c:pt>
                <c:pt idx="100">
                  <c:v>1.0091043177906398</c:v>
                </c:pt>
                <c:pt idx="101">
                  <c:v>0.95805113445796153</c:v>
                </c:pt>
                <c:pt idx="102">
                  <c:v>0.99328805329229641</c:v>
                </c:pt>
                <c:pt idx="103">
                  <c:v>0.99412593728013621</c:v>
                </c:pt>
                <c:pt idx="104">
                  <c:v>1.0538828301580676</c:v>
                </c:pt>
                <c:pt idx="105">
                  <c:v>1.1186556114054638</c:v>
                </c:pt>
                <c:pt idx="106">
                  <c:v>1.0503868740885622</c:v>
                </c:pt>
                <c:pt idx="107">
                  <c:v>1.0843808636346017</c:v>
                </c:pt>
                <c:pt idx="108">
                  <c:v>0.96050273049036416</c:v>
                </c:pt>
                <c:pt idx="109">
                  <c:v>1.0325920068957124</c:v>
                </c:pt>
                <c:pt idx="110">
                  <c:v>1.05905015017397</c:v>
                </c:pt>
                <c:pt idx="111">
                  <c:v>1.0250486606264773</c:v>
                </c:pt>
                <c:pt idx="112">
                  <c:v>1.0249593283933727</c:v>
                </c:pt>
                <c:pt idx="113">
                  <c:v>1.0278831973270193</c:v>
                </c:pt>
                <c:pt idx="114">
                  <c:v>1.0668834985932536</c:v>
                </c:pt>
                <c:pt idx="115">
                  <c:v>1.1116013594799758</c:v>
                </c:pt>
                <c:pt idx="116">
                  <c:v>1.0523609215319807</c:v>
                </c:pt>
                <c:pt idx="117">
                  <c:v>1.1036779028967723</c:v>
                </c:pt>
                <c:pt idx="118">
                  <c:v>1.0538143721552675</c:v>
                </c:pt>
                <c:pt idx="119">
                  <c:v>1.054119528383799</c:v>
                </c:pt>
                <c:pt idx="120">
                  <c:v>0.92832299974655763</c:v>
                </c:pt>
                <c:pt idx="121">
                  <c:v>0.86816471171889842</c:v>
                </c:pt>
                <c:pt idx="122">
                  <c:v>0.88125851479269246</c:v>
                </c:pt>
                <c:pt idx="123">
                  <c:v>0.89639771710149374</c:v>
                </c:pt>
                <c:pt idx="124">
                  <c:v>0.93068282935816982</c:v>
                </c:pt>
                <c:pt idx="125">
                  <c:v>0.96870868172042623</c:v>
                </c:pt>
                <c:pt idx="126">
                  <c:v>0.97037753095528512</c:v>
                </c:pt>
                <c:pt idx="127">
                  <c:v>1.0468950729939308</c:v>
                </c:pt>
                <c:pt idx="128">
                  <c:v>1.07844772455881</c:v>
                </c:pt>
                <c:pt idx="129">
                  <c:v>1.1278563869021865</c:v>
                </c:pt>
                <c:pt idx="130">
                  <c:v>1.1528725294555098</c:v>
                </c:pt>
                <c:pt idx="131">
                  <c:v>1.0137011320684099</c:v>
                </c:pt>
                <c:pt idx="132">
                  <c:v>0.99333154201667129</c:v>
                </c:pt>
                <c:pt idx="133">
                  <c:v>0.96880549871870103</c:v>
                </c:pt>
                <c:pt idx="134">
                  <c:v>0.97893386427580331</c:v>
                </c:pt>
                <c:pt idx="135">
                  <c:v>0.9393597285918085</c:v>
                </c:pt>
                <c:pt idx="136">
                  <c:v>0.98572698116984725</c:v>
                </c:pt>
                <c:pt idx="137">
                  <c:v>1.0223281779293079</c:v>
                </c:pt>
                <c:pt idx="138">
                  <c:v>1.071054061937694</c:v>
                </c:pt>
                <c:pt idx="139">
                  <c:v>1.1313307308872056</c:v>
                </c:pt>
                <c:pt idx="140">
                  <c:v>1.1469646512521801</c:v>
                </c:pt>
                <c:pt idx="141">
                  <c:v>1.1663268663364963</c:v>
                </c:pt>
                <c:pt idx="142">
                  <c:v>1.326026112025176</c:v>
                </c:pt>
                <c:pt idx="143">
                  <c:v>1.3063548941344625</c:v>
                </c:pt>
                <c:pt idx="144">
                  <c:v>1.3508459571524269</c:v>
                </c:pt>
                <c:pt idx="145">
                  <c:v>1.3226260215624828</c:v>
                </c:pt>
                <c:pt idx="146">
                  <c:v>1.158458114829253</c:v>
                </c:pt>
                <c:pt idx="147">
                  <c:v>0.9853985490010998</c:v>
                </c:pt>
                <c:pt idx="148">
                  <c:v>1.0369361173596201</c:v>
                </c:pt>
                <c:pt idx="149">
                  <c:v>0.90226749335186218</c:v>
                </c:pt>
                <c:pt idx="150">
                  <c:v>0.86349575693234848</c:v>
                </c:pt>
                <c:pt idx="151">
                  <c:v>0.87361596048245183</c:v>
                </c:pt>
                <c:pt idx="152">
                  <c:v>0.90721028965745654</c:v>
                </c:pt>
                <c:pt idx="153">
                  <c:v>0.93939175019888865</c:v>
                </c:pt>
                <c:pt idx="154">
                  <c:v>0.97637553682305001</c:v>
                </c:pt>
                <c:pt idx="155">
                  <c:v>0.96281754798270125</c:v>
                </c:pt>
                <c:pt idx="156">
                  <c:v>0.99929011103416376</c:v>
                </c:pt>
                <c:pt idx="157">
                  <c:v>1.0773987678591939</c:v>
                </c:pt>
                <c:pt idx="158">
                  <c:v>1.0622914726075205</c:v>
                </c:pt>
                <c:pt idx="159">
                  <c:v>0.96895492824746932</c:v>
                </c:pt>
                <c:pt idx="160">
                  <c:v>0.91910984581881683</c:v>
                </c:pt>
                <c:pt idx="161">
                  <c:v>0.94253923660145977</c:v>
                </c:pt>
                <c:pt idx="162">
                  <c:v>0.85254766871340537</c:v>
                </c:pt>
                <c:pt idx="163">
                  <c:v>0.91509566915641116</c:v>
                </c:pt>
                <c:pt idx="164">
                  <c:v>0.9224109068653723</c:v>
                </c:pt>
                <c:pt idx="165">
                  <c:v>0.95110930117507986</c:v>
                </c:pt>
                <c:pt idx="166">
                  <c:v>0.96924827548174697</c:v>
                </c:pt>
                <c:pt idx="167">
                  <c:v>0.96328175346878764</c:v>
                </c:pt>
                <c:pt idx="168">
                  <c:v>0.98429576072251646</c:v>
                </c:pt>
                <c:pt idx="169">
                  <c:v>0.99620576106666581</c:v>
                </c:pt>
                <c:pt idx="170">
                  <c:v>0.9903468947056171</c:v>
                </c:pt>
              </c:numCache>
            </c:numRef>
          </c:yVal>
          <c:smooth val="0"/>
          <c:extLst>
            <c:ext xmlns:c16="http://schemas.microsoft.com/office/drawing/2014/chart" uri="{C3380CC4-5D6E-409C-BE32-E72D297353CC}">
              <c16:uniqueId val="{00000000-0DC3-49A7-85CE-151CF954553B}"/>
            </c:ext>
          </c:extLst>
        </c:ser>
        <c:dLbls>
          <c:showLegendKey val="0"/>
          <c:showVal val="0"/>
          <c:showCatName val="0"/>
          <c:showSerName val="0"/>
          <c:showPercent val="0"/>
          <c:showBubbleSize val="0"/>
        </c:dLbls>
        <c:axId val="301387720"/>
        <c:axId val="301388112"/>
      </c:scatterChart>
      <c:valAx>
        <c:axId val="301387720"/>
        <c:scaling>
          <c:logBase val="10"/>
          <c:orientation val="minMax"/>
          <c:min val="10"/>
        </c:scaling>
        <c:delete val="0"/>
        <c:axPos val="b"/>
        <c:title>
          <c:tx>
            <c:rich>
              <a:bodyPr/>
              <a:lstStyle/>
              <a:p>
                <a:pPr>
                  <a:defRPr b="0"/>
                </a:pPr>
                <a:r>
                  <a:rPr lang="en-US" b="0"/>
                  <a:t>GPP</a:t>
                </a:r>
              </a:p>
            </c:rich>
          </c:tx>
          <c:layout>
            <c:manualLayout>
              <c:xMode val="edge"/>
              <c:yMode val="edge"/>
              <c:x val="0.52337035069420923"/>
              <c:y val="0.92440095017119439"/>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1388112"/>
        <c:crossesAt val="-500"/>
        <c:crossBetween val="midCat"/>
      </c:valAx>
      <c:valAx>
        <c:axId val="301388112"/>
        <c:scaling>
          <c:logBase val="10"/>
          <c:orientation val="minMax"/>
          <c:max val="100"/>
          <c:min val="0.1"/>
        </c:scaling>
        <c:delete val="0"/>
        <c:axPos val="l"/>
        <c:title>
          <c:tx>
            <c:rich>
              <a:bodyPr/>
              <a:lstStyle/>
              <a:p>
                <a:pPr>
                  <a:defRPr b="0"/>
                </a:pPr>
                <a:r>
                  <a:rPr lang="en-US" b="0"/>
                  <a:t>P:R</a:t>
                </a:r>
              </a:p>
            </c:rich>
          </c:tx>
          <c:layout>
            <c:manualLayout>
              <c:xMode val="edge"/>
              <c:yMode val="edge"/>
              <c:x val="3.5684570893569828E-2"/>
              <c:y val="0.37761418114369333"/>
            </c:manualLayout>
          </c:layout>
          <c:overlay val="0"/>
        </c:title>
        <c:numFmt formatCode="0" sourceLinked="0"/>
        <c:majorTickMark val="out"/>
        <c:minorTickMark val="none"/>
        <c:tickLblPos val="nextTo"/>
        <c:spPr>
          <a:ln w="6350">
            <a:solidFill>
              <a:sysClr val="windowText" lastClr="000000"/>
            </a:solidFill>
          </a:ln>
        </c:spPr>
        <c:crossAx val="301387720"/>
        <c:crosses val="autoZero"/>
        <c:crossBetween val="midCat"/>
      </c:valAx>
      <c:spPr>
        <a:ln>
          <a:solidFill>
            <a:sysClr val="windowText" lastClr="000000"/>
          </a:solidFill>
        </a:ln>
      </c:spPr>
    </c:plotArea>
    <c:legend>
      <c:legendPos val="r"/>
      <c:layout>
        <c:manualLayout>
          <c:xMode val="edge"/>
          <c:yMode val="edge"/>
          <c:x val="0.20006090676839047"/>
          <c:y val="3.4041006398101412E-2"/>
          <c:w val="0.23883433057015713"/>
          <c:h val="0.11281226622493319"/>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21569699620881"/>
          <c:y val="5.0925925925925923E-2"/>
          <c:w val="0.82114118547681536"/>
          <c:h val="0.83779308836395461"/>
        </c:manualLayout>
      </c:layout>
      <c:scatterChart>
        <c:scatterStyle val="lineMarker"/>
        <c:varyColors val="0"/>
        <c:ser>
          <c:idx val="1"/>
          <c:order val="0"/>
          <c:tx>
            <c:v>Respiration</c:v>
          </c:tx>
          <c:spPr>
            <a:ln w="25400">
              <a:noFill/>
            </a:ln>
          </c:spPr>
          <c:marker>
            <c:symbol val="circle"/>
            <c:size val="8"/>
            <c:spPr>
              <a:solidFill>
                <a:schemeClr val="bg1">
                  <a:lumMod val="75000"/>
                </a:schemeClr>
              </a:solidFill>
              <a:ln>
                <a:solidFill>
                  <a:sysClr val="windowText" lastClr="000000"/>
                </a:solidFill>
              </a:ln>
            </c:spPr>
          </c:marker>
          <c:dPt>
            <c:idx val="11"/>
            <c:bubble3D val="0"/>
            <c:extLst>
              <c:ext xmlns:c16="http://schemas.microsoft.com/office/drawing/2014/chart" uri="{C3380CC4-5D6E-409C-BE32-E72D297353CC}">
                <c16:uniqueId val="{00000000-9961-4F18-8B6E-6E755FCA3B28}"/>
              </c:ext>
            </c:extLst>
          </c:dPt>
          <c:xVal>
            <c:numRef>
              <c:f>'SP02'!$T$3:$T$176</c:f>
              <c:numCache>
                <c:formatCode>0.00</c:formatCode>
                <c:ptCount val="174"/>
                <c:pt idx="0">
                  <c:v>3.8844074074074078</c:v>
                </c:pt>
                <c:pt idx="1">
                  <c:v>2.7526354166666667</c:v>
                </c:pt>
                <c:pt idx="2">
                  <c:v>4.6893958333333332</c:v>
                </c:pt>
                <c:pt idx="3">
                  <c:v>3.0215937499999987</c:v>
                </c:pt>
                <c:pt idx="4">
                  <c:v>3.291254316675444</c:v>
                </c:pt>
                <c:pt idx="5">
                  <c:v>3.2067708333333349</c:v>
                </c:pt>
                <c:pt idx="6">
                  <c:v>3.61403125</c:v>
                </c:pt>
                <c:pt idx="7">
                  <c:v>5.8775081715083273</c:v>
                </c:pt>
                <c:pt idx="8">
                  <c:v>5.8902916666666663</c:v>
                </c:pt>
                <c:pt idx="9">
                  <c:v>4.0662812500000003</c:v>
                </c:pt>
                <c:pt idx="10">
                  <c:v>4.3979687500000004</c:v>
                </c:pt>
                <c:pt idx="11">
                  <c:v>2.7071874999999999</c:v>
                </c:pt>
                <c:pt idx="12">
                  <c:v>2.4733854166666669</c:v>
                </c:pt>
                <c:pt idx="13">
                  <c:v>5.1608020833333326</c:v>
                </c:pt>
                <c:pt idx="14">
                  <c:v>3.3057372799145308</c:v>
                </c:pt>
                <c:pt idx="15">
                  <c:v>2.57909574468085</c:v>
                </c:pt>
                <c:pt idx="16">
                  <c:v>1.6504166666666669</c:v>
                </c:pt>
                <c:pt idx="17">
                  <c:v>2.3636041666666663</c:v>
                </c:pt>
                <c:pt idx="18">
                  <c:v>3.6749895833333337</c:v>
                </c:pt>
                <c:pt idx="19">
                  <c:v>9.1973958333333332</c:v>
                </c:pt>
                <c:pt idx="20">
                  <c:v>6.6619479166666657</c:v>
                </c:pt>
                <c:pt idx="21">
                  <c:v>6.9679687499999998</c:v>
                </c:pt>
                <c:pt idx="22">
                  <c:v>5.8430937500000013</c:v>
                </c:pt>
                <c:pt idx="23">
                  <c:v>8.210927083333333</c:v>
                </c:pt>
                <c:pt idx="24">
                  <c:v>6.9755833333333328</c:v>
                </c:pt>
                <c:pt idx="25">
                  <c:v>4.8795208333333324</c:v>
                </c:pt>
                <c:pt idx="26">
                  <c:v>3.4183645833333323</c:v>
                </c:pt>
                <c:pt idx="27">
                  <c:v>2.5678749999999995</c:v>
                </c:pt>
                <c:pt idx="28">
                  <c:v>3.1036562500000002</c:v>
                </c:pt>
                <c:pt idx="29">
                  <c:v>2.9571041666666669</c:v>
                </c:pt>
                <c:pt idx="30">
                  <c:v>5.4935625000000021</c:v>
                </c:pt>
                <c:pt idx="31">
                  <c:v>3.7377812500000016</c:v>
                </c:pt>
                <c:pt idx="32">
                  <c:v>2.8496145833333326</c:v>
                </c:pt>
                <c:pt idx="33" formatCode="0.0">
                  <c:v>2.3703541666666665</c:v>
                </c:pt>
                <c:pt idx="34" formatCode="0.0">
                  <c:v>2.0551354166666669</c:v>
                </c:pt>
                <c:pt idx="35" formatCode="0.0">
                  <c:v>3.0997187499999996</c:v>
                </c:pt>
                <c:pt idx="36" formatCode="0.0">
                  <c:v>3.2242604166666671</c:v>
                </c:pt>
                <c:pt idx="37" formatCode="0.0">
                  <c:v>2.4204062499999996</c:v>
                </c:pt>
                <c:pt idx="38" formatCode="0.0">
                  <c:v>2.7182708333333334</c:v>
                </c:pt>
                <c:pt idx="39" formatCode="0.0">
                  <c:v>2.1486562500000006</c:v>
                </c:pt>
                <c:pt idx="40" formatCode="0.0">
                  <c:v>3.57765625</c:v>
                </c:pt>
                <c:pt idx="41" formatCode="0.0">
                  <c:v>4.4659583333333339</c:v>
                </c:pt>
                <c:pt idx="42" formatCode="0.0">
                  <c:v>6.0884791666666658</c:v>
                </c:pt>
                <c:pt idx="43" formatCode="0.0">
                  <c:v>2.6548958333333332</c:v>
                </c:pt>
                <c:pt idx="44" formatCode="0.0">
                  <c:v>2.3853958333333334</c:v>
                </c:pt>
                <c:pt idx="45" formatCode="0.0">
                  <c:v>2.0461249999999995</c:v>
                </c:pt>
                <c:pt idx="46" formatCode="0.0">
                  <c:v>2.5064583333333337</c:v>
                </c:pt>
                <c:pt idx="47" formatCode="0.0">
                  <c:v>3.4829374999999998</c:v>
                </c:pt>
                <c:pt idx="48" formatCode="0.0">
                  <c:v>3.7053333333333338</c:v>
                </c:pt>
                <c:pt idx="49" formatCode="0.0">
                  <c:v>3.0372499999999998</c:v>
                </c:pt>
                <c:pt idx="50" formatCode="0.0">
                  <c:v>2.1539687499999998</c:v>
                </c:pt>
                <c:pt idx="51" formatCode="0.0">
                  <c:v>2.8937395833333341</c:v>
                </c:pt>
                <c:pt idx="52" formatCode="0.0">
                  <c:v>1.9805520833333337</c:v>
                </c:pt>
                <c:pt idx="53" formatCode="0.0">
                  <c:v>2.2364583333333332</c:v>
                </c:pt>
                <c:pt idx="54" formatCode="0.0">
                  <c:v>2.8484687499999999</c:v>
                </c:pt>
                <c:pt idx="55" formatCode="0.0">
                  <c:v>4.5257708333333335</c:v>
                </c:pt>
                <c:pt idx="56" formatCode="0.0">
                  <c:v>4.9591458333333334</c:v>
                </c:pt>
                <c:pt idx="57" formatCode="0.0">
                  <c:v>3.0402916666666662</c:v>
                </c:pt>
                <c:pt idx="58" formatCode="0.0">
                  <c:v>4.2056041666666664</c:v>
                </c:pt>
                <c:pt idx="59" formatCode="0.0">
                  <c:v>2.7835984660332507</c:v>
                </c:pt>
                <c:pt idx="60" formatCode="0.0">
                  <c:v>4.1302109121095532</c:v>
                </c:pt>
                <c:pt idx="61" formatCode="0.0">
                  <c:v>3.7004495668709825</c:v>
                </c:pt>
                <c:pt idx="62" formatCode="0.0">
                  <c:v>5.9917657438394158</c:v>
                </c:pt>
                <c:pt idx="63" formatCode="0.0">
                  <c:v>3.7975365771727483</c:v>
                </c:pt>
                <c:pt idx="64" formatCode="0.0">
                  <c:v>3.02752679915548</c:v>
                </c:pt>
                <c:pt idx="65" formatCode="0.0">
                  <c:v>3.4650667156370658</c:v>
                </c:pt>
                <c:pt idx="66" formatCode="0.0">
                  <c:v>5.6774583333333313</c:v>
                </c:pt>
                <c:pt idx="67" formatCode="0.0">
                  <c:v>5.2605448827283041</c:v>
                </c:pt>
                <c:pt idx="68" formatCode="0.0">
                  <c:v>2.4476943097703727</c:v>
                </c:pt>
                <c:pt idx="69" formatCode="0.0">
                  <c:v>2.9979925733607051</c:v>
                </c:pt>
                <c:pt idx="70" formatCode="0.0">
                  <c:v>3.1531602624014763</c:v>
                </c:pt>
                <c:pt idx="71" formatCode="0.0">
                  <c:v>2.4789922660318564</c:v>
                </c:pt>
                <c:pt idx="72" formatCode="0.0">
                  <c:v>2.6547538253208969</c:v>
                </c:pt>
                <c:pt idx="73" formatCode="0.0">
                  <c:v>2.3557890343313019</c:v>
                </c:pt>
                <c:pt idx="74" formatCode="0.0">
                  <c:v>2.2268446586542305</c:v>
                </c:pt>
                <c:pt idx="75" formatCode="0.0">
                  <c:v>2.7704669949991003</c:v>
                </c:pt>
                <c:pt idx="76" formatCode="0.0">
                  <c:v>3.2746962279378526</c:v>
                </c:pt>
                <c:pt idx="77" formatCode="0.0">
                  <c:v>5.7801776925925941</c:v>
                </c:pt>
                <c:pt idx="78" formatCode="0.0">
                  <c:v>3.9260833333333331</c:v>
                </c:pt>
                <c:pt idx="79" formatCode="0.0">
                  <c:v>2.361196791769824</c:v>
                </c:pt>
                <c:pt idx="80" formatCode="0.0">
                  <c:v>3.8509657555986592</c:v>
                </c:pt>
                <c:pt idx="81" formatCode="0.0">
                  <c:v>2.2753541666666668</c:v>
                </c:pt>
                <c:pt idx="82" formatCode="0.0">
                  <c:v>4.6640000000000006</c:v>
                </c:pt>
                <c:pt idx="83" formatCode="0.0">
                  <c:v>4.0002500000000003</c:v>
                </c:pt>
                <c:pt idx="84" formatCode="0.0">
                  <c:v>3.0530312500000001</c:v>
                </c:pt>
                <c:pt idx="85" formatCode="0.0">
                  <c:v>2.9843541666666655</c:v>
                </c:pt>
                <c:pt idx="86" formatCode="0.0">
                  <c:v>2.1256145833333333</c:v>
                </c:pt>
                <c:pt idx="87" formatCode="0.0">
                  <c:v>1.782906249999999</c:v>
                </c:pt>
                <c:pt idx="88" formatCode="0.0">
                  <c:v>2.9096041666666661</c:v>
                </c:pt>
                <c:pt idx="89" formatCode="0.0">
                  <c:v>3.32859375</c:v>
                </c:pt>
                <c:pt idx="90" formatCode="0.0">
                  <c:v>3.8336145833333326</c:v>
                </c:pt>
                <c:pt idx="91" formatCode="0.0">
                  <c:v>3.1514166666666665</c:v>
                </c:pt>
                <c:pt idx="92" formatCode="0.0">
                  <c:v>2.9256041666666661</c:v>
                </c:pt>
                <c:pt idx="93" formatCode="0.0">
                  <c:v>2.5588854166666661</c:v>
                </c:pt>
                <c:pt idx="94" formatCode="0.0">
                  <c:v>5.5065729166666655</c:v>
                </c:pt>
                <c:pt idx="95" formatCode="0.0">
                  <c:v>5.7390833333333333</c:v>
                </c:pt>
                <c:pt idx="96" formatCode="0.0">
                  <c:v>3.428947916666667</c:v>
                </c:pt>
                <c:pt idx="97" formatCode="0.0">
                  <c:v>2.6367083333333343</c:v>
                </c:pt>
                <c:pt idx="98" formatCode="0.0">
                  <c:v>3.2115937499999991</c:v>
                </c:pt>
                <c:pt idx="99" formatCode="0.0">
                  <c:v>5.4990520833333356</c:v>
                </c:pt>
                <c:pt idx="100" formatCode="0.0">
                  <c:v>5.6922500000000014</c:v>
                </c:pt>
                <c:pt idx="101" formatCode="0.0">
                  <c:v>6.1766666666666667</c:v>
                </c:pt>
                <c:pt idx="102" formatCode="0.0">
                  <c:v>6.106343749999998</c:v>
                </c:pt>
                <c:pt idx="103" formatCode="0.0">
                  <c:v>5.5727812500000011</c:v>
                </c:pt>
                <c:pt idx="104" formatCode="0.0">
                  <c:v>4.3622187500000011</c:v>
                </c:pt>
                <c:pt idx="105" formatCode="0.0">
                  <c:v>4.0750000000000002</c:v>
                </c:pt>
                <c:pt idx="106" formatCode="0.0">
                  <c:v>3.1487708333333333</c:v>
                </c:pt>
                <c:pt idx="107" formatCode="0.0">
                  <c:v>3.5264479166666676</c:v>
                </c:pt>
                <c:pt idx="108" formatCode="0.0">
                  <c:v>1.5905833333333337</c:v>
                </c:pt>
                <c:pt idx="109" formatCode="0.0">
                  <c:v>3.0849479166666658</c:v>
                </c:pt>
                <c:pt idx="110" formatCode="0.0">
                  <c:v>3.8891458333333326</c:v>
                </c:pt>
                <c:pt idx="111" formatCode="0.0">
                  <c:v>3.0672187499999999</c:v>
                </c:pt>
                <c:pt idx="112" formatCode="0.0">
                  <c:v>3.0409375000000001</c:v>
                </c:pt>
                <c:pt idx="113" formatCode="0.0">
                  <c:v>4.1574062500000002</c:v>
                </c:pt>
                <c:pt idx="114" formatCode="0.0">
                  <c:v>3.598416666666667</c:v>
                </c:pt>
                <c:pt idx="115" formatCode="0.0">
                  <c:v>3.3765306122448973</c:v>
                </c:pt>
                <c:pt idx="116" formatCode="0.0">
                  <c:v>3.0964270833333329</c:v>
                </c:pt>
                <c:pt idx="117" formatCode="0.0">
                  <c:v>2.0601562499999999</c:v>
                </c:pt>
                <c:pt idx="118" formatCode="0.0">
                  <c:v>3.2002395833333339</c:v>
                </c:pt>
                <c:pt idx="119" formatCode="0.0">
                  <c:v>1.7062187499999995</c:v>
                </c:pt>
                <c:pt idx="120" formatCode="0.0">
                  <c:v>1.9639374999999994</c:v>
                </c:pt>
                <c:pt idx="121" formatCode="0.0">
                  <c:v>1.8129791666666666</c:v>
                </c:pt>
                <c:pt idx="122" formatCode="0.0">
                  <c:v>3.4065625000000002</c:v>
                </c:pt>
                <c:pt idx="123" formatCode="0.0">
                  <c:v>3.4992916666666667</c:v>
                </c:pt>
                <c:pt idx="124" formatCode="0.0">
                  <c:v>4.2322812499999989</c:v>
                </c:pt>
                <c:pt idx="125" formatCode="0.0">
                  <c:v>3.157802083333332</c:v>
                </c:pt>
                <c:pt idx="126" formatCode="0.0">
                  <c:v>3.7501979166666661</c:v>
                </c:pt>
                <c:pt idx="127" formatCode="0.0">
                  <c:v>5.2382395833333328</c:v>
                </c:pt>
                <c:pt idx="128" formatCode="0.0">
                  <c:v>3.3852708333333332</c:v>
                </c:pt>
                <c:pt idx="129" formatCode="0.0">
                  <c:v>2.3252916666666672</c:v>
                </c:pt>
                <c:pt idx="130" formatCode="0.0">
                  <c:v>3.4139270833333337</c:v>
                </c:pt>
                <c:pt idx="131" formatCode="0.0">
                  <c:v>3.5937395833333325</c:v>
                </c:pt>
                <c:pt idx="132" formatCode="0.0">
                  <c:v>3.2938645833333324</c:v>
                </c:pt>
                <c:pt idx="133" formatCode="0.0">
                  <c:v>2.8311250000000001</c:v>
                </c:pt>
                <c:pt idx="134" formatCode="0.0">
                  <c:v>3.1074479166666671</c:v>
                </c:pt>
                <c:pt idx="135" formatCode="0.0">
                  <c:v>5.5173958333333353</c:v>
                </c:pt>
                <c:pt idx="136" formatCode="0.0">
                  <c:v>4.09671875</c:v>
                </c:pt>
                <c:pt idx="137" formatCode="0.0">
                  <c:v>3.0168958333333333</c:v>
                </c:pt>
                <c:pt idx="138" formatCode="0.0">
                  <c:v>2.9609999999999999</c:v>
                </c:pt>
                <c:pt idx="139" formatCode="0.0">
                  <c:v>3.9991979166666685</c:v>
                </c:pt>
                <c:pt idx="140" formatCode="0.0">
                  <c:v>4.7580937499999996</c:v>
                </c:pt>
                <c:pt idx="141" formatCode="0.0">
                  <c:v>3.3914166666666681</c:v>
                </c:pt>
                <c:pt idx="142" formatCode="0.0">
                  <c:v>4.03609375</c:v>
                </c:pt>
                <c:pt idx="143" formatCode="0.0">
                  <c:v>3.8176562500000002</c:v>
                </c:pt>
                <c:pt idx="144" formatCode="0.0">
                  <c:v>2.8488125000000006</c:v>
                </c:pt>
                <c:pt idx="145" formatCode="0.0">
                  <c:v>2.2637187499999993</c:v>
                </c:pt>
                <c:pt idx="146" formatCode="0.0">
                  <c:v>2.4519791666666664</c:v>
                </c:pt>
                <c:pt idx="147" formatCode="0.0">
                  <c:v>2.6809687499999999</c:v>
                </c:pt>
                <c:pt idx="148" formatCode="0.0">
                  <c:v>2.0717604166666668</c:v>
                </c:pt>
                <c:pt idx="149" formatCode="0.0">
                  <c:v>2.3903333333333334</c:v>
                </c:pt>
                <c:pt idx="150" formatCode="0.0">
                  <c:v>2.7864479166666665</c:v>
                </c:pt>
                <c:pt idx="151" formatCode="0.0">
                  <c:v>4.1055937500000006</c:v>
                </c:pt>
                <c:pt idx="152" formatCode="0.0">
                  <c:v>3.3443437499999997</c:v>
                </c:pt>
                <c:pt idx="153" formatCode="0.0">
                  <c:v>2.7669791666666668</c:v>
                </c:pt>
                <c:pt idx="154" formatCode="0.0">
                  <c:v>4.0128437499999992</c:v>
                </c:pt>
                <c:pt idx="155" formatCode="0.0">
                  <c:v>4.3422291666666659</c:v>
                </c:pt>
                <c:pt idx="156" formatCode="0.0">
                  <c:v>2.1391770833333337</c:v>
                </c:pt>
                <c:pt idx="157" formatCode="0.0">
                  <c:v>3.1982499999999994</c:v>
                </c:pt>
                <c:pt idx="158" formatCode="0.0">
                  <c:v>4.3480729166666663</c:v>
                </c:pt>
                <c:pt idx="159" formatCode="0.0">
                  <c:v>6.2870104166666652</c:v>
                </c:pt>
                <c:pt idx="160" formatCode="0.0">
                  <c:v>3.7238124999999993</c:v>
                </c:pt>
                <c:pt idx="161" formatCode="0.0">
                  <c:v>3.1041979166666667</c:v>
                </c:pt>
                <c:pt idx="162" formatCode="0.0">
                  <c:v>3.6521145833333351</c:v>
                </c:pt>
                <c:pt idx="163" formatCode="0.0">
                  <c:v>4.9016979166666683</c:v>
                </c:pt>
                <c:pt idx="164" formatCode="0.0">
                  <c:v>3.3498958333333331</c:v>
                </c:pt>
                <c:pt idx="165" formatCode="0.0">
                  <c:v>3.1904270833333332</c:v>
                </c:pt>
                <c:pt idx="166" formatCode="0.0">
                  <c:v>2.5058775510204079</c:v>
                </c:pt>
                <c:pt idx="167" formatCode="0.0">
                  <c:v>4.091843749999998</c:v>
                </c:pt>
                <c:pt idx="168" formatCode="0.0">
                  <c:v>5.1130416666666667</c:v>
                </c:pt>
                <c:pt idx="169" formatCode="0.0">
                  <c:v>5.0225625000000003</c:v>
                </c:pt>
                <c:pt idx="170" formatCode="0.0">
                  <c:v>2.8088750000000005</c:v>
                </c:pt>
                <c:pt idx="171" formatCode="0.0">
                  <c:v>3.1225312500000002</c:v>
                </c:pt>
                <c:pt idx="172" formatCode="0.0">
                  <c:v>3.4169583333333331</c:v>
                </c:pt>
                <c:pt idx="173" formatCode="0.0">
                  <c:v>5.0761875000000005</c:v>
                </c:pt>
              </c:numCache>
            </c:numRef>
          </c:xVal>
          <c:yVal>
            <c:numRef>
              <c:f>'SP02'!$AH$3:$AH$176</c:f>
              <c:numCache>
                <c:formatCode>0.00</c:formatCode>
                <c:ptCount val="174"/>
                <c:pt idx="0">
                  <c:v>3.7202139999999999</c:v>
                </c:pt>
                <c:pt idx="1">
                  <c:v>2.899521</c:v>
                </c:pt>
                <c:pt idx="2">
                  <c:v>4.8886459999999996</c:v>
                </c:pt>
                <c:pt idx="3">
                  <c:v>3.1722709999999998</c:v>
                </c:pt>
                <c:pt idx="4">
                  <c:v>3.0150800000000002</c:v>
                </c:pt>
                <c:pt idx="5">
                  <c:v>3.1713300000000002</c:v>
                </c:pt>
                <c:pt idx="6">
                  <c:v>3.5094379999999998</c:v>
                </c:pt>
                <c:pt idx="7">
                  <c:v>5.1058940000000002</c:v>
                </c:pt>
                <c:pt idx="8">
                  <c:v>6.2934169999999998</c:v>
                </c:pt>
                <c:pt idx="9">
                  <c:v>4.116104</c:v>
                </c:pt>
                <c:pt idx="10">
                  <c:v>4.8101250000000002</c:v>
                </c:pt>
                <c:pt idx="11">
                  <c:v>3.3438750000000002</c:v>
                </c:pt>
                <c:pt idx="12">
                  <c:v>1.6358330000000001</c:v>
                </c:pt>
                <c:pt idx="13">
                  <c:v>4.840687</c:v>
                </c:pt>
                <c:pt idx="14">
                  <c:v>4.1500389999999996</c:v>
                </c:pt>
                <c:pt idx="15">
                  <c:v>2.7183329999999999</c:v>
                </c:pt>
                <c:pt idx="16">
                  <c:v>1.581917</c:v>
                </c:pt>
                <c:pt idx="17">
                  <c:v>2.3703539999999998</c:v>
                </c:pt>
                <c:pt idx="18">
                  <c:v>3.2462710000000001</c:v>
                </c:pt>
                <c:pt idx="19">
                  <c:v>7.5643960000000003</c:v>
                </c:pt>
                <c:pt idx="20">
                  <c:v>7.2947920000000002</c:v>
                </c:pt>
                <c:pt idx="21">
                  <c:v>6.1182499999999997</c:v>
                </c:pt>
                <c:pt idx="22">
                  <c:v>8.2313960000000002</c:v>
                </c:pt>
                <c:pt idx="23">
                  <c:v>7.029833</c:v>
                </c:pt>
                <c:pt idx="24">
                  <c:v>7.4815829999999997</c:v>
                </c:pt>
                <c:pt idx="25">
                  <c:v>5.3975629999999999</c:v>
                </c:pt>
                <c:pt idx="26">
                  <c:v>3.1301459999999999</c:v>
                </c:pt>
                <c:pt idx="27">
                  <c:v>2.651208</c:v>
                </c:pt>
                <c:pt idx="28">
                  <c:v>3.2996880000000002</c:v>
                </c:pt>
                <c:pt idx="29">
                  <c:v>2.3694169999999999</c:v>
                </c:pt>
                <c:pt idx="30">
                  <c:v>4.7656669999999997</c:v>
                </c:pt>
                <c:pt idx="31">
                  <c:v>4.9914170000000002</c:v>
                </c:pt>
                <c:pt idx="32">
                  <c:v>2.8013750000000002</c:v>
                </c:pt>
                <c:pt idx="33">
                  <c:v>2.3287079999999998</c:v>
                </c:pt>
                <c:pt idx="34">
                  <c:v>2.1404580000000002</c:v>
                </c:pt>
                <c:pt idx="35">
                  <c:v>2.466583</c:v>
                </c:pt>
                <c:pt idx="36">
                  <c:v>3.534583</c:v>
                </c:pt>
                <c:pt idx="37">
                  <c:v>2.7442709999999999</c:v>
                </c:pt>
                <c:pt idx="38">
                  <c:v>2.5617079999999999</c:v>
                </c:pt>
                <c:pt idx="39">
                  <c:v>2.3833959999999998</c:v>
                </c:pt>
                <c:pt idx="40">
                  <c:v>2.9189790000000002</c:v>
                </c:pt>
                <c:pt idx="41">
                  <c:v>4.451937</c:v>
                </c:pt>
                <c:pt idx="42">
                  <c:v>5.4042500000000002</c:v>
                </c:pt>
                <c:pt idx="43">
                  <c:v>4.320417</c:v>
                </c:pt>
                <c:pt idx="44">
                  <c:v>2.197854</c:v>
                </c:pt>
                <c:pt idx="45">
                  <c:v>1.9939370000000001</c:v>
                </c:pt>
                <c:pt idx="46">
                  <c:v>2.3910420000000001</c:v>
                </c:pt>
                <c:pt idx="47">
                  <c:v>3.2411880000000002</c:v>
                </c:pt>
                <c:pt idx="48">
                  <c:v>3.7436669999999999</c:v>
                </c:pt>
                <c:pt idx="49">
                  <c:v>3.2762709999999999</c:v>
                </c:pt>
                <c:pt idx="50">
                  <c:v>2.295042</c:v>
                </c:pt>
                <c:pt idx="51">
                  <c:v>2.7138960000000001</c:v>
                </c:pt>
                <c:pt idx="52">
                  <c:v>2.3724379999999998</c:v>
                </c:pt>
                <c:pt idx="53">
                  <c:v>1.8794169999999999</c:v>
                </c:pt>
                <c:pt idx="54">
                  <c:v>2.2806250000000001</c:v>
                </c:pt>
                <c:pt idx="55">
                  <c:v>4.6571249999999997</c:v>
                </c:pt>
                <c:pt idx="56">
                  <c:v>4.9258329999999999</c:v>
                </c:pt>
                <c:pt idx="57">
                  <c:v>2.8467920000000002</c:v>
                </c:pt>
                <c:pt idx="58">
                  <c:v>4.4096669999999998</c:v>
                </c:pt>
                <c:pt idx="59">
                  <c:v>3.1724600000000001</c:v>
                </c:pt>
                <c:pt idx="60">
                  <c:v>3.8299400000000001</c:v>
                </c:pt>
                <c:pt idx="61">
                  <c:v>4.0007200000000003</c:v>
                </c:pt>
                <c:pt idx="62">
                  <c:v>5.2652869999999998</c:v>
                </c:pt>
                <c:pt idx="63">
                  <c:v>4.2456199999999997</c:v>
                </c:pt>
                <c:pt idx="64">
                  <c:v>3.268281</c:v>
                </c:pt>
                <c:pt idx="65">
                  <c:v>2.9359609999999998</c:v>
                </c:pt>
                <c:pt idx="66">
                  <c:v>5.0936459999999997</c:v>
                </c:pt>
                <c:pt idx="67">
                  <c:v>6.4315420000000003</c:v>
                </c:pt>
                <c:pt idx="68">
                  <c:v>2.710423</c:v>
                </c:pt>
                <c:pt idx="69">
                  <c:v>2.714826</c:v>
                </c:pt>
                <c:pt idx="70">
                  <c:v>3.1531600000000002</c:v>
                </c:pt>
                <c:pt idx="71">
                  <c:v>2.475117</c:v>
                </c:pt>
                <c:pt idx="72">
                  <c:v>2.8045450000000001</c:v>
                </c:pt>
                <c:pt idx="73">
                  <c:v>2.2098719999999998</c:v>
                </c:pt>
                <c:pt idx="74">
                  <c:v>2.2411569999999998</c:v>
                </c:pt>
                <c:pt idx="75">
                  <c:v>2.756154</c:v>
                </c:pt>
                <c:pt idx="76">
                  <c:v>3.2746960000000001</c:v>
                </c:pt>
                <c:pt idx="77">
                  <c:v>4.790483</c:v>
                </c:pt>
                <c:pt idx="78">
                  <c:v>5.0547079999999998</c:v>
                </c:pt>
                <c:pt idx="79">
                  <c:v>2.323769</c:v>
                </c:pt>
                <c:pt idx="80">
                  <c:v>3.911924</c:v>
                </c:pt>
                <c:pt idx="81">
                  <c:v>1.952083</c:v>
                </c:pt>
                <c:pt idx="82">
                  <c:v>4.3449169999999997</c:v>
                </c:pt>
                <c:pt idx="83">
                  <c:v>3.9589370000000002</c:v>
                </c:pt>
                <c:pt idx="84">
                  <c:v>3.5373749999999999</c:v>
                </c:pt>
                <c:pt idx="85">
                  <c:v>3.2100209999999998</c:v>
                </c:pt>
                <c:pt idx="86">
                  <c:v>1.8146880000000001</c:v>
                </c:pt>
                <c:pt idx="87">
                  <c:v>2.2746879999999998</c:v>
                </c:pt>
                <c:pt idx="88">
                  <c:v>2.4886460000000001</c:v>
                </c:pt>
                <c:pt idx="89">
                  <c:v>3.1290209999999998</c:v>
                </c:pt>
                <c:pt idx="90">
                  <c:v>4.1867710000000002</c:v>
                </c:pt>
                <c:pt idx="91">
                  <c:v>2.9640209999999998</c:v>
                </c:pt>
                <c:pt idx="92">
                  <c:v>2.5702919999999998</c:v>
                </c:pt>
                <c:pt idx="93">
                  <c:v>3.1874380000000002</c:v>
                </c:pt>
                <c:pt idx="94">
                  <c:v>3.9957289999999999</c:v>
                </c:pt>
                <c:pt idx="95">
                  <c:v>6.3804379999999998</c:v>
                </c:pt>
                <c:pt idx="96">
                  <c:v>3.8943539999999999</c:v>
                </c:pt>
                <c:pt idx="97">
                  <c:v>2.7886869999999999</c:v>
                </c:pt>
                <c:pt idx="98">
                  <c:v>3.3527079999999998</c:v>
                </c:pt>
                <c:pt idx="99">
                  <c:v>4.6639379999999999</c:v>
                </c:pt>
                <c:pt idx="100">
                  <c:v>5.7056040000000001</c:v>
                </c:pt>
                <c:pt idx="101">
                  <c:v>5.998875</c:v>
                </c:pt>
                <c:pt idx="102">
                  <c:v>5.9307080000000001</c:v>
                </c:pt>
                <c:pt idx="103">
                  <c:v>6.2224170000000001</c:v>
                </c:pt>
                <c:pt idx="104">
                  <c:v>4.6510829999999999</c:v>
                </c:pt>
                <c:pt idx="105">
                  <c:v>3.6501869999999998</c:v>
                </c:pt>
                <c:pt idx="106">
                  <c:v>3.3814790000000001</c:v>
                </c:pt>
                <c:pt idx="107">
                  <c:v>3.7816040000000002</c:v>
                </c:pt>
                <c:pt idx="108">
                  <c:v>1.9661040000000001</c:v>
                </c:pt>
                <c:pt idx="109">
                  <c:v>2.4223750000000002</c:v>
                </c:pt>
                <c:pt idx="110">
                  <c:v>3.5685829999999998</c:v>
                </c:pt>
                <c:pt idx="111">
                  <c:v>3.9798960000000001</c:v>
                </c:pt>
                <c:pt idx="112">
                  <c:v>2.4691459999999998</c:v>
                </c:pt>
                <c:pt idx="113">
                  <c:v>3.9476040000000001</c:v>
                </c:pt>
                <c:pt idx="114">
                  <c:v>3.9378329999999999</c:v>
                </c:pt>
                <c:pt idx="115">
                  <c:v>3.651729</c:v>
                </c:pt>
                <c:pt idx="116">
                  <c:v>3.0103330000000001</c:v>
                </c:pt>
                <c:pt idx="117">
                  <c:v>2.3420000000000001</c:v>
                </c:pt>
                <c:pt idx="118">
                  <c:v>3.0640420000000002</c:v>
                </c:pt>
                <c:pt idx="119">
                  <c:v>1.8982289999999999</c:v>
                </c:pt>
                <c:pt idx="120">
                  <c:v>2.0131250000000001</c:v>
                </c:pt>
                <c:pt idx="121">
                  <c:v>1.816792</c:v>
                </c:pt>
                <c:pt idx="122">
                  <c:v>2.4383330000000001</c:v>
                </c:pt>
                <c:pt idx="123">
                  <c:v>4.213813</c:v>
                </c:pt>
                <c:pt idx="124">
                  <c:v>4.2518330000000004</c:v>
                </c:pt>
                <c:pt idx="125">
                  <c:v>3.0281039999999999</c:v>
                </c:pt>
                <c:pt idx="126">
                  <c:v>3.1330420000000001</c:v>
                </c:pt>
                <c:pt idx="127">
                  <c:v>4.540063</c:v>
                </c:pt>
                <c:pt idx="128">
                  <c:v>4.6361249999999998</c:v>
                </c:pt>
                <c:pt idx="129">
                  <c:v>2.2278129999999998</c:v>
                </c:pt>
                <c:pt idx="130">
                  <c:v>3.0793539999999999</c:v>
                </c:pt>
                <c:pt idx="131">
                  <c:v>3.7958750000000001</c:v>
                </c:pt>
                <c:pt idx="132">
                  <c:v>3.5695420000000002</c:v>
                </c:pt>
                <c:pt idx="133">
                  <c:v>2.6731880000000001</c:v>
                </c:pt>
                <c:pt idx="134">
                  <c:v>2.4690210000000001</c:v>
                </c:pt>
                <c:pt idx="135">
                  <c:v>5.135313</c:v>
                </c:pt>
                <c:pt idx="136">
                  <c:v>4.7839790000000004</c:v>
                </c:pt>
                <c:pt idx="137">
                  <c:v>3.1770420000000001</c:v>
                </c:pt>
                <c:pt idx="138">
                  <c:v>3.3358539999999999</c:v>
                </c:pt>
                <c:pt idx="139">
                  <c:v>3.3749790000000002</c:v>
                </c:pt>
                <c:pt idx="140">
                  <c:v>4.9439580000000003</c:v>
                </c:pt>
                <c:pt idx="141">
                  <c:v>4.1982499999999998</c:v>
                </c:pt>
                <c:pt idx="142">
                  <c:v>2.8919169999999998</c:v>
                </c:pt>
                <c:pt idx="143">
                  <c:v>4.0958540000000001</c:v>
                </c:pt>
                <c:pt idx="144">
                  <c:v>3.3008540000000002</c:v>
                </c:pt>
                <c:pt idx="145">
                  <c:v>2.4898539999999998</c:v>
                </c:pt>
                <c:pt idx="146">
                  <c:v>2.2183959999999998</c:v>
                </c:pt>
                <c:pt idx="147">
                  <c:v>2.5474380000000001</c:v>
                </c:pt>
                <c:pt idx="148">
                  <c:v>2.4630000000000001</c:v>
                </c:pt>
                <c:pt idx="149">
                  <c:v>2.283229</c:v>
                </c:pt>
                <c:pt idx="150">
                  <c:v>2.666042</c:v>
                </c:pt>
                <c:pt idx="151">
                  <c:v>3.4813329999999998</c:v>
                </c:pt>
                <c:pt idx="152">
                  <c:v>3.6297709999999999</c:v>
                </c:pt>
                <c:pt idx="153">
                  <c:v>3.186896</c:v>
                </c:pt>
                <c:pt idx="154">
                  <c:v>3.4217710000000001</c:v>
                </c:pt>
                <c:pt idx="155">
                  <c:v>4.2127499999999998</c:v>
                </c:pt>
                <c:pt idx="156">
                  <c:v>2.9398960000000001</c:v>
                </c:pt>
                <c:pt idx="157">
                  <c:v>2.718896</c:v>
                </c:pt>
                <c:pt idx="158">
                  <c:v>3.4024169999999998</c:v>
                </c:pt>
                <c:pt idx="159">
                  <c:v>6.2785419999999998</c:v>
                </c:pt>
                <c:pt idx="160">
                  <c:v>4.9218120000000001</c:v>
                </c:pt>
                <c:pt idx="161">
                  <c:v>2.6094580000000001</c:v>
                </c:pt>
                <c:pt idx="162">
                  <c:v>3.8734380000000002</c:v>
                </c:pt>
                <c:pt idx="163">
                  <c:v>4.8496670000000002</c:v>
                </c:pt>
                <c:pt idx="164">
                  <c:v>2.8697080000000001</c:v>
                </c:pt>
                <c:pt idx="165">
                  <c:v>4.4394580000000001</c:v>
                </c:pt>
                <c:pt idx="166">
                  <c:v>2.2131880000000002</c:v>
                </c:pt>
                <c:pt idx="167">
                  <c:v>3.058646</c:v>
                </c:pt>
                <c:pt idx="168">
                  <c:v>4.9978749999999996</c:v>
                </c:pt>
                <c:pt idx="169">
                  <c:v>4.9861040000000001</c:v>
                </c:pt>
                <c:pt idx="170">
                  <c:v>3.6594380000000002</c:v>
                </c:pt>
                <c:pt idx="171">
                  <c:v>2.6903329999999999</c:v>
                </c:pt>
                <c:pt idx="172">
                  <c:v>3.5944790000000002</c:v>
                </c:pt>
                <c:pt idx="173">
                  <c:v>5.0595210000000002</c:v>
                </c:pt>
              </c:numCache>
            </c:numRef>
          </c:yVal>
          <c:smooth val="0"/>
          <c:extLst>
            <c:ext xmlns:c16="http://schemas.microsoft.com/office/drawing/2014/chart" uri="{C3380CC4-5D6E-409C-BE32-E72D297353CC}">
              <c16:uniqueId val="{00000001-9961-4F18-8B6E-6E755FCA3B28}"/>
            </c:ext>
          </c:extLst>
        </c:ser>
        <c:dLbls>
          <c:showLegendKey val="0"/>
          <c:showVal val="0"/>
          <c:showCatName val="0"/>
          <c:showSerName val="0"/>
          <c:showPercent val="0"/>
          <c:showBubbleSize val="0"/>
        </c:dLbls>
        <c:axId val="301388896"/>
        <c:axId val="301389288"/>
      </c:scatterChart>
      <c:valAx>
        <c:axId val="301388896"/>
        <c:scaling>
          <c:orientation val="minMax"/>
        </c:scaling>
        <c:delete val="0"/>
        <c:axPos val="b"/>
        <c:numFmt formatCode="0.00" sourceLinked="1"/>
        <c:majorTickMark val="out"/>
        <c:minorTickMark val="none"/>
        <c:tickLblPos val="nextTo"/>
        <c:crossAx val="301389288"/>
        <c:crossesAt val="0"/>
        <c:crossBetween val="midCat"/>
      </c:valAx>
      <c:valAx>
        <c:axId val="301389288"/>
        <c:scaling>
          <c:orientation val="minMax"/>
        </c:scaling>
        <c:delete val="0"/>
        <c:axPos val="l"/>
        <c:numFmt formatCode="0" sourceLinked="0"/>
        <c:majorTickMark val="out"/>
        <c:minorTickMark val="none"/>
        <c:tickLblPos val="nextTo"/>
        <c:spPr>
          <a:ln w="6350">
            <a:solidFill>
              <a:sysClr val="windowText" lastClr="000000"/>
            </a:solidFill>
          </a:ln>
        </c:spPr>
        <c:crossAx val="301388896"/>
        <c:crosses val="autoZero"/>
        <c:crossBetween val="midCat"/>
      </c:val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1.8190459320569261E-2"/>
          <c:w val="0.76289020233673099"/>
          <c:h val="0.81210899458882468"/>
        </c:manualLayout>
      </c:layout>
      <c:scatterChart>
        <c:scatterStyle val="lineMarker"/>
        <c:varyColors val="0"/>
        <c:ser>
          <c:idx val="0"/>
          <c:order val="0"/>
          <c:tx>
            <c:v>Rt</c:v>
          </c:tx>
          <c:spPr>
            <a:ln w="28575">
              <a:noFill/>
            </a:ln>
          </c:spPr>
          <c:xVal>
            <c:numRef>
              <c:f>'SP02'!$AA$3:$AA$176</c:f>
              <c:numCache>
                <c:formatCode>General</c:formatCode>
                <c:ptCount val="174"/>
                <c:pt idx="3" formatCode="0.0">
                  <c:v>65.595675098904039</c:v>
                </c:pt>
                <c:pt idx="4" formatCode="0.0">
                  <c:v>60.777171987962014</c:v>
                </c:pt>
                <c:pt idx="5" formatCode="0.0">
                  <c:v>78.80581948185862</c:v>
                </c:pt>
                <c:pt idx="6" formatCode="0.0">
                  <c:v>110.58066216130408</c:v>
                </c:pt>
                <c:pt idx="7" formatCode="0.0">
                  <c:v>128.54600708952853</c:v>
                </c:pt>
                <c:pt idx="8" formatCode="0.0">
                  <c:v>136.05204734249904</c:v>
                </c:pt>
                <c:pt idx="9" formatCode="0.0">
                  <c:v>138.96631721149407</c:v>
                </c:pt>
                <c:pt idx="10" formatCode="0.0">
                  <c:v>132.2554428556428</c:v>
                </c:pt>
                <c:pt idx="11" formatCode="0.0">
                  <c:v>137.46513465049506</c:v>
                </c:pt>
                <c:pt idx="12" formatCode="0.0">
                  <c:v>107.3179130768829</c:v>
                </c:pt>
                <c:pt idx="13" formatCode="0.0">
                  <c:v>84.425674237419273</c:v>
                </c:pt>
                <c:pt idx="14" formatCode="0.0">
                  <c:v>64.109382611477983</c:v>
                </c:pt>
                <c:pt idx="15" formatCode="0.0">
                  <c:v>57.344151547424424</c:v>
                </c:pt>
                <c:pt idx="16" formatCode="0.0">
                  <c:v>54.76598551181803</c:v>
                </c:pt>
                <c:pt idx="17" formatCode="0.0">
                  <c:v>66.121909797625804</c:v>
                </c:pt>
                <c:pt idx="18" formatCode="0.0">
                  <c:v>70.360351934217164</c:v>
                </c:pt>
                <c:pt idx="19" formatCode="0.0">
                  <c:v>84.762990543245138</c:v>
                </c:pt>
                <c:pt idx="20" formatCode="0.0">
                  <c:v>93.123946355994661</c:v>
                </c:pt>
                <c:pt idx="21" formatCode="0.0">
                  <c:v>108.60719860036193</c:v>
                </c:pt>
                <c:pt idx="22" formatCode="0.0">
                  <c:v>96.516036676140601</c:v>
                </c:pt>
                <c:pt idx="23" formatCode="0.0">
                  <c:v>63.344379015930222</c:v>
                </c:pt>
                <c:pt idx="24" formatCode="0.0">
                  <c:v>55.005383374095437</c:v>
                </c:pt>
                <c:pt idx="25" formatCode="0.0">
                  <c:v>71.882057469254619</c:v>
                </c:pt>
                <c:pt idx="26" formatCode="0.0">
                  <c:v>72.161559157957299</c:v>
                </c:pt>
                <c:pt idx="27" formatCode="0.0">
                  <c:v>76.826437642482801</c:v>
                </c:pt>
                <c:pt idx="28" formatCode="0.0">
                  <c:v>58.362083147797343</c:v>
                </c:pt>
                <c:pt idx="29" formatCode="0.0">
                  <c:v>62.256777824782382</c:v>
                </c:pt>
                <c:pt idx="30" formatCode="0.0">
                  <c:v>98.378555256868779</c:v>
                </c:pt>
                <c:pt idx="31" formatCode="0.0">
                  <c:v>96.446863928541347</c:v>
                </c:pt>
                <c:pt idx="32" formatCode="0.0">
                  <c:v>73.178422515400285</c:v>
                </c:pt>
                <c:pt idx="33" formatCode="0.0">
                  <c:v>69.380487690942161</c:v>
                </c:pt>
                <c:pt idx="34" formatCode="0.0">
                  <c:v>65.211493462184777</c:v>
                </c:pt>
                <c:pt idx="35" formatCode="0.0">
                  <c:v>76.822191219612407</c:v>
                </c:pt>
                <c:pt idx="36" formatCode="0.0">
                  <c:v>92.200011205332501</c:v>
                </c:pt>
                <c:pt idx="37" formatCode="0.0">
                  <c:v>82.592672072112563</c:v>
                </c:pt>
                <c:pt idx="38" formatCode="0.0">
                  <c:v>87.325964258102204</c:v>
                </c:pt>
                <c:pt idx="39" formatCode="0.0">
                  <c:v>93.59055993437849</c:v>
                </c:pt>
                <c:pt idx="40" formatCode="0.0">
                  <c:v>86.930712708047153</c:v>
                </c:pt>
                <c:pt idx="41" formatCode="0.0">
                  <c:v>71.153388677437391</c:v>
                </c:pt>
                <c:pt idx="42" formatCode="0.0">
                  <c:v>91.015412201741682</c:v>
                </c:pt>
                <c:pt idx="43" formatCode="0.0">
                  <c:v>98.177866523578942</c:v>
                </c:pt>
                <c:pt idx="44" formatCode="0.0">
                  <c:v>116.31475555749249</c:v>
                </c:pt>
                <c:pt idx="45" formatCode="0.0">
                  <c:v>124.60355422632713</c:v>
                </c:pt>
                <c:pt idx="46" formatCode="0.0">
                  <c:v>122.84461972700667</c:v>
                </c:pt>
                <c:pt idx="47" formatCode="0.0">
                  <c:v>139.00770532415802</c:v>
                </c:pt>
                <c:pt idx="48" formatCode="0.0">
                  <c:v>154.26512330959335</c:v>
                </c:pt>
                <c:pt idx="49" formatCode="0.0">
                  <c:v>137.80810102148274</c:v>
                </c:pt>
                <c:pt idx="50" formatCode="0.0">
                  <c:v>110.38068423559537</c:v>
                </c:pt>
                <c:pt idx="51" formatCode="0.0">
                  <c:v>97.751386718505202</c:v>
                </c:pt>
                <c:pt idx="52" formatCode="0.0">
                  <c:v>81.553929791091988</c:v>
                </c:pt>
                <c:pt idx="53" formatCode="0.0">
                  <c:v>86.139992827774435</c:v>
                </c:pt>
                <c:pt idx="54" formatCode="0.0">
                  <c:v>74.5807067513107</c:v>
                </c:pt>
                <c:pt idx="55" formatCode="0.0">
                  <c:v>73.0578827918267</c:v>
                </c:pt>
                <c:pt idx="56" formatCode="0.0">
                  <c:v>63.738599975793996</c:v>
                </c:pt>
                <c:pt idx="57" formatCode="0.0">
                  <c:v>81.83055568005804</c:v>
                </c:pt>
                <c:pt idx="58" formatCode="0.0">
                  <c:v>88.9593922270072</c:v>
                </c:pt>
                <c:pt idx="59" formatCode="0.0">
                  <c:v>111.75858096633546</c:v>
                </c:pt>
                <c:pt idx="60" formatCode="0.0">
                  <c:v>104.12874022108385</c:v>
                </c:pt>
                <c:pt idx="61" formatCode="0.0">
                  <c:v>137.77682073760539</c:v>
                </c:pt>
                <c:pt idx="62" formatCode="0.0">
                  <c:v>141.15324115017054</c:v>
                </c:pt>
                <c:pt idx="63" formatCode="0.0">
                  <c:v>152.29336189641799</c:v>
                </c:pt>
                <c:pt idx="64" formatCode="0.0">
                  <c:v>158.87821886169104</c:v>
                </c:pt>
                <c:pt idx="65" formatCode="0.0">
                  <c:v>193.13317764159265</c:v>
                </c:pt>
                <c:pt idx="66" formatCode="0.0">
                  <c:v>225.92416175191684</c:v>
                </c:pt>
                <c:pt idx="67" formatCode="0.0">
                  <c:v>239.05841704855604</c:v>
                </c:pt>
                <c:pt idx="68" formatCode="0.0">
                  <c:v>220.42270880736595</c:v>
                </c:pt>
                <c:pt idx="69" formatCode="0.0">
                  <c:v>215.95806605798589</c:v>
                </c:pt>
                <c:pt idx="70" formatCode="0.0">
                  <c:v>211.68227810266234</c:v>
                </c:pt>
                <c:pt idx="71" formatCode="0.0">
                  <c:v>216.9905785768085</c:v>
                </c:pt>
                <c:pt idx="72" formatCode="0.0">
                  <c:v>192.67026135935836</c:v>
                </c:pt>
                <c:pt idx="73" formatCode="0.0">
                  <c:v>157.91324928195496</c:v>
                </c:pt>
                <c:pt idx="74" formatCode="0.0">
                  <c:v>151.48160643294185</c:v>
                </c:pt>
                <c:pt idx="75" formatCode="0.0">
                  <c:v>169.22437485077347</c:v>
                </c:pt>
                <c:pt idx="76" formatCode="0.0">
                  <c:v>179.96856836109646</c:v>
                </c:pt>
                <c:pt idx="77" formatCode="0.0">
                  <c:v>190.53706157063218</c:v>
                </c:pt>
                <c:pt idx="93" formatCode="0.0">
                  <c:v>217.94051340726486</c:v>
                </c:pt>
                <c:pt idx="94" formatCode="0.0">
                  <c:v>226.23354688040757</c:v>
                </c:pt>
                <c:pt idx="95" formatCode="0.0">
                  <c:v>213.58319056669006</c:v>
                </c:pt>
                <c:pt idx="96" formatCode="0.0">
                  <c:v>231.92010521341837</c:v>
                </c:pt>
                <c:pt idx="97" formatCode="0.0">
                  <c:v>236.49451339896314</c:v>
                </c:pt>
                <c:pt idx="98" formatCode="0.0">
                  <c:v>194.60652096866059</c:v>
                </c:pt>
                <c:pt idx="99" formatCode="0.0">
                  <c:v>198.39757520978631</c:v>
                </c:pt>
                <c:pt idx="100" formatCode="0.0">
                  <c:v>188.50516145598846</c:v>
                </c:pt>
                <c:pt idx="101" formatCode="0.0">
                  <c:v>200.94628415754161</c:v>
                </c:pt>
                <c:pt idx="102" formatCode="0.0">
                  <c:v>221.12209533523446</c:v>
                </c:pt>
                <c:pt idx="103" formatCode="0.0">
                  <c:v>214.6583760174006</c:v>
                </c:pt>
                <c:pt idx="104" formatCode="0.0">
                  <c:v>217.18018003162391</c:v>
                </c:pt>
                <c:pt idx="105" formatCode="0.0">
                  <c:v>255.35236175677042</c:v>
                </c:pt>
                <c:pt idx="106" formatCode="0.0">
                  <c:v>253.08591258869268</c:v>
                </c:pt>
                <c:pt idx="107" formatCode="0.0">
                  <c:v>257.644058403023</c:v>
                </c:pt>
                <c:pt idx="108" formatCode="0.0">
                  <c:v>237.12355039388802</c:v>
                </c:pt>
                <c:pt idx="109" formatCode="0.0">
                  <c:v>233.38971578071087</c:v>
                </c:pt>
                <c:pt idx="110" formatCode="0.0">
                  <c:v>252.01639673032909</c:v>
                </c:pt>
                <c:pt idx="111" formatCode="0.0">
                  <c:v>253.56038862274292</c:v>
                </c:pt>
                <c:pt idx="112" formatCode="0.0">
                  <c:v>253.20702021312738</c:v>
                </c:pt>
                <c:pt idx="113" formatCode="0.0">
                  <c:v>246.35302752925631</c:v>
                </c:pt>
                <c:pt idx="114" formatCode="0.0">
                  <c:v>224.57075546395919</c:v>
                </c:pt>
                <c:pt idx="115" formatCode="0.0">
                  <c:v>216.05260783840598</c:v>
                </c:pt>
                <c:pt idx="116" formatCode="0.0">
                  <c:v>228.19010099718258</c:v>
                </c:pt>
                <c:pt idx="117" formatCode="0.0">
                  <c:v>209.44159245115833</c:v>
                </c:pt>
                <c:pt idx="118" formatCode="0.0">
                  <c:v>201.27437371173167</c:v>
                </c:pt>
                <c:pt idx="119" formatCode="0.0">
                  <c:v>199.57862076197603</c:v>
                </c:pt>
                <c:pt idx="120" formatCode="0.0">
                  <c:v>212.64628830091868</c:v>
                </c:pt>
                <c:pt idx="121" formatCode="0.0">
                  <c:v>222.45223350215659</c:v>
                </c:pt>
                <c:pt idx="122" formatCode="0.0">
                  <c:v>259.15386239984326</c:v>
                </c:pt>
                <c:pt idx="123" formatCode="0.0">
                  <c:v>248.76948209873322</c:v>
                </c:pt>
                <c:pt idx="124" formatCode="0.0">
                  <c:v>243.90695014417057</c:v>
                </c:pt>
                <c:pt idx="125" formatCode="0.0">
                  <c:v>242.94156951519179</c:v>
                </c:pt>
                <c:pt idx="126" formatCode="0.0">
                  <c:v>233.61587836815639</c:v>
                </c:pt>
                <c:pt idx="127" formatCode="0.0">
                  <c:v>223.83856188574802</c:v>
                </c:pt>
                <c:pt idx="128" formatCode="0.0">
                  <c:v>247.9121120676422</c:v>
                </c:pt>
                <c:pt idx="129" formatCode="0.0">
                  <c:v>219.68859412925713</c:v>
                </c:pt>
                <c:pt idx="130" formatCode="0.0">
                  <c:v>219.71363729070282</c:v>
                </c:pt>
                <c:pt idx="131" formatCode="0.0">
                  <c:v>251.93187531407281</c:v>
                </c:pt>
                <c:pt idx="132" formatCode="0.0">
                  <c:v>266.59548973749128</c:v>
                </c:pt>
                <c:pt idx="133" formatCode="0.0">
                  <c:v>283.15831758761612</c:v>
                </c:pt>
                <c:pt idx="134" formatCode="0.0">
                  <c:v>304.81235159456116</c:v>
                </c:pt>
                <c:pt idx="135" formatCode="0.0">
                  <c:v>320.42708998177852</c:v>
                </c:pt>
                <c:pt idx="136" formatCode="0.0">
                  <c:v>388.81161829302215</c:v>
                </c:pt>
                <c:pt idx="137" formatCode="0.0">
                  <c:v>445.43921098337006</c:v>
                </c:pt>
                <c:pt idx="138" formatCode="0.0">
                  <c:v>398.03876913216743</c:v>
                </c:pt>
                <c:pt idx="139" formatCode="0.0">
                  <c:v>418.51176840956958</c:v>
                </c:pt>
                <c:pt idx="140" formatCode="0.0">
                  <c:v>463.8519663688453</c:v>
                </c:pt>
                <c:pt idx="141" formatCode="0.0">
                  <c:v>481.45029293301889</c:v>
                </c:pt>
                <c:pt idx="142" formatCode="0.0">
                  <c:v>484.06781075886238</c:v>
                </c:pt>
                <c:pt idx="143" formatCode="0.0">
                  <c:v>444.19003093625003</c:v>
                </c:pt>
                <c:pt idx="144" formatCode="0.0">
                  <c:v>400.02971900846944</c:v>
                </c:pt>
                <c:pt idx="145" formatCode="0.0">
                  <c:v>444.96950430095637</c:v>
                </c:pt>
                <c:pt idx="146" formatCode="0.0">
                  <c:v>463.80569438714127</c:v>
                </c:pt>
                <c:pt idx="147" formatCode="0.0">
                  <c:v>470.77904777382281</c:v>
                </c:pt>
                <c:pt idx="148" formatCode="0.0">
                  <c:v>466.36044182896711</c:v>
                </c:pt>
                <c:pt idx="149" formatCode="0.0">
                  <c:v>508.70811174237605</c:v>
                </c:pt>
                <c:pt idx="150" formatCode="0.0">
                  <c:v>504.87511737507583</c:v>
                </c:pt>
                <c:pt idx="151" formatCode="0.0">
                  <c:v>563.26449945276261</c:v>
                </c:pt>
                <c:pt idx="152" formatCode="0.0">
                  <c:v>553.82541740178624</c:v>
                </c:pt>
                <c:pt idx="153" formatCode="0.0">
                  <c:v>505.94502134265042</c:v>
                </c:pt>
                <c:pt idx="154" formatCode="0.0">
                  <c:v>445.22163138034085</c:v>
                </c:pt>
                <c:pt idx="155" formatCode="0.0">
                  <c:v>432.09215826964754</c:v>
                </c:pt>
                <c:pt idx="156" formatCode="0.0">
                  <c:v>346.32361886425969</c:v>
                </c:pt>
                <c:pt idx="157" formatCode="0.0">
                  <c:v>299.62792778641176</c:v>
                </c:pt>
                <c:pt idx="158" formatCode="0.0">
                  <c:v>245.47155414168986</c:v>
                </c:pt>
                <c:pt idx="159" formatCode="0.0">
                  <c:v>238.50130904946192</c:v>
                </c:pt>
                <c:pt idx="160" formatCode="0.0">
                  <c:v>242.91344509837614</c:v>
                </c:pt>
                <c:pt idx="161" formatCode="0.0">
                  <c:v>235.8528869429706</c:v>
                </c:pt>
                <c:pt idx="162" formatCode="0.0">
                  <c:v>203.14170382541212</c:v>
                </c:pt>
                <c:pt idx="163" formatCode="0.0">
                  <c:v>201.79827648049286</c:v>
                </c:pt>
                <c:pt idx="164" formatCode="0.0">
                  <c:v>226.66405294799742</c:v>
                </c:pt>
                <c:pt idx="165" formatCode="0.0">
                  <c:v>209.41655505841118</c:v>
                </c:pt>
                <c:pt idx="166" formatCode="0.0">
                  <c:v>204.16035135989475</c:v>
                </c:pt>
                <c:pt idx="167" formatCode="0.0">
                  <c:v>188.06273938697572</c:v>
                </c:pt>
                <c:pt idx="168" formatCode="0.0">
                  <c:v>186.56338368402365</c:v>
                </c:pt>
                <c:pt idx="169" formatCode="0.0">
                  <c:v>191.08584740316127</c:v>
                </c:pt>
                <c:pt idx="170" formatCode="0.0">
                  <c:v>177.29782924134477</c:v>
                </c:pt>
              </c:numCache>
            </c:numRef>
          </c:xVal>
          <c:yVal>
            <c:numRef>
              <c:f>'SP02'!$AT$3:$AT$176</c:f>
              <c:numCache>
                <c:formatCode>General</c:formatCode>
                <c:ptCount val="174"/>
                <c:pt idx="3" formatCode="0.0">
                  <c:v>60.235550499999995</c:v>
                </c:pt>
                <c:pt idx="4" formatCode="0.0">
                  <c:v>60.164564428571431</c:v>
                </c:pt>
                <c:pt idx="5" formatCode="0.0">
                  <c:v>72.317291428571437</c:v>
                </c:pt>
                <c:pt idx="6" formatCode="0.0">
                  <c:v>104.99564199999999</c:v>
                </c:pt>
                <c:pt idx="7" formatCode="0.0">
                  <c:v>125.95591857142858</c:v>
                </c:pt>
                <c:pt idx="8" formatCode="0.0">
                  <c:v>122.71889228571429</c:v>
                </c:pt>
                <c:pt idx="9" formatCode="0.0">
                  <c:v>129.40130914285714</c:v>
                </c:pt>
                <c:pt idx="10" formatCode="0.0">
                  <c:v>134.01440142857146</c:v>
                </c:pt>
                <c:pt idx="11" formatCode="0.0">
                  <c:v>134.88995057142859</c:v>
                </c:pt>
                <c:pt idx="12" formatCode="0.0">
                  <c:v>104.26525842857144</c:v>
                </c:pt>
                <c:pt idx="13" formatCode="0.0">
                  <c:v>83.257354571428579</c:v>
                </c:pt>
                <c:pt idx="14" formatCode="0.0">
                  <c:v>57.895794714285714</c:v>
                </c:pt>
                <c:pt idx="15" formatCode="0.0">
                  <c:v>58.688119999999991</c:v>
                </c:pt>
                <c:pt idx="16" formatCode="0.0">
                  <c:v>58.524010571428569</c:v>
                </c:pt>
                <c:pt idx="17" formatCode="0.0">
                  <c:v>57.719152285714287</c:v>
                </c:pt>
                <c:pt idx="18" formatCode="0.0">
                  <c:v>70.128888000000003</c:v>
                </c:pt>
                <c:pt idx="19" formatCode="0.0">
                  <c:v>92.307971428571435</c:v>
                </c:pt>
                <c:pt idx="20" formatCode="0.0">
                  <c:v>97.455428142857144</c:v>
                </c:pt>
                <c:pt idx="21" formatCode="0.0">
                  <c:v>109.46055542857142</c:v>
                </c:pt>
                <c:pt idx="22" formatCode="0.0">
                  <c:v>97.273197285714289</c:v>
                </c:pt>
                <c:pt idx="23" formatCode="0.0">
                  <c:v>81.608901571428561</c:v>
                </c:pt>
                <c:pt idx="24" formatCode="0.0">
                  <c:v>74.563986428571425</c:v>
                </c:pt>
                <c:pt idx="25" formatCode="0.0">
                  <c:v>59.664696428571418</c:v>
                </c:pt>
                <c:pt idx="26" formatCode="0.0">
                  <c:v>55.522137428571433</c:v>
                </c:pt>
                <c:pt idx="27" formatCode="0.0">
                  <c:v>55.450164999999991</c:v>
                </c:pt>
                <c:pt idx="28" formatCode="0.0">
                  <c:v>42.09061628571429</c:v>
                </c:pt>
                <c:pt idx="29" formatCode="0.0">
                  <c:v>44.968686142857145</c:v>
                </c:pt>
                <c:pt idx="30" formatCode="0.0">
                  <c:v>59.72822728571429</c:v>
                </c:pt>
                <c:pt idx="31" formatCode="0.0">
                  <c:v>56.46286514285714</c:v>
                </c:pt>
                <c:pt idx="32" formatCode="0.0">
                  <c:v>64.478722857142856</c:v>
                </c:pt>
                <c:pt idx="33" formatCode="0.0">
                  <c:v>61.199233714285711</c:v>
                </c:pt>
                <c:pt idx="34" formatCode="0.0">
                  <c:v>60.682414142857148</c:v>
                </c:pt>
                <c:pt idx="35" formatCode="0.0">
                  <c:v>73.972869714285707</c:v>
                </c:pt>
                <c:pt idx="36" formatCode="0.0">
                  <c:v>92.979590714285706</c:v>
                </c:pt>
                <c:pt idx="37" formatCode="0.0">
                  <c:v>82.334553571428586</c:v>
                </c:pt>
                <c:pt idx="38" formatCode="0.0">
                  <c:v>90.817906142857154</c:v>
                </c:pt>
                <c:pt idx="39" formatCode="0.0">
                  <c:v>91.037170857142854</c:v>
                </c:pt>
                <c:pt idx="40" formatCode="0.0">
                  <c:v>85.859851142857138</c:v>
                </c:pt>
                <c:pt idx="41" formatCode="0.0">
                  <c:v>84.02203885714286</c:v>
                </c:pt>
                <c:pt idx="42" formatCode="0.0">
                  <c:v>105.53184185714285</c:v>
                </c:pt>
                <c:pt idx="43" formatCode="0.0">
                  <c:v>107.14408757142857</c:v>
                </c:pt>
                <c:pt idx="44" formatCode="0.0">
                  <c:v>127.22167542857144</c:v>
                </c:pt>
                <c:pt idx="45" formatCode="0.0">
                  <c:v>137.815744</c:v>
                </c:pt>
                <c:pt idx="46" formatCode="0.0">
                  <c:v>139.9395782857143</c:v>
                </c:pt>
                <c:pt idx="47" formatCode="0.0">
                  <c:v>144.97922300000002</c:v>
                </c:pt>
                <c:pt idx="48" formatCode="0.0">
                  <c:v>149.78235085714286</c:v>
                </c:pt>
                <c:pt idx="49" formatCode="0.0">
                  <c:v>130.8397467142857</c:v>
                </c:pt>
                <c:pt idx="50" formatCode="0.0">
                  <c:v>105.78390457142856</c:v>
                </c:pt>
                <c:pt idx="51" formatCode="0.0">
                  <c:v>91.060153857142865</c:v>
                </c:pt>
                <c:pt idx="52" formatCode="0.0">
                  <c:v>79.782002571428578</c:v>
                </c:pt>
                <c:pt idx="53" formatCode="0.0">
                  <c:v>83.944914142857144</c:v>
                </c:pt>
                <c:pt idx="54" formatCode="0.0">
                  <c:v>88.270613714285716</c:v>
                </c:pt>
                <c:pt idx="55" formatCode="0.0">
                  <c:v>91.025256142857145</c:v>
                </c:pt>
                <c:pt idx="56" formatCode="0.0">
                  <c:v>90.445099714285703</c:v>
                </c:pt>
                <c:pt idx="57" formatCode="0.0">
                  <c:v>108.68168528571428</c:v>
                </c:pt>
                <c:pt idx="58" formatCode="0.0">
                  <c:v>124.80566057142856</c:v>
                </c:pt>
                <c:pt idx="59" formatCode="0.0">
                  <c:v>139.0451337142857</c:v>
                </c:pt>
                <c:pt idx="60" formatCode="0.0">
                  <c:v>136.95723957142857</c:v>
                </c:pt>
                <c:pt idx="61" formatCode="0.0">
                  <c:v>134.43629300000001</c:v>
                </c:pt>
                <c:pt idx="62" formatCode="0.0">
                  <c:v>132.53048928571431</c:v>
                </c:pt>
                <c:pt idx="63" formatCode="0.0">
                  <c:v>137.36540185714284</c:v>
                </c:pt>
                <c:pt idx="64" formatCode="0.0">
                  <c:v>139.15463842857145</c:v>
                </c:pt>
                <c:pt idx="65" formatCode="0.0">
                  <c:v>176.82272771428572</c:v>
                </c:pt>
                <c:pt idx="66" formatCode="0.0">
                  <c:v>189.94081399999999</c:v>
                </c:pt>
                <c:pt idx="67" formatCode="0.0">
                  <c:v>187.21607371428567</c:v>
                </c:pt>
                <c:pt idx="68" formatCode="0.0">
                  <c:v>179.25393500000001</c:v>
                </c:pt>
                <c:pt idx="69" formatCode="0.0">
                  <c:v>171.04888814285715</c:v>
                </c:pt>
                <c:pt idx="70" formatCode="0.0">
                  <c:v>169.46985799999999</c:v>
                </c:pt>
                <c:pt idx="71" formatCode="0.0">
                  <c:v>180.63791457142858</c:v>
                </c:pt>
                <c:pt idx="72" formatCode="0.0">
                  <c:v>148.32179585714286</c:v>
                </c:pt>
                <c:pt idx="73" formatCode="0.0">
                  <c:v>134.57984157142857</c:v>
                </c:pt>
                <c:pt idx="74" formatCode="0.0">
                  <c:v>137.47925014285713</c:v>
                </c:pt>
                <c:pt idx="75" formatCode="0.0">
                  <c:v>165.36118985714285</c:v>
                </c:pt>
                <c:pt idx="76" formatCode="0.0">
                  <c:v>159.75790471428573</c:v>
                </c:pt>
                <c:pt idx="77" formatCode="0.0">
                  <c:v>163.51543699999999</c:v>
                </c:pt>
                <c:pt idx="78" formatCode="0.0">
                  <c:v>156.81748766666666</c:v>
                </c:pt>
                <c:pt idx="93" formatCode="0.0">
                  <c:v>206.95649514285716</c:v>
                </c:pt>
                <c:pt idx="94" formatCode="0.0">
                  <c:v>226.84814914285712</c:v>
                </c:pt>
                <c:pt idx="95" formatCode="0.0">
                  <c:v>214.53136642857143</c:v>
                </c:pt>
                <c:pt idx="96" formatCode="0.0">
                  <c:v>231.36433942857144</c:v>
                </c:pt>
                <c:pt idx="97" formatCode="0.0">
                  <c:v>228.14571414285714</c:v>
                </c:pt>
                <c:pt idx="98" formatCode="0.0">
                  <c:v>210.43792285714287</c:v>
                </c:pt>
                <c:pt idx="99" formatCode="0.0">
                  <c:v>239.30395042857143</c:v>
                </c:pt>
                <c:pt idx="100" formatCode="0.0">
                  <c:v>237.34528671428572</c:v>
                </c:pt>
                <c:pt idx="101" formatCode="0.0">
                  <c:v>234.22196914285718</c:v>
                </c:pt>
                <c:pt idx="102" formatCode="0.0">
                  <c:v>257.69640714285714</c:v>
                </c:pt>
                <c:pt idx="103" formatCode="0.0">
                  <c:v>262.08434728571427</c:v>
                </c:pt>
                <c:pt idx="104" formatCode="0.0">
                  <c:v>271.18698499999999</c:v>
                </c:pt>
                <c:pt idx="105" formatCode="0.0">
                  <c:v>274.70860885714285</c:v>
                </c:pt>
                <c:pt idx="106" formatCode="0.0">
                  <c:v>246.19429457142857</c:v>
                </c:pt>
                <c:pt idx="107" formatCode="0.0">
                  <c:v>241.32223771428571</c:v>
                </c:pt>
                <c:pt idx="108" formatCode="0.0">
                  <c:v>235.58153542857144</c:v>
                </c:pt>
                <c:pt idx="109" formatCode="0.0">
                  <c:v>230.41352699999996</c:v>
                </c:pt>
                <c:pt idx="110" formatCode="0.0">
                  <c:v>238.36446171428571</c:v>
                </c:pt>
                <c:pt idx="111" formatCode="0.0">
                  <c:v>239.73068985714286</c:v>
                </c:pt>
                <c:pt idx="112" formatCode="0.0">
                  <c:v>259.79270685714283</c:v>
                </c:pt>
                <c:pt idx="113" formatCode="0.0">
                  <c:v>245.00815857142857</c:v>
                </c:pt>
                <c:pt idx="114" formatCode="0.0">
                  <c:v>237.0941161428571</c:v>
                </c:pt>
                <c:pt idx="115" formatCode="0.0">
                  <c:v>225.70106928571428</c:v>
                </c:pt>
                <c:pt idx="116" formatCode="0.0">
                  <c:v>238.30582485714285</c:v>
                </c:pt>
                <c:pt idx="117" formatCode="0.0">
                  <c:v>214.44984100000005</c:v>
                </c:pt>
                <c:pt idx="118" formatCode="0.0">
                  <c:v>202.88841057142855</c:v>
                </c:pt>
                <c:pt idx="119" formatCode="0.0">
                  <c:v>197.29016114285716</c:v>
                </c:pt>
                <c:pt idx="120" formatCode="0.0">
                  <c:v>231.72799914285719</c:v>
                </c:pt>
                <c:pt idx="121" formatCode="0.0">
                  <c:v>236.3330292857143</c:v>
                </c:pt>
                <c:pt idx="122" formatCode="0.0">
                  <c:v>251.07432485714284</c:v>
                </c:pt>
                <c:pt idx="123" formatCode="0.0">
                  <c:v>233.30304785714284</c:v>
                </c:pt>
                <c:pt idx="124" formatCode="0.0">
                  <c:v>220.08036899999996</c:v>
                </c:pt>
                <c:pt idx="125" formatCode="0.0">
                  <c:v>230.62977485714285</c:v>
                </c:pt>
                <c:pt idx="126" formatCode="0.0">
                  <c:v>225.86396185714287</c:v>
                </c:pt>
                <c:pt idx="127" formatCode="0.0">
                  <c:v>202.38207299999999</c:v>
                </c:pt>
                <c:pt idx="128" formatCode="0.0">
                  <c:v>212.13948685714286</c:v>
                </c:pt>
                <c:pt idx="129" formatCode="0.0">
                  <c:v>215.32675628571428</c:v>
                </c:pt>
                <c:pt idx="130" formatCode="0.0">
                  <c:v>218.55657357142857</c:v>
                </c:pt>
                <c:pt idx="131" formatCode="0.0">
                  <c:v>256.10896742857142</c:v>
                </c:pt>
                <c:pt idx="132" formatCode="0.0">
                  <c:v>253.74485085714286</c:v>
                </c:pt>
                <c:pt idx="133" formatCode="0.0">
                  <c:v>262.48615271428571</c:v>
                </c:pt>
                <c:pt idx="134" formatCode="0.0">
                  <c:v>282.46106800000001</c:v>
                </c:pt>
                <c:pt idx="135" formatCode="0.0">
                  <c:v>296.13279228571434</c:v>
                </c:pt>
                <c:pt idx="136" formatCode="0.0">
                  <c:v>333.50664814285716</c:v>
                </c:pt>
                <c:pt idx="137" formatCode="0.0">
                  <c:v>403.16193400000003</c:v>
                </c:pt>
                <c:pt idx="138" formatCode="0.0">
                  <c:v>400.05238985714288</c:v>
                </c:pt>
                <c:pt idx="139" formatCode="0.0">
                  <c:v>429.43587785714283</c:v>
                </c:pt>
                <c:pt idx="140" formatCode="0.0">
                  <c:v>486.51606828571431</c:v>
                </c:pt>
                <c:pt idx="141" formatCode="0.0">
                  <c:v>496.1297824285715</c:v>
                </c:pt>
                <c:pt idx="142" formatCode="0.0">
                  <c:v>501.42873057142862</c:v>
                </c:pt>
                <c:pt idx="143" formatCode="0.0">
                  <c:v>478.19255157142862</c:v>
                </c:pt>
                <c:pt idx="144" formatCode="0.0">
                  <c:v>424.37650057142861</c:v>
                </c:pt>
                <c:pt idx="145" formatCode="0.0">
                  <c:v>433.31265157142849</c:v>
                </c:pt>
                <c:pt idx="146" formatCode="0.0">
                  <c:v>460.68829814285709</c:v>
                </c:pt>
                <c:pt idx="147" formatCode="0.0">
                  <c:v>452.36755228571428</c:v>
                </c:pt>
                <c:pt idx="148" formatCode="0.0">
                  <c:v>460.19474471428578</c:v>
                </c:pt>
                <c:pt idx="149" formatCode="0.0">
                  <c:v>462.51007714285714</c:v>
                </c:pt>
                <c:pt idx="150" formatCode="0.0">
                  <c:v>482.19281128571436</c:v>
                </c:pt>
                <c:pt idx="151" formatCode="0.0">
                  <c:v>514.57793185714286</c:v>
                </c:pt>
                <c:pt idx="152" formatCode="0.0">
                  <c:v>520.98652728571426</c:v>
                </c:pt>
                <c:pt idx="153" formatCode="0.0">
                  <c:v>495.56091271428573</c:v>
                </c:pt>
                <c:pt idx="154" formatCode="0.0">
                  <c:v>438.76368771428577</c:v>
                </c:pt>
                <c:pt idx="155" formatCode="0.0">
                  <c:v>422.85079671428576</c:v>
                </c:pt>
                <c:pt idx="156" formatCode="0.0">
                  <c:v>368.31772000000001</c:v>
                </c:pt>
                <c:pt idx="157" formatCode="0.0">
                  <c:v>310.62058999999999</c:v>
                </c:pt>
                <c:pt idx="158" formatCode="0.0">
                  <c:v>284.07808985714286</c:v>
                </c:pt>
                <c:pt idx="159" formatCode="0.0">
                  <c:v>257.70900699999999</c:v>
                </c:pt>
                <c:pt idx="160" formatCode="0.0">
                  <c:v>215.39627885714282</c:v>
                </c:pt>
                <c:pt idx="161" formatCode="0.0">
                  <c:v>248.30949914285716</c:v>
                </c:pt>
                <c:pt idx="162" formatCode="0.0">
                  <c:v>230.27031928571429</c:v>
                </c:pt>
                <c:pt idx="163" formatCode="0.0">
                  <c:v>251.1154275714286</c:v>
                </c:pt>
                <c:pt idx="164" formatCode="0.0">
                  <c:v>273.70959557142857</c:v>
                </c:pt>
                <c:pt idx="165" formatCode="0.0">
                  <c:v>260.22816100000006</c:v>
                </c:pt>
                <c:pt idx="166" formatCode="0.0">
                  <c:v>252.92954671428575</c:v>
                </c:pt>
                <c:pt idx="167" formatCode="0.0">
                  <c:v>268.87348814285713</c:v>
                </c:pt>
                <c:pt idx="168" formatCode="0.0">
                  <c:v>229.92107742857141</c:v>
                </c:pt>
                <c:pt idx="169" formatCode="0.0">
                  <c:v>223.94188271428575</c:v>
                </c:pt>
                <c:pt idx="170" formatCode="0.0">
                  <c:v>196.50680857142859</c:v>
                </c:pt>
              </c:numCache>
            </c:numRef>
          </c:yVal>
          <c:smooth val="0"/>
          <c:extLst>
            <c:ext xmlns:c16="http://schemas.microsoft.com/office/drawing/2014/chart" uri="{C3380CC4-5D6E-409C-BE32-E72D297353CC}">
              <c16:uniqueId val="{00000000-A796-4ED4-9962-2E7535869F8A}"/>
            </c:ext>
          </c:extLst>
        </c:ser>
        <c:ser>
          <c:idx val="3"/>
          <c:order val="1"/>
          <c:tx>
            <c:v>Pg</c:v>
          </c:tx>
          <c:spPr>
            <a:ln w="28575">
              <a:noFill/>
            </a:ln>
          </c:spPr>
          <c:marker>
            <c:symbol val="circle"/>
            <c:size val="7"/>
            <c:spPr>
              <a:solidFill>
                <a:schemeClr val="tx1"/>
              </a:solidFill>
              <a:ln>
                <a:solidFill>
                  <a:schemeClr val="tx1"/>
                </a:solidFill>
              </a:ln>
            </c:spPr>
          </c:marker>
          <c:xVal>
            <c:numRef>
              <c:f>'SP02'!$X$3:$X$176</c:f>
              <c:numCache>
                <c:formatCode>0</c:formatCode>
                <c:ptCount val="174"/>
                <c:pt idx="3">
                  <c:v>58.153573129389841</c:v>
                </c:pt>
                <c:pt idx="4">
                  <c:v>51.923709020338165</c:v>
                </c:pt>
                <c:pt idx="5">
                  <c:v>77.293128023344025</c:v>
                </c:pt>
                <c:pt idx="6">
                  <c:v>133.74873112486415</c:v>
                </c:pt>
                <c:pt idx="7">
                  <c:v>145.57638362822786</c:v>
                </c:pt>
                <c:pt idx="8">
                  <c:v>152.64930689753609</c:v>
                </c:pt>
                <c:pt idx="9">
                  <c:v>140.93598300024678</c:v>
                </c:pt>
                <c:pt idx="10">
                  <c:v>147.43952306592428</c:v>
                </c:pt>
                <c:pt idx="11">
                  <c:v>155.81799486668152</c:v>
                </c:pt>
                <c:pt idx="12">
                  <c:v>111.51367558655606</c:v>
                </c:pt>
                <c:pt idx="13">
                  <c:v>71.602049261278282</c:v>
                </c:pt>
                <c:pt idx="14">
                  <c:v>50.103687872771779</c:v>
                </c:pt>
                <c:pt idx="15">
                  <c:v>29.604032745957284</c:v>
                </c:pt>
                <c:pt idx="16">
                  <c:v>32.904020552085967</c:v>
                </c:pt>
                <c:pt idx="17">
                  <c:v>37.904167484129971</c:v>
                </c:pt>
                <c:pt idx="18">
                  <c:v>42.556643358874453</c:v>
                </c:pt>
                <c:pt idx="19">
                  <c:v>71.379094450971692</c:v>
                </c:pt>
                <c:pt idx="20">
                  <c:v>82.532638773179272</c:v>
                </c:pt>
                <c:pt idx="21">
                  <c:v>94.640039904071187</c:v>
                </c:pt>
                <c:pt idx="22">
                  <c:v>96.364068660707034</c:v>
                </c:pt>
                <c:pt idx="23">
                  <c:v>79.212146736237983</c:v>
                </c:pt>
                <c:pt idx="24">
                  <c:v>60.495430291008695</c:v>
                </c:pt>
                <c:pt idx="25">
                  <c:v>65.657043384959763</c:v>
                </c:pt>
                <c:pt idx="26">
                  <c:v>62.413284061864225</c:v>
                </c:pt>
                <c:pt idx="27">
                  <c:v>72.139807120636249</c:v>
                </c:pt>
                <c:pt idx="28">
                  <c:v>67.594430840306302</c:v>
                </c:pt>
                <c:pt idx="29">
                  <c:v>71.424788005881553</c:v>
                </c:pt>
                <c:pt idx="30">
                  <c:v>92.78455626424433</c:v>
                </c:pt>
                <c:pt idx="31">
                  <c:v>94.485639168107156</c:v>
                </c:pt>
                <c:pt idx="32">
                  <c:v>77.5086937834227</c:v>
                </c:pt>
                <c:pt idx="33">
                  <c:v>64.979255388549703</c:v>
                </c:pt>
                <c:pt idx="34">
                  <c:v>54.851893169690371</c:v>
                </c:pt>
                <c:pt idx="35">
                  <c:v>60.249658949841482</c:v>
                </c:pt>
                <c:pt idx="36">
                  <c:v>69.576426494823224</c:v>
                </c:pt>
                <c:pt idx="37">
                  <c:v>68.092701361472606</c:v>
                </c:pt>
                <c:pt idx="38">
                  <c:v>73.486434531920509</c:v>
                </c:pt>
                <c:pt idx="39">
                  <c:v>80.203880271676212</c:v>
                </c:pt>
                <c:pt idx="40">
                  <c:v>82.74359978865445</c:v>
                </c:pt>
                <c:pt idx="41">
                  <c:v>73.393500543646809</c:v>
                </c:pt>
                <c:pt idx="42">
                  <c:v>84.267353464978854</c:v>
                </c:pt>
                <c:pt idx="43">
                  <c:v>88.808276347632997</c:v>
                </c:pt>
                <c:pt idx="44">
                  <c:v>104.0915221838428</c:v>
                </c:pt>
                <c:pt idx="45">
                  <c:v>119.88136934226405</c:v>
                </c:pt>
                <c:pt idx="46">
                  <c:v>124.48741859115289</c:v>
                </c:pt>
                <c:pt idx="47">
                  <c:v>139.05631564354292</c:v>
                </c:pt>
                <c:pt idx="48">
                  <c:v>148.87488459106075</c:v>
                </c:pt>
                <c:pt idx="49">
                  <c:v>137.81417200611628</c:v>
                </c:pt>
                <c:pt idx="50">
                  <c:v>112.08831691688668</c:v>
                </c:pt>
                <c:pt idx="51">
                  <c:v>97.078049421081616</c:v>
                </c:pt>
                <c:pt idx="52">
                  <c:v>83.806221149128277</c:v>
                </c:pt>
                <c:pt idx="53">
                  <c:v>81.064372720399206</c:v>
                </c:pt>
                <c:pt idx="54">
                  <c:v>65.50690214092414</c:v>
                </c:pt>
                <c:pt idx="55">
                  <c:v>59.761448778220071</c:v>
                </c:pt>
                <c:pt idx="56">
                  <c:v>60.679682370996474</c:v>
                </c:pt>
                <c:pt idx="57">
                  <c:v>85.704814074020618</c:v>
                </c:pt>
                <c:pt idx="58">
                  <c:v>93.623460667852754</c:v>
                </c:pt>
                <c:pt idx="59">
                  <c:v>103.78279458428418</c:v>
                </c:pt>
                <c:pt idx="60">
                  <c:v>105.06312887380707</c:v>
                </c:pt>
                <c:pt idx="61">
                  <c:v>141.68082966314222</c:v>
                </c:pt>
                <c:pt idx="62">
                  <c:v>149.39152870506589</c:v>
                </c:pt>
                <c:pt idx="63">
                  <c:v>149.78032215272771</c:v>
                </c:pt>
                <c:pt idx="64">
                  <c:v>150.81818977669712</c:v>
                </c:pt>
                <c:pt idx="65">
                  <c:v>191.67707649313022</c:v>
                </c:pt>
                <c:pt idx="66">
                  <c:v>226.07437167898303</c:v>
                </c:pt>
                <c:pt idx="67">
                  <c:v>243.86434693367758</c:v>
                </c:pt>
                <c:pt idx="68">
                  <c:v>225.02769944427669</c:v>
                </c:pt>
                <c:pt idx="69">
                  <c:v>216.79562092070654</c:v>
                </c:pt>
                <c:pt idx="70">
                  <c:v>218.66745827362408</c:v>
                </c:pt>
                <c:pt idx="71">
                  <c:v>226.15665753367784</c:v>
                </c:pt>
                <c:pt idx="72">
                  <c:v>194.05698894261249</c:v>
                </c:pt>
                <c:pt idx="73">
                  <c:v>156.62377127782159</c:v>
                </c:pt>
                <c:pt idx="74">
                  <c:v>141.49738812502741</c:v>
                </c:pt>
                <c:pt idx="75">
                  <c:v>148.73281136459704</c:v>
                </c:pt>
                <c:pt idx="76">
                  <c:v>179.97971042369724</c:v>
                </c:pt>
                <c:pt idx="77">
                  <c:v>184.46679898890156</c:v>
                </c:pt>
                <c:pt idx="93">
                  <c:v>216.27285732493829</c:v>
                </c:pt>
                <c:pt idx="94">
                  <c:v>230.14149189452183</c:v>
                </c:pt>
                <c:pt idx="95">
                  <c:v>200.16141294632311</c:v>
                </c:pt>
                <c:pt idx="96">
                  <c:v>211.57931673390922</c:v>
                </c:pt>
                <c:pt idx="97">
                  <c:v>205.98405507457375</c:v>
                </c:pt>
                <c:pt idx="98">
                  <c:v>175.3081396885878</c:v>
                </c:pt>
                <c:pt idx="99">
                  <c:v>181.69852966103943</c:v>
                </c:pt>
                <c:pt idx="100">
                  <c:v>179.51357484686579</c:v>
                </c:pt>
                <c:pt idx="101">
                  <c:v>193.47553342772443</c:v>
                </c:pt>
                <c:pt idx="102">
                  <c:v>236.03255624732711</c:v>
                </c:pt>
                <c:pt idx="103">
                  <c:v>228.41208469018065</c:v>
                </c:pt>
                <c:pt idx="104">
                  <c:v>238.57174677344983</c:v>
                </c:pt>
                <c:pt idx="105">
                  <c:v>282.53637929162034</c:v>
                </c:pt>
                <c:pt idx="106">
                  <c:v>280.38813821411412</c:v>
                </c:pt>
                <c:pt idx="107">
                  <c:v>264.14720069789325</c:v>
                </c:pt>
                <c:pt idx="108">
                  <c:v>238.17300082474216</c:v>
                </c:pt>
                <c:pt idx="109">
                  <c:v>229.04575661883342</c:v>
                </c:pt>
                <c:pt idx="110">
                  <c:v>246.54455853752629</c:v>
                </c:pt>
                <c:pt idx="111">
                  <c:v>247.54517007828443</c:v>
                </c:pt>
                <c:pt idx="112">
                  <c:v>237.17134261489863</c:v>
                </c:pt>
                <c:pt idx="113">
                  <c:v>233.45388623588931</c:v>
                </c:pt>
                <c:pt idx="114">
                  <c:v>222.68369105205193</c:v>
                </c:pt>
                <c:pt idx="115">
                  <c:v>215.90807584324168</c:v>
                </c:pt>
                <c:pt idx="116">
                  <c:v>219.73175234069504</c:v>
                </c:pt>
                <c:pt idx="117">
                  <c:v>221.74713139908505</c:v>
                </c:pt>
                <c:pt idx="118">
                  <c:v>209.85942368064698</c:v>
                </c:pt>
                <c:pt idx="119">
                  <c:v>209.29208427592357</c:v>
                </c:pt>
                <c:pt idx="120">
                  <c:v>209.20557247445794</c:v>
                </c:pt>
                <c:pt idx="121">
                  <c:v>217.73001556086822</c:v>
                </c:pt>
                <c:pt idx="122">
                  <c:v>248.88281851078847</c:v>
                </c:pt>
                <c:pt idx="123">
                  <c:v>246.54731089178421</c:v>
                </c:pt>
                <c:pt idx="124">
                  <c:v>236.47559271545111</c:v>
                </c:pt>
                <c:pt idx="125">
                  <c:v>244.09260784553203</c:v>
                </c:pt>
                <c:pt idx="126">
                  <c:v>259.48731962485402</c:v>
                </c:pt>
                <c:pt idx="127">
                  <c:v>250.05472295608547</c:v>
                </c:pt>
                <c:pt idx="128">
                  <c:v>262.91825347861277</c:v>
                </c:pt>
                <c:pt idx="129">
                  <c:v>241.09137223047099</c:v>
                </c:pt>
                <c:pt idx="130">
                  <c:v>221.53449019794638</c:v>
                </c:pt>
                <c:pt idx="131">
                  <c:v>241.64278737456149</c:v>
                </c:pt>
                <c:pt idx="132">
                  <c:v>265.29649981640506</c:v>
                </c:pt>
                <c:pt idx="133">
                  <c:v>270.37738879421215</c:v>
                </c:pt>
                <c:pt idx="134">
                  <c:v>313.08004925830301</c:v>
                </c:pt>
                <c:pt idx="135">
                  <c:v>335.75309080953173</c:v>
                </c:pt>
                <c:pt idx="136">
                  <c:v>400.64676774513561</c:v>
                </c:pt>
                <c:pt idx="137">
                  <c:v>456.65808823802502</c:v>
                </c:pt>
                <c:pt idx="138">
                  <c:v>448.18590956950442</c:v>
                </c:pt>
                <c:pt idx="139">
                  <c:v>448.17006236414142</c:v>
                </c:pt>
                <c:pt idx="140">
                  <c:v>480.99736996015497</c:v>
                </c:pt>
                <c:pt idx="141">
                  <c:v>494.98755140683943</c:v>
                </c:pt>
                <c:pt idx="142">
                  <c:v>517.04469191041767</c:v>
                </c:pt>
                <c:pt idx="143">
                  <c:v>490.86953053922343</c:v>
                </c:pt>
                <c:pt idx="144">
                  <c:v>465.74519929196418</c:v>
                </c:pt>
                <c:pt idx="145">
                  <c:v>473.69545286337274</c:v>
                </c:pt>
                <c:pt idx="146">
                  <c:v>481.45499716426446</c:v>
                </c:pt>
                <c:pt idx="147">
                  <c:v>496.0531360605425</c:v>
                </c:pt>
                <c:pt idx="148">
                  <c:v>451.94945660144731</c:v>
                </c:pt>
                <c:pt idx="149">
                  <c:v>473.30291883779608</c:v>
                </c:pt>
                <c:pt idx="150">
                  <c:v>449.62072539508165</c:v>
                </c:pt>
                <c:pt idx="151">
                  <c:v>478.24121136590139</c:v>
                </c:pt>
                <c:pt idx="152">
                  <c:v>493.13019025209906</c:v>
                </c:pt>
                <c:pt idx="153">
                  <c:v>476.65624018800366</c:v>
                </c:pt>
                <c:pt idx="154">
                  <c:v>401.16494895324473</c:v>
                </c:pt>
                <c:pt idx="155">
                  <c:v>416.38202788039797</c:v>
                </c:pt>
                <c:pt idx="156">
                  <c:v>332.02279980670602</c:v>
                </c:pt>
                <c:pt idx="157">
                  <c:v>297.03049554533169</c:v>
                </c:pt>
                <c:pt idx="158">
                  <c:v>257.28217291047866</c:v>
                </c:pt>
                <c:pt idx="159">
                  <c:v>238.53451757733896</c:v>
                </c:pt>
                <c:pt idx="160">
                  <c:v>219.46324999988059</c:v>
                </c:pt>
                <c:pt idx="161">
                  <c:v>219.53906735200499</c:v>
                </c:pt>
                <c:pt idx="162">
                  <c:v>184.98029788145968</c:v>
                </c:pt>
                <c:pt idx="163">
                  <c:v>194.79453385002898</c:v>
                </c:pt>
                <c:pt idx="164">
                  <c:v>213.77424395378551</c:v>
                </c:pt>
                <c:pt idx="165">
                  <c:v>216.64056521782348</c:v>
                </c:pt>
                <c:pt idx="166">
                  <c:v>204.45435567895589</c:v>
                </c:pt>
                <c:pt idx="167">
                  <c:v>199.84521208924022</c:v>
                </c:pt>
                <c:pt idx="168">
                  <c:v>197.31038456373011</c:v>
                </c:pt>
                <c:pt idx="169">
                  <c:v>208.18521850268812</c:v>
                </c:pt>
                <c:pt idx="170">
                  <c:v>184.69015083278777</c:v>
                </c:pt>
              </c:numCache>
            </c:numRef>
          </c:xVal>
          <c:yVal>
            <c:numRef>
              <c:f>'SP02'!$AS$3:$AS$176</c:f>
              <c:numCache>
                <c:formatCode>General</c:formatCode>
                <c:ptCount val="174"/>
                <c:pt idx="3" formatCode="0.0">
                  <c:v>54.229530266666671</c:v>
                </c:pt>
                <c:pt idx="4" formatCode="0.0">
                  <c:v>50.597843371428574</c:v>
                </c:pt>
                <c:pt idx="5" formatCode="0.0">
                  <c:v>74.245697314285707</c:v>
                </c:pt>
                <c:pt idx="6" formatCode="0.0">
                  <c:v>126.52204884285713</c:v>
                </c:pt>
                <c:pt idx="7" formatCode="0.0">
                  <c:v>140.88982655714284</c:v>
                </c:pt>
                <c:pt idx="8" formatCode="0.0">
                  <c:v>135.69329422857143</c:v>
                </c:pt>
                <c:pt idx="9" formatCode="0.0">
                  <c:v>129.32462268571427</c:v>
                </c:pt>
                <c:pt idx="10" formatCode="0.0">
                  <c:v>141.85694378571429</c:v>
                </c:pt>
                <c:pt idx="11" formatCode="0.0">
                  <c:v>146.98331131428571</c:v>
                </c:pt>
                <c:pt idx="12" formatCode="0.0">
                  <c:v>103.51306264285714</c:v>
                </c:pt>
                <c:pt idx="13" formatCode="0.0">
                  <c:v>68.886307128571417</c:v>
                </c:pt>
                <c:pt idx="14" formatCode="0.0">
                  <c:v>42.597427142857143</c:v>
                </c:pt>
                <c:pt idx="15" formatCode="0.0">
                  <c:v>30.084346342857149</c:v>
                </c:pt>
                <c:pt idx="16" formatCode="0.0">
                  <c:v>34.921368814285714</c:v>
                </c:pt>
                <c:pt idx="17" formatCode="0.0">
                  <c:v>33.622041299999999</c:v>
                </c:pt>
                <c:pt idx="18" formatCode="0.0">
                  <c:v>44.855359657142856</c:v>
                </c:pt>
                <c:pt idx="19" formatCode="0.0">
                  <c:v>78.304756557142852</c:v>
                </c:pt>
                <c:pt idx="20" formatCode="0.0">
                  <c:v>89.017068114285706</c:v>
                </c:pt>
                <c:pt idx="21" formatCode="0.0">
                  <c:v>98.702664185714283</c:v>
                </c:pt>
                <c:pt idx="22" formatCode="0.0">
                  <c:v>98.557352585714284</c:v>
                </c:pt>
                <c:pt idx="23" formatCode="0.0">
                  <c:v>89.290527342857146</c:v>
                </c:pt>
                <c:pt idx="24" formatCode="0.0">
                  <c:v>81.122970999999993</c:v>
                </c:pt>
                <c:pt idx="25" formatCode="0.0">
                  <c:v>61.834859914285701</c:v>
                </c:pt>
                <c:pt idx="26" formatCode="0.0">
                  <c:v>46.371266500000004</c:v>
                </c:pt>
                <c:pt idx="27" formatCode="0.0">
                  <c:v>49.680230914285708</c:v>
                </c:pt>
                <c:pt idx="28" formatCode="0.0">
                  <c:v>49.372941628571418</c:v>
                </c:pt>
                <c:pt idx="29" formatCode="0.0">
                  <c:v>54.689704157142856</c:v>
                </c:pt>
                <c:pt idx="30" formatCode="0.0">
                  <c:v>63.95953458571428</c:v>
                </c:pt>
                <c:pt idx="31" formatCode="0.0">
                  <c:v>54.586901785714289</c:v>
                </c:pt>
                <c:pt idx="32" formatCode="0.0">
                  <c:v>62.218257342857143</c:v>
                </c:pt>
                <c:pt idx="33" formatCode="0.0">
                  <c:v>57.824844371428576</c:v>
                </c:pt>
                <c:pt idx="34" formatCode="0.0">
                  <c:v>52.037949314285711</c:v>
                </c:pt>
                <c:pt idx="35" formatCode="0.0">
                  <c:v>58.092151828571424</c:v>
                </c:pt>
                <c:pt idx="36" formatCode="0.0">
                  <c:v>70.270280814285712</c:v>
                </c:pt>
                <c:pt idx="37" formatCode="0.0">
                  <c:v>69.148140342857133</c:v>
                </c:pt>
                <c:pt idx="38" formatCode="0.0">
                  <c:v>76.736411914285711</c:v>
                </c:pt>
                <c:pt idx="39" formatCode="0.0">
                  <c:v>79.076616971428578</c:v>
                </c:pt>
                <c:pt idx="40" formatCode="0.0">
                  <c:v>82.427075171428569</c:v>
                </c:pt>
                <c:pt idx="41" formatCode="0.0">
                  <c:v>85.404962585714287</c:v>
                </c:pt>
                <c:pt idx="42" formatCode="0.0">
                  <c:v>100.91584335714286</c:v>
                </c:pt>
                <c:pt idx="43" formatCode="0.0">
                  <c:v>99.426041414285706</c:v>
                </c:pt>
                <c:pt idx="44" formatCode="0.0">
                  <c:v>116.89204601428571</c:v>
                </c:pt>
                <c:pt idx="45" formatCode="0.0">
                  <c:v>134.38884825714285</c:v>
                </c:pt>
                <c:pt idx="46" formatCode="0.0">
                  <c:v>141.32422278571428</c:v>
                </c:pt>
                <c:pt idx="47" formatCode="0.0">
                  <c:v>144.35849432857142</c:v>
                </c:pt>
                <c:pt idx="48" formatCode="0.0">
                  <c:v>143.83763872857142</c:v>
                </c:pt>
                <c:pt idx="49" formatCode="0.0">
                  <c:v>128.31983281428569</c:v>
                </c:pt>
                <c:pt idx="50" formatCode="0.0">
                  <c:v>104.97314181428571</c:v>
                </c:pt>
                <c:pt idx="51" formatCode="0.0">
                  <c:v>88.307772542857137</c:v>
                </c:pt>
                <c:pt idx="52" formatCode="0.0">
                  <c:v>75.544480728571429</c:v>
                </c:pt>
                <c:pt idx="53" formatCode="0.0">
                  <c:v>76.949470000000005</c:v>
                </c:pt>
                <c:pt idx="54" formatCode="0.0">
                  <c:v>76.83876321428572</c:v>
                </c:pt>
                <c:pt idx="55" formatCode="0.0">
                  <c:v>76.370225014285737</c:v>
                </c:pt>
                <c:pt idx="56" formatCode="0.0">
                  <c:v>86.12914121428571</c:v>
                </c:pt>
                <c:pt idx="57" formatCode="0.0">
                  <c:v>113.45189551428572</c:v>
                </c:pt>
                <c:pt idx="58" formatCode="0.0">
                  <c:v>128.1406006857143</c:v>
                </c:pt>
                <c:pt idx="59" formatCode="0.0">
                  <c:v>137.16386939999998</c:v>
                </c:pt>
                <c:pt idx="60" formatCode="0.0">
                  <c:v>137.86191830000001</c:v>
                </c:pt>
                <c:pt idx="61" formatCode="0.0">
                  <c:v>140.5150031</c:v>
                </c:pt>
                <c:pt idx="62" formatCode="0.0">
                  <c:v>144.42999660000001</c:v>
                </c:pt>
                <c:pt idx="63" formatCode="0.0">
                  <c:v>137.72021841428571</c:v>
                </c:pt>
                <c:pt idx="64" formatCode="0.0">
                  <c:v>132.41002681428569</c:v>
                </c:pt>
                <c:pt idx="65" formatCode="0.0">
                  <c:v>176.86327595714286</c:v>
                </c:pt>
                <c:pt idx="66" formatCode="0.0">
                  <c:v>201.19809701428571</c:v>
                </c:pt>
                <c:pt idx="67" formatCode="0.0">
                  <c:v>201.18084732857142</c:v>
                </c:pt>
                <c:pt idx="68" formatCode="0.0">
                  <c:v>187.32417887142853</c:v>
                </c:pt>
                <c:pt idx="69" formatCode="0.0">
                  <c:v>175.49854122857138</c:v>
                </c:pt>
                <c:pt idx="70" formatCode="0.0">
                  <c:v>176.02835182857143</c:v>
                </c:pt>
                <c:pt idx="71" formatCode="0.0">
                  <c:v>190.4759178857143</c:v>
                </c:pt>
                <c:pt idx="72" formatCode="0.0">
                  <c:v>152.06970577142857</c:v>
                </c:pt>
                <c:pt idx="73" formatCode="0.0">
                  <c:v>126.47924394285714</c:v>
                </c:pt>
                <c:pt idx="74" formatCode="0.0">
                  <c:v>124.33362841428571</c:v>
                </c:pt>
                <c:pt idx="75" formatCode="0.0">
                  <c:v>147.90396179999999</c:v>
                </c:pt>
                <c:pt idx="76" formatCode="0.0">
                  <c:v>158.28020561428571</c:v>
                </c:pt>
                <c:pt idx="77" formatCode="0.0">
                  <c:v>161.97880658571427</c:v>
                </c:pt>
                <c:pt idx="78" formatCode="0.0">
                  <c:v>153.16939493333334</c:v>
                </c:pt>
                <c:pt idx="93" formatCode="0.0">
                  <c:v>209.6510075857143</c:v>
                </c:pt>
                <c:pt idx="94" formatCode="0.0">
                  <c:v>231.64924587142858</c:v>
                </c:pt>
                <c:pt idx="95" formatCode="0.0">
                  <c:v>202.73485328571428</c:v>
                </c:pt>
                <c:pt idx="96" formatCode="0.0">
                  <c:v>214.10116918571427</c:v>
                </c:pt>
                <c:pt idx="97" formatCode="0.0">
                  <c:v>200.82830032857143</c:v>
                </c:pt>
                <c:pt idx="98" formatCode="0.0">
                  <c:v>186.10034824285717</c:v>
                </c:pt>
                <c:pt idx="99" formatCode="0.0">
                  <c:v>218.8796097</c:v>
                </c:pt>
                <c:pt idx="100" formatCode="0.0">
                  <c:v>223.23681664285715</c:v>
                </c:pt>
                <c:pt idx="101" formatCode="0.0">
                  <c:v>230.2140958</c:v>
                </c:pt>
                <c:pt idx="102" formatCode="0.0">
                  <c:v>268.08006515714288</c:v>
                </c:pt>
                <c:pt idx="103" formatCode="0.0">
                  <c:v>268.65295427142854</c:v>
                </c:pt>
                <c:pt idx="104" formatCode="0.0">
                  <c:v>287.77720227142856</c:v>
                </c:pt>
                <c:pt idx="105" formatCode="0.0">
                  <c:v>303.39691740000001</c:v>
                </c:pt>
                <c:pt idx="106" formatCode="0.0">
                  <c:v>274.29594638571427</c:v>
                </c:pt>
                <c:pt idx="107" formatCode="0.0">
                  <c:v>247.64867165714281</c:v>
                </c:pt>
                <c:pt idx="108" formatCode="0.0">
                  <c:v>227.44586069999997</c:v>
                </c:pt>
                <c:pt idx="109" formatCode="0.0">
                  <c:v>225.64309950000001</c:v>
                </c:pt>
                <c:pt idx="110" formatCode="0.0">
                  <c:v>235.14350322857143</c:v>
                </c:pt>
                <c:pt idx="111" formatCode="0.0">
                  <c:v>233.39812400000002</c:v>
                </c:pt>
                <c:pt idx="112" formatCode="0.0">
                  <c:v>244.28122807142856</c:v>
                </c:pt>
                <c:pt idx="113" formatCode="0.0">
                  <c:v>233.3154242</c:v>
                </c:pt>
                <c:pt idx="114" formatCode="0.0">
                  <c:v>230.83487540000002</c:v>
                </c:pt>
                <c:pt idx="115" formatCode="0.0">
                  <c:v>226.1390132857143</c:v>
                </c:pt>
                <c:pt idx="116" formatCode="0.0">
                  <c:v>231.29410690000003</c:v>
                </c:pt>
                <c:pt idx="117" formatCode="0.0">
                  <c:v>220.67647411428575</c:v>
                </c:pt>
                <c:pt idx="118" formatCode="0.0">
                  <c:v>207.89586032857144</c:v>
                </c:pt>
                <c:pt idx="119" formatCode="0.0">
                  <c:v>201.24907457142857</c:v>
                </c:pt>
                <c:pt idx="120" formatCode="0.0">
                  <c:v>216.27253755714284</c:v>
                </c:pt>
                <c:pt idx="121" formatCode="0.0">
                  <c:v>231.0649795285714</c:v>
                </c:pt>
                <c:pt idx="122" formatCode="0.0">
                  <c:v>247.59608742857139</c:v>
                </c:pt>
                <c:pt idx="123" formatCode="0.0">
                  <c:v>227.09991945714287</c:v>
                </c:pt>
                <c:pt idx="124" formatCode="0.0">
                  <c:v>210.99828795714282</c:v>
                </c:pt>
                <c:pt idx="125" formatCode="0.0">
                  <c:v>228.94485512857142</c:v>
                </c:pt>
                <c:pt idx="126" formatCode="0.0">
                  <c:v>254.51257794285715</c:v>
                </c:pt>
                <c:pt idx="127" formatCode="0.0">
                  <c:v>236.66594319999999</c:v>
                </c:pt>
                <c:pt idx="128" formatCode="0.0">
                  <c:v>230.82255657142858</c:v>
                </c:pt>
                <c:pt idx="129" formatCode="0.0">
                  <c:v>226.34841118571427</c:v>
                </c:pt>
                <c:pt idx="130" formatCode="0.0">
                  <c:v>221.7970800285714</c:v>
                </c:pt>
                <c:pt idx="131" formatCode="0.0">
                  <c:v>255.02877904285717</c:v>
                </c:pt>
                <c:pt idx="132" formatCode="0.0">
                  <c:v>259.19703657142855</c:v>
                </c:pt>
                <c:pt idx="133" formatCode="0.0">
                  <c:v>251.08715562857142</c:v>
                </c:pt>
                <c:pt idx="134" formatCode="0.0">
                  <c:v>290.79197988571428</c:v>
                </c:pt>
                <c:pt idx="135" formatCode="0.0">
                  <c:v>312.36383438571426</c:v>
                </c:pt>
                <c:pt idx="136" formatCode="0.0">
                  <c:v>353.36023239999997</c:v>
                </c:pt>
                <c:pt idx="137" formatCode="0.0">
                  <c:v>414.85829572857148</c:v>
                </c:pt>
                <c:pt idx="138" formatCode="0.0">
                  <c:v>448.9126584857143</c:v>
                </c:pt>
                <c:pt idx="139" formatCode="0.0">
                  <c:v>458.56545881428571</c:v>
                </c:pt>
                <c:pt idx="140" formatCode="0.0">
                  <c:v>507.54942664285721</c:v>
                </c:pt>
                <c:pt idx="141" formatCode="0.0">
                  <c:v>514.7687069857144</c:v>
                </c:pt>
                <c:pt idx="142" formatCode="0.0">
                  <c:v>542.95369148571433</c:v>
                </c:pt>
                <c:pt idx="143" formatCode="0.0">
                  <c:v>523.52158418571435</c:v>
                </c:pt>
                <c:pt idx="144" formatCode="0.0">
                  <c:v>494.12599658571429</c:v>
                </c:pt>
                <c:pt idx="145" formatCode="0.0">
                  <c:v>466.47651710000002</c:v>
                </c:pt>
                <c:pt idx="146" formatCode="0.0">
                  <c:v>484.44461422857148</c:v>
                </c:pt>
                <c:pt idx="147" formatCode="0.0">
                  <c:v>482.6935134142858</c:v>
                </c:pt>
                <c:pt idx="148" formatCode="0.0">
                  <c:v>448.85066080000013</c:v>
                </c:pt>
                <c:pt idx="149" formatCode="0.0">
                  <c:v>429.05423827142857</c:v>
                </c:pt>
                <c:pt idx="150" formatCode="0.0">
                  <c:v>434.75529351428571</c:v>
                </c:pt>
                <c:pt idx="151" formatCode="0.0">
                  <c:v>452.95854805714282</c:v>
                </c:pt>
                <c:pt idx="152" formatCode="0.0">
                  <c:v>463.16405754285705</c:v>
                </c:pt>
                <c:pt idx="153" formatCode="0.0">
                  <c:v>469.58577055714289</c:v>
                </c:pt>
                <c:pt idx="154" formatCode="0.0">
                  <c:v>395.00845554285712</c:v>
                </c:pt>
                <c:pt idx="155" formatCode="0.0">
                  <c:v>409.18559141428574</c:v>
                </c:pt>
                <c:pt idx="156" formatCode="0.0">
                  <c:v>354.53932644285715</c:v>
                </c:pt>
                <c:pt idx="157" formatCode="0.0">
                  <c:v>307.22367345714287</c:v>
                </c:pt>
                <c:pt idx="158" formatCode="0.0">
                  <c:v>278.7482713</c:v>
                </c:pt>
                <c:pt idx="159" formatCode="0.0">
                  <c:v>259.67451877142855</c:v>
                </c:pt>
                <c:pt idx="160" formatCode="0.0">
                  <c:v>192.55080289999998</c:v>
                </c:pt>
                <c:pt idx="161" formatCode="0.0">
                  <c:v>229.55884407142852</c:v>
                </c:pt>
                <c:pt idx="162" formatCode="0.0">
                  <c:v>206.4835966857143</c:v>
                </c:pt>
                <c:pt idx="163" formatCode="0.0">
                  <c:v>240.75094915714288</c:v>
                </c:pt>
                <c:pt idx="164" formatCode="0.0">
                  <c:v>256.72377051428572</c:v>
                </c:pt>
                <c:pt idx="165" formatCode="0.0">
                  <c:v>259.85551858571432</c:v>
                </c:pt>
                <c:pt idx="166" formatCode="0.0">
                  <c:v>252.26920832857144</c:v>
                </c:pt>
                <c:pt idx="167" formatCode="0.0">
                  <c:v>268.82908317142858</c:v>
                </c:pt>
                <c:pt idx="168" formatCode="0.0">
                  <c:v>239.95359321428572</c:v>
                </c:pt>
                <c:pt idx="169" formatCode="0.0">
                  <c:v>241.86685908571425</c:v>
                </c:pt>
                <c:pt idx="170" formatCode="0.0">
                  <c:v>201.38279578571428</c:v>
                </c:pt>
              </c:numCache>
            </c:numRef>
          </c:yVal>
          <c:smooth val="0"/>
          <c:extLst>
            <c:ext xmlns:c16="http://schemas.microsoft.com/office/drawing/2014/chart" uri="{C3380CC4-5D6E-409C-BE32-E72D297353CC}">
              <c16:uniqueId val="{00000000-0DC3-49A7-85CE-151CF954553B}"/>
            </c:ext>
          </c:extLst>
        </c:ser>
        <c:dLbls>
          <c:showLegendKey val="0"/>
          <c:showVal val="0"/>
          <c:showCatName val="0"/>
          <c:showSerName val="0"/>
          <c:showPercent val="0"/>
          <c:showBubbleSize val="0"/>
        </c:dLbls>
        <c:axId val="301805784"/>
        <c:axId val="301806176"/>
      </c:scatterChart>
      <c:valAx>
        <c:axId val="301805784"/>
        <c:scaling>
          <c:orientation val="minMax"/>
        </c:scaling>
        <c:delete val="0"/>
        <c:axPos val="b"/>
        <c:title>
          <c:tx>
            <c:rich>
              <a:bodyPr/>
              <a:lstStyle/>
              <a:p>
                <a:pPr>
                  <a:defRPr b="0"/>
                </a:pPr>
                <a:r>
                  <a:rPr lang="en-US" b="0"/>
                  <a:t>Matlab</a:t>
                </a:r>
              </a:p>
            </c:rich>
          </c:tx>
          <c:layout>
            <c:manualLayout>
              <c:xMode val="edge"/>
              <c:yMode val="edge"/>
              <c:x val="0.52337035069420923"/>
              <c:y val="0.92440095017119439"/>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1806176"/>
        <c:crossesAt val="-500"/>
        <c:crossBetween val="midCat"/>
      </c:valAx>
      <c:valAx>
        <c:axId val="301806176"/>
        <c:scaling>
          <c:orientation val="minMax"/>
          <c:max val="600"/>
          <c:min val="0"/>
        </c:scaling>
        <c:delete val="0"/>
        <c:axPos val="l"/>
        <c:title>
          <c:tx>
            <c:rich>
              <a:bodyPr/>
              <a:lstStyle/>
              <a:p>
                <a:pPr>
                  <a:defRPr b="0"/>
                </a:pPr>
                <a:r>
                  <a:rPr lang="en-US" b="0"/>
                  <a:t>R version</a:t>
                </a:r>
              </a:p>
            </c:rich>
          </c:tx>
          <c:layout>
            <c:manualLayout>
              <c:xMode val="edge"/>
              <c:yMode val="edge"/>
              <c:x val="3.5684570893569828E-2"/>
              <c:y val="0.37761418114369333"/>
            </c:manualLayout>
          </c:layout>
          <c:overlay val="0"/>
        </c:title>
        <c:numFmt formatCode="General" sourceLinked="1"/>
        <c:majorTickMark val="out"/>
        <c:minorTickMark val="none"/>
        <c:tickLblPos val="nextTo"/>
        <c:spPr>
          <a:ln w="6350">
            <a:solidFill>
              <a:sysClr val="windowText" lastClr="000000"/>
            </a:solidFill>
          </a:ln>
        </c:spPr>
        <c:crossAx val="301805784"/>
        <c:crosses val="autoZero"/>
        <c:crossBetween val="midCat"/>
      </c:valAx>
      <c:spPr>
        <a:ln>
          <a:solidFill>
            <a:sysClr val="windowText" lastClr="000000"/>
          </a:solidFill>
        </a:ln>
      </c:spPr>
    </c:plotArea>
    <c:legend>
      <c:legendPos val="r"/>
      <c:layout>
        <c:manualLayout>
          <c:xMode val="edge"/>
          <c:yMode val="edge"/>
          <c:x val="0.20006090676839047"/>
          <c:y val="3.4041006398101412E-2"/>
          <c:w val="0.1697106625036289"/>
          <c:h val="0.11664896342377093"/>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66672227649834"/>
          <c:y val="6.1111152554763785E-2"/>
          <c:w val="0.70333361952051665"/>
          <c:h val="0.69722269505662349"/>
        </c:manualLayout>
      </c:layout>
      <c:scatterChart>
        <c:scatterStyle val="lineMarker"/>
        <c:varyColors val="0"/>
        <c:ser>
          <c:idx val="0"/>
          <c:order val="0"/>
          <c:tx>
            <c:v>Shoal1</c:v>
          </c:tx>
          <c:spPr>
            <a:ln w="28575">
              <a:noFill/>
            </a:ln>
          </c:spPr>
          <c:marker>
            <c:symbol val="circle"/>
            <c:size val="5"/>
            <c:spPr>
              <a:solidFill>
                <a:srgbClr val="FFFFFF"/>
              </a:solidFill>
              <a:ln>
                <a:solidFill>
                  <a:srgbClr val="000000"/>
                </a:solidFill>
                <a:prstDash val="solid"/>
              </a:ln>
            </c:spPr>
          </c:marker>
          <c:xVal>
            <c:numRef>
              <c:f>FDOM_v_Sal!$D$3:$D$83</c:f>
              <c:numCache>
                <c:formatCode>0.00</c:formatCode>
                <c:ptCount val="81"/>
                <c:pt idx="0">
                  <c:v>16.978687696170738</c:v>
                </c:pt>
                <c:pt idx="1">
                  <c:v>15.944847457627118</c:v>
                </c:pt>
                <c:pt idx="2">
                  <c:v>15.062862994350285</c:v>
                </c:pt>
                <c:pt idx="3">
                  <c:v>15.602390713276831</c:v>
                </c:pt>
                <c:pt idx="4">
                  <c:v>15.079151836158189</c:v>
                </c:pt>
                <c:pt idx="5">
                  <c:v>15.636722281073453</c:v>
                </c:pt>
                <c:pt idx="6">
                  <c:v>15.205149011299442</c:v>
                </c:pt>
                <c:pt idx="7">
                  <c:v>16.300857168079094</c:v>
                </c:pt>
                <c:pt idx="8">
                  <c:v>17.121345692090397</c:v>
                </c:pt>
                <c:pt idx="9">
                  <c:v>18.510155543785316</c:v>
                </c:pt>
                <c:pt idx="10">
                  <c:v>20.474858050847459</c:v>
                </c:pt>
                <c:pt idx="11">
                  <c:v>25.134566913841809</c:v>
                </c:pt>
                <c:pt idx="12">
                  <c:v>22.97193396892655</c:v>
                </c:pt>
                <c:pt idx="13">
                  <c:v>19.657340042372891</c:v>
                </c:pt>
                <c:pt idx="14">
                  <c:v>26.885162782485882</c:v>
                </c:pt>
                <c:pt idx="15">
                  <c:v>22.038764514965738</c:v>
                </c:pt>
                <c:pt idx="16">
                  <c:v>19.078468749999995</c:v>
                </c:pt>
                <c:pt idx="17">
                  <c:v>16.897520480225989</c:v>
                </c:pt>
                <c:pt idx="18">
                  <c:v>15.743362111581925</c:v>
                </c:pt>
                <c:pt idx="19">
                  <c:v>13.048155896892657</c:v>
                </c:pt>
                <c:pt idx="20">
                  <c:v>13.375208686440685</c:v>
                </c:pt>
                <c:pt idx="21">
                  <c:v>16.665166313559322</c:v>
                </c:pt>
                <c:pt idx="22">
                  <c:v>19.635106638418076</c:v>
                </c:pt>
                <c:pt idx="23">
                  <c:v>19.428061440677961</c:v>
                </c:pt>
                <c:pt idx="24">
                  <c:v>18.527721751412439</c:v>
                </c:pt>
                <c:pt idx="25">
                  <c:v>17.452755296610167</c:v>
                </c:pt>
                <c:pt idx="26">
                  <c:v>16.66449556137874</c:v>
                </c:pt>
                <c:pt idx="27">
                  <c:v>17.105841820027386</c:v>
                </c:pt>
                <c:pt idx="28">
                  <c:v>16.716005826271186</c:v>
                </c:pt>
                <c:pt idx="29">
                  <c:v>15.739791666666662</c:v>
                </c:pt>
                <c:pt idx="30">
                  <c:v>14.572978460451976</c:v>
                </c:pt>
                <c:pt idx="31">
                  <c:v>16.131154484463281</c:v>
                </c:pt>
                <c:pt idx="32">
                  <c:v>18.063752648305087</c:v>
                </c:pt>
                <c:pt idx="33">
                  <c:v>16.060657988992794</c:v>
                </c:pt>
                <c:pt idx="34">
                  <c:v>14.80262199858757</c:v>
                </c:pt>
                <c:pt idx="35">
                  <c:v>14.083356059127501</c:v>
                </c:pt>
                <c:pt idx="36">
                  <c:v>12.097104862701306</c:v>
                </c:pt>
                <c:pt idx="37">
                  <c:v>11.308570380832814</c:v>
                </c:pt>
                <c:pt idx="38">
                  <c:v>10.496460318402949</c:v>
                </c:pt>
                <c:pt idx="39">
                  <c:v>11.035966440849938</c:v>
                </c:pt>
                <c:pt idx="40">
                  <c:v>11.514361405368449</c:v>
                </c:pt>
                <c:pt idx="41">
                  <c:v>11.786222442392138</c:v>
                </c:pt>
                <c:pt idx="42">
                  <c:v>11.773352048022602</c:v>
                </c:pt>
                <c:pt idx="43">
                  <c:v>11.658921061553629</c:v>
                </c:pt>
                <c:pt idx="44">
                  <c:v>11.239142133546409</c:v>
                </c:pt>
                <c:pt idx="45">
                  <c:v>11.779439977324438</c:v>
                </c:pt>
                <c:pt idx="46">
                  <c:v>10.500445373768537</c:v>
                </c:pt>
                <c:pt idx="47">
                  <c:v>10.008929201977397</c:v>
                </c:pt>
                <c:pt idx="48">
                  <c:v>10.023328213276836</c:v>
                </c:pt>
                <c:pt idx="49">
                  <c:v>10.406097281073448</c:v>
                </c:pt>
                <c:pt idx="50">
                  <c:v>11.332889120758439</c:v>
                </c:pt>
                <c:pt idx="51">
                  <c:v>11.865699278869569</c:v>
                </c:pt>
                <c:pt idx="52">
                  <c:v>11.990935739415336</c:v>
                </c:pt>
                <c:pt idx="53">
                  <c:v>11.477708018011723</c:v>
                </c:pt>
                <c:pt idx="54">
                  <c:v>10.698709930475333</c:v>
                </c:pt>
                <c:pt idx="55">
                  <c:v>9.345753884180791</c:v>
                </c:pt>
                <c:pt idx="56">
                  <c:v>11.74245374293786</c:v>
                </c:pt>
                <c:pt idx="57">
                  <c:v>11.425020955249749</c:v>
                </c:pt>
                <c:pt idx="58">
                  <c:v>11.17993467514124</c:v>
                </c:pt>
                <c:pt idx="59">
                  <c:v>11.681879766949153</c:v>
                </c:pt>
                <c:pt idx="60">
                  <c:v>12.021536821457282</c:v>
                </c:pt>
                <c:pt idx="61">
                  <c:v>11.822657097068998</c:v>
                </c:pt>
                <c:pt idx="62">
                  <c:v>11.561208585436098</c:v>
                </c:pt>
                <c:pt idx="63">
                  <c:v>10.538936719787104</c:v>
                </c:pt>
                <c:pt idx="64">
                  <c:v>10.822646888361446</c:v>
                </c:pt>
                <c:pt idx="65">
                  <c:v>14.081165953049888</c:v>
                </c:pt>
                <c:pt idx="66">
                  <c:v>12.733169167567114</c:v>
                </c:pt>
                <c:pt idx="67">
                  <c:v>10.775217056990407</c:v>
                </c:pt>
                <c:pt idx="68">
                  <c:v>10.940790385726658</c:v>
                </c:pt>
                <c:pt idx="69">
                  <c:v>12.730932444615172</c:v>
                </c:pt>
                <c:pt idx="70">
                  <c:v>12.605284458131019</c:v>
                </c:pt>
                <c:pt idx="71">
                  <c:v>12.460820733603896</c:v>
                </c:pt>
                <c:pt idx="72">
                  <c:v>14.055737325968522</c:v>
                </c:pt>
                <c:pt idx="73">
                  <c:v>11.702614184157669</c:v>
                </c:pt>
                <c:pt idx="74">
                  <c:v>12.16063594212403</c:v>
                </c:pt>
                <c:pt idx="75">
                  <c:v>13.189368975934622</c:v>
                </c:pt>
                <c:pt idx="76">
                  <c:v>11.76379731097258</c:v>
                </c:pt>
                <c:pt idx="77">
                  <c:v>10.064944360088587</c:v>
                </c:pt>
                <c:pt idx="78">
                  <c:v>10.226364432771385</c:v>
                </c:pt>
                <c:pt idx="79">
                  <c:v>10.262653425141247</c:v>
                </c:pt>
                <c:pt idx="80">
                  <c:v>14.518574329096031</c:v>
                </c:pt>
              </c:numCache>
            </c:numRef>
          </c:xVal>
          <c:yVal>
            <c:numRef>
              <c:f>FDOM_v_Sal!$C$3:$C$83</c:f>
              <c:numCache>
                <c:formatCode>0.00</c:formatCode>
                <c:ptCount val="81"/>
                <c:pt idx="0">
                  <c:v>22.21816603892027</c:v>
                </c:pt>
                <c:pt idx="1">
                  <c:v>22.640152542372874</c:v>
                </c:pt>
                <c:pt idx="2">
                  <c:v>24.429520127118632</c:v>
                </c:pt>
                <c:pt idx="3">
                  <c:v>23.964330508474575</c:v>
                </c:pt>
                <c:pt idx="4">
                  <c:v>23.684876412429375</c:v>
                </c:pt>
                <c:pt idx="5">
                  <c:v>23.220986935028247</c:v>
                </c:pt>
                <c:pt idx="6">
                  <c:v>23.632603107344632</c:v>
                </c:pt>
                <c:pt idx="7">
                  <c:v>23.144691031073449</c:v>
                </c:pt>
                <c:pt idx="8">
                  <c:v>22.841987994350276</c:v>
                </c:pt>
                <c:pt idx="9">
                  <c:v>21.416925141242928</c:v>
                </c:pt>
                <c:pt idx="10">
                  <c:v>20.527373764124299</c:v>
                </c:pt>
                <c:pt idx="11">
                  <c:v>19.100513947740115</c:v>
                </c:pt>
                <c:pt idx="12">
                  <c:v>19.703350105932202</c:v>
                </c:pt>
                <c:pt idx="13">
                  <c:v>21.346641242937849</c:v>
                </c:pt>
                <c:pt idx="14">
                  <c:v>18.561802789548029</c:v>
                </c:pt>
                <c:pt idx="15">
                  <c:v>20.796891813919945</c:v>
                </c:pt>
                <c:pt idx="16">
                  <c:v>21.810017302259883</c:v>
                </c:pt>
                <c:pt idx="17">
                  <c:v>23.788679378531068</c:v>
                </c:pt>
                <c:pt idx="18">
                  <c:v>24.706439795197749</c:v>
                </c:pt>
                <c:pt idx="19">
                  <c:v>27.15217637711865</c:v>
                </c:pt>
                <c:pt idx="20">
                  <c:v>27.19479201977401</c:v>
                </c:pt>
                <c:pt idx="21">
                  <c:v>25.626908721751416</c:v>
                </c:pt>
                <c:pt idx="22">
                  <c:v>23.794778248587573</c:v>
                </c:pt>
                <c:pt idx="23">
                  <c:v>23.810814088983054</c:v>
                </c:pt>
                <c:pt idx="24">
                  <c:v>23.706143185028253</c:v>
                </c:pt>
                <c:pt idx="25">
                  <c:v>24.353506532485881</c:v>
                </c:pt>
                <c:pt idx="26">
                  <c:v>24.476784158489448</c:v>
                </c:pt>
                <c:pt idx="27">
                  <c:v>23.575590541417132</c:v>
                </c:pt>
                <c:pt idx="28">
                  <c:v>24.252236405367231</c:v>
                </c:pt>
                <c:pt idx="29">
                  <c:v>25.241649187853113</c:v>
                </c:pt>
                <c:pt idx="30">
                  <c:v>25.789768008474592</c:v>
                </c:pt>
                <c:pt idx="31">
                  <c:v>24.409184322033894</c:v>
                </c:pt>
                <c:pt idx="32">
                  <c:v>21.864791843220331</c:v>
                </c:pt>
                <c:pt idx="33">
                  <c:v>22.79996597262809</c:v>
                </c:pt>
                <c:pt idx="34">
                  <c:v>24.374225105932208</c:v>
                </c:pt>
                <c:pt idx="35">
                  <c:v>24.728405529410963</c:v>
                </c:pt>
                <c:pt idx="36">
                  <c:v>25.893389472323211</c:v>
                </c:pt>
                <c:pt idx="37">
                  <c:v>25.809465742772513</c:v>
                </c:pt>
                <c:pt idx="38">
                  <c:v>25.996840779015262</c:v>
                </c:pt>
                <c:pt idx="39">
                  <c:v>24.510055207970797</c:v>
                </c:pt>
                <c:pt idx="40">
                  <c:v>24.229914346720417</c:v>
                </c:pt>
                <c:pt idx="41">
                  <c:v>25.013482161887193</c:v>
                </c:pt>
                <c:pt idx="42">
                  <c:v>26.634729343220346</c:v>
                </c:pt>
                <c:pt idx="43">
                  <c:v>26.274259060314375</c:v>
                </c:pt>
                <c:pt idx="44">
                  <c:v>26.680667219204722</c:v>
                </c:pt>
                <c:pt idx="45">
                  <c:v>25.755000178200216</c:v>
                </c:pt>
                <c:pt idx="46">
                  <c:v>26.83292821583143</c:v>
                </c:pt>
                <c:pt idx="47">
                  <c:v>27.463314265536713</c:v>
                </c:pt>
                <c:pt idx="48">
                  <c:v>27.830065854519773</c:v>
                </c:pt>
                <c:pt idx="49">
                  <c:v>27.620430614406775</c:v>
                </c:pt>
                <c:pt idx="50">
                  <c:v>26.683757384514905</c:v>
                </c:pt>
                <c:pt idx="51">
                  <c:v>25.716775352846437</c:v>
                </c:pt>
                <c:pt idx="52">
                  <c:v>24.886524389552601</c:v>
                </c:pt>
                <c:pt idx="53">
                  <c:v>26.071560624124853</c:v>
                </c:pt>
                <c:pt idx="54">
                  <c:v>26.920201829286579</c:v>
                </c:pt>
                <c:pt idx="55">
                  <c:v>28.361257944915252</c:v>
                </c:pt>
                <c:pt idx="56">
                  <c:v>25.295429025423726</c:v>
                </c:pt>
                <c:pt idx="57">
                  <c:v>25.898687168348754</c:v>
                </c:pt>
                <c:pt idx="58">
                  <c:v>26.279837040960444</c:v>
                </c:pt>
                <c:pt idx="59">
                  <c:v>25.595419138418077</c:v>
                </c:pt>
                <c:pt idx="60">
                  <c:v>24.383482527722929</c:v>
                </c:pt>
                <c:pt idx="61">
                  <c:v>24.083331997309738</c:v>
                </c:pt>
                <c:pt idx="62">
                  <c:v>24.572879164704972</c:v>
                </c:pt>
                <c:pt idx="63">
                  <c:v>26.176947269065945</c:v>
                </c:pt>
                <c:pt idx="64">
                  <c:v>25.63170281232912</c:v>
                </c:pt>
                <c:pt idx="65">
                  <c:v>21.242429803466162</c:v>
                </c:pt>
                <c:pt idx="66">
                  <c:v>22.915661686107139</c:v>
                </c:pt>
                <c:pt idx="67">
                  <c:v>25.625457551553385</c:v>
                </c:pt>
                <c:pt idx="68">
                  <c:v>25.225603408102547</c:v>
                </c:pt>
                <c:pt idx="69">
                  <c:v>24.056330789149641</c:v>
                </c:pt>
                <c:pt idx="70">
                  <c:v>24.935472021743113</c:v>
                </c:pt>
                <c:pt idx="71">
                  <c:v>25.633562206149829</c:v>
                </c:pt>
                <c:pt idx="72">
                  <c:v>23.915536470944307</c:v>
                </c:pt>
                <c:pt idx="73">
                  <c:v>26.282397497981687</c:v>
                </c:pt>
                <c:pt idx="74">
                  <c:v>25.156352797208019</c:v>
                </c:pt>
                <c:pt idx="75">
                  <c:v>23.911182017299819</c:v>
                </c:pt>
                <c:pt idx="76">
                  <c:v>25.343592258876839</c:v>
                </c:pt>
                <c:pt idx="77">
                  <c:v>27.397737953651184</c:v>
                </c:pt>
                <c:pt idx="78">
                  <c:v>27.533929822414759</c:v>
                </c:pt>
                <c:pt idx="79">
                  <c:v>27.791169668079096</c:v>
                </c:pt>
                <c:pt idx="80">
                  <c:v>23.167841101694908</c:v>
                </c:pt>
              </c:numCache>
            </c:numRef>
          </c:yVal>
          <c:smooth val="0"/>
          <c:extLst>
            <c:ext xmlns:c16="http://schemas.microsoft.com/office/drawing/2014/chart" uri="{C3380CC4-5D6E-409C-BE32-E72D297353CC}">
              <c16:uniqueId val="{00000000-E216-4E76-9977-C1D59CEF97C0}"/>
            </c:ext>
          </c:extLst>
        </c:ser>
        <c:ser>
          <c:idx val="3"/>
          <c:order val="1"/>
          <c:tx>
            <c:v>Shoal2</c:v>
          </c:tx>
          <c:spPr>
            <a:ln w="28575">
              <a:noFill/>
            </a:ln>
          </c:spPr>
          <c:marker>
            <c:symbol val="circle"/>
            <c:size val="5"/>
            <c:spPr>
              <a:solidFill>
                <a:srgbClr val="000000"/>
              </a:solidFill>
              <a:ln>
                <a:solidFill>
                  <a:srgbClr val="000000"/>
                </a:solidFill>
                <a:prstDash val="solid"/>
              </a:ln>
            </c:spPr>
          </c:marker>
          <c:xVal>
            <c:numRef>
              <c:f>FDOM_v_Sal!$D$93:$D$176</c:f>
              <c:numCache>
                <c:formatCode>0.00</c:formatCode>
                <c:ptCount val="84"/>
                <c:pt idx="0">
                  <c:v>22.328271362994343</c:v>
                </c:pt>
                <c:pt idx="1">
                  <c:v>19.004191161396786</c:v>
                </c:pt>
                <c:pt idx="2">
                  <c:v>27.250488877118645</c:v>
                </c:pt>
                <c:pt idx="3">
                  <c:v>35.201662782485869</c:v>
                </c:pt>
                <c:pt idx="4">
                  <c:v>34.118075741525409</c:v>
                </c:pt>
                <c:pt idx="5">
                  <c:v>34.049662782485875</c:v>
                </c:pt>
                <c:pt idx="6">
                  <c:v>37.346576998925897</c:v>
                </c:pt>
                <c:pt idx="7">
                  <c:v>31.747100910688477</c:v>
                </c:pt>
                <c:pt idx="8">
                  <c:v>32.42105826271186</c:v>
                </c:pt>
                <c:pt idx="9">
                  <c:v>33.427006002824875</c:v>
                </c:pt>
                <c:pt idx="10">
                  <c:v>31.584325035310737</c:v>
                </c:pt>
                <c:pt idx="11">
                  <c:v>31.162987641242946</c:v>
                </c:pt>
                <c:pt idx="12">
                  <c:v>28.491085451977412</c:v>
                </c:pt>
                <c:pt idx="13">
                  <c:v>31.498523128531058</c:v>
                </c:pt>
                <c:pt idx="14">
                  <c:v>33.382791588017561</c:v>
                </c:pt>
                <c:pt idx="15">
                  <c:v>37.423689936440688</c:v>
                </c:pt>
                <c:pt idx="16">
                  <c:v>40.457410134180797</c:v>
                </c:pt>
                <c:pt idx="17">
                  <c:v>37.647912429378543</c:v>
                </c:pt>
                <c:pt idx="18">
                  <c:v>37.308683615819227</c:v>
                </c:pt>
                <c:pt idx="19">
                  <c:v>38.403192620056508</c:v>
                </c:pt>
                <c:pt idx="20">
                  <c:v>38.521962747175138</c:v>
                </c:pt>
                <c:pt idx="21">
                  <c:v>37.054127295197738</c:v>
                </c:pt>
                <c:pt idx="22">
                  <c:v>37.024680595633846</c:v>
                </c:pt>
                <c:pt idx="23">
                  <c:v>37.89025052966101</c:v>
                </c:pt>
                <c:pt idx="24">
                  <c:v>33.550357168079088</c:v>
                </c:pt>
                <c:pt idx="25">
                  <c:v>34.212199096951124</c:v>
                </c:pt>
                <c:pt idx="26">
                  <c:v>35.087110875706202</c:v>
                </c:pt>
                <c:pt idx="27">
                  <c:v>38.693155896892662</c:v>
                </c:pt>
                <c:pt idx="28">
                  <c:v>36.907466984463284</c:v>
                </c:pt>
                <c:pt idx="29">
                  <c:v>35.311825211864409</c:v>
                </c:pt>
                <c:pt idx="30">
                  <c:v>35.791577153954798</c:v>
                </c:pt>
                <c:pt idx="31">
                  <c:v>37.483025343018575</c:v>
                </c:pt>
                <c:pt idx="32">
                  <c:v>37.958327860169497</c:v>
                </c:pt>
                <c:pt idx="33">
                  <c:v>44.18817673022599</c:v>
                </c:pt>
                <c:pt idx="34">
                  <c:v>37.443161899717502</c:v>
                </c:pt>
                <c:pt idx="35">
                  <c:v>33.739187146892661</c:v>
                </c:pt>
                <c:pt idx="36">
                  <c:v>31.176528601694915</c:v>
                </c:pt>
                <c:pt idx="37">
                  <c:v>36.99809498587571</c:v>
                </c:pt>
                <c:pt idx="38">
                  <c:v>34.346479519774014</c:v>
                </c:pt>
                <c:pt idx="39">
                  <c:v>36.306114860972464</c:v>
                </c:pt>
                <c:pt idx="40">
                  <c:v>33.520670550847463</c:v>
                </c:pt>
                <c:pt idx="41">
                  <c:v>34.366490186485905</c:v>
                </c:pt>
                <c:pt idx="42">
                  <c:v>31.835494173728822</c:v>
                </c:pt>
                <c:pt idx="43">
                  <c:v>35.673633121468917</c:v>
                </c:pt>
                <c:pt idx="44">
                  <c:v>35.580782662429378</c:v>
                </c:pt>
                <c:pt idx="45">
                  <c:v>38.422630019168686</c:v>
                </c:pt>
                <c:pt idx="46">
                  <c:v>40.591975638975477</c:v>
                </c:pt>
                <c:pt idx="47">
                  <c:v>41.979668580497787</c:v>
                </c:pt>
                <c:pt idx="48">
                  <c:v>42.452349223163843</c:v>
                </c:pt>
                <c:pt idx="49">
                  <c:v>42.431546644507854</c:v>
                </c:pt>
                <c:pt idx="50">
                  <c:v>40.919862626865203</c:v>
                </c:pt>
                <c:pt idx="51">
                  <c:v>38.887942181854235</c:v>
                </c:pt>
                <c:pt idx="52">
                  <c:v>39.207745720095467</c:v>
                </c:pt>
                <c:pt idx="53">
                  <c:v>39.330648617679479</c:v>
                </c:pt>
                <c:pt idx="54">
                  <c:v>38.259755916629139</c:v>
                </c:pt>
                <c:pt idx="55">
                  <c:v>36.534141778045104</c:v>
                </c:pt>
                <c:pt idx="56">
                  <c:v>33.89815834876056</c:v>
                </c:pt>
                <c:pt idx="57">
                  <c:v>33.199946284769197</c:v>
                </c:pt>
                <c:pt idx="58">
                  <c:v>33.180971896399882</c:v>
                </c:pt>
                <c:pt idx="59">
                  <c:v>33.615370960167461</c:v>
                </c:pt>
                <c:pt idx="60">
                  <c:v>35.248269601891046</c:v>
                </c:pt>
                <c:pt idx="61">
                  <c:v>30.49290893974359</c:v>
                </c:pt>
                <c:pt idx="62">
                  <c:v>29.845613822005699</c:v>
                </c:pt>
                <c:pt idx="63">
                  <c:v>28.248847128275738</c:v>
                </c:pt>
                <c:pt idx="64">
                  <c:v>25.45455311229561</c:v>
                </c:pt>
                <c:pt idx="65">
                  <c:v>20.526532309322036</c:v>
                </c:pt>
                <c:pt idx="66">
                  <c:v>25.156187004080355</c:v>
                </c:pt>
                <c:pt idx="67">
                  <c:v>22.721163324323001</c:v>
                </c:pt>
                <c:pt idx="68">
                  <c:v>22.945011857280576</c:v>
                </c:pt>
                <c:pt idx="69">
                  <c:v>25.426674617669974</c:v>
                </c:pt>
                <c:pt idx="70">
                  <c:v>25.825149364406794</c:v>
                </c:pt>
                <c:pt idx="71">
                  <c:v>23.130865661020589</c:v>
                </c:pt>
                <c:pt idx="72">
                  <c:v>23.214364406779662</c:v>
                </c:pt>
                <c:pt idx="73">
                  <c:v>21.734649011299449</c:v>
                </c:pt>
                <c:pt idx="74">
                  <c:v>22.791842298422612</c:v>
                </c:pt>
                <c:pt idx="75">
                  <c:v>22.183881002824865</c:v>
                </c:pt>
                <c:pt idx="76">
                  <c:v>22.186378973550219</c:v>
                </c:pt>
                <c:pt idx="77">
                  <c:v>22.556979667797851</c:v>
                </c:pt>
                <c:pt idx="78">
                  <c:v>23.111493399608865</c:v>
                </c:pt>
                <c:pt idx="79">
                  <c:v>23.034413702594222</c:v>
                </c:pt>
                <c:pt idx="80">
                  <c:v>24.845665783898308</c:v>
                </c:pt>
                <c:pt idx="81">
                  <c:v>24.5916804378531</c:v>
                </c:pt>
                <c:pt idx="82">
                  <c:v>24.840153778248578</c:v>
                </c:pt>
                <c:pt idx="83">
                  <c:v>27.467213983050854</c:v>
                </c:pt>
              </c:numCache>
            </c:numRef>
          </c:xVal>
          <c:yVal>
            <c:numRef>
              <c:f>FDOM_v_Sal!$C$93:$C$176</c:f>
              <c:numCache>
                <c:formatCode>0.00</c:formatCode>
                <c:ptCount val="84"/>
                <c:pt idx="0">
                  <c:v>18.88955632062147</c:v>
                </c:pt>
                <c:pt idx="1">
                  <c:v>19.86286725127864</c:v>
                </c:pt>
                <c:pt idx="2">
                  <c:v>16.574474752824852</c:v>
                </c:pt>
                <c:pt idx="3">
                  <c:v>14.355791313559328</c:v>
                </c:pt>
                <c:pt idx="4">
                  <c:v>15.773650600282481</c:v>
                </c:pt>
                <c:pt idx="5">
                  <c:v>16.468085275423725</c:v>
                </c:pt>
                <c:pt idx="6">
                  <c:v>15.369906491585203</c:v>
                </c:pt>
                <c:pt idx="7">
                  <c:v>16.791984096152792</c:v>
                </c:pt>
                <c:pt idx="8">
                  <c:v>18.179437676553679</c:v>
                </c:pt>
                <c:pt idx="9">
                  <c:v>18.320598870056497</c:v>
                </c:pt>
                <c:pt idx="10">
                  <c:v>19.001247175141241</c:v>
                </c:pt>
                <c:pt idx="11">
                  <c:v>19.36372369350282</c:v>
                </c:pt>
                <c:pt idx="12">
                  <c:v>19.828459216101702</c:v>
                </c:pt>
                <c:pt idx="13">
                  <c:v>18.819915783898313</c:v>
                </c:pt>
                <c:pt idx="14">
                  <c:v>17.209970630255931</c:v>
                </c:pt>
                <c:pt idx="15">
                  <c:v>14.602557838983053</c:v>
                </c:pt>
                <c:pt idx="16">
                  <c:v>13.631303848870068</c:v>
                </c:pt>
                <c:pt idx="17">
                  <c:v>13.746888947740112</c:v>
                </c:pt>
                <c:pt idx="18">
                  <c:v>13.650138771186436</c:v>
                </c:pt>
                <c:pt idx="19">
                  <c:v>12.621825211864405</c:v>
                </c:pt>
                <c:pt idx="20">
                  <c:v>12.757181497175134</c:v>
                </c:pt>
                <c:pt idx="21">
                  <c:v>13.202123587570625</c:v>
                </c:pt>
                <c:pt idx="22">
                  <c:v>13.159469096598841</c:v>
                </c:pt>
                <c:pt idx="23">
                  <c:v>12.680178319209041</c:v>
                </c:pt>
                <c:pt idx="24">
                  <c:v>14.136082274011299</c:v>
                </c:pt>
                <c:pt idx="25">
                  <c:v>13.560876544201223</c:v>
                </c:pt>
                <c:pt idx="26">
                  <c:v>13.517367055084753</c:v>
                </c:pt>
                <c:pt idx="27">
                  <c:v>11.977084216101696</c:v>
                </c:pt>
                <c:pt idx="28">
                  <c:v>13.892986228813561</c:v>
                </c:pt>
                <c:pt idx="29">
                  <c:v>14.147774187853107</c:v>
                </c:pt>
                <c:pt idx="30">
                  <c:v>13.888270656779655</c:v>
                </c:pt>
                <c:pt idx="31">
                  <c:v>12.531779343220338</c:v>
                </c:pt>
                <c:pt idx="32">
                  <c:v>12.312165783898303</c:v>
                </c:pt>
                <c:pt idx="33">
                  <c:v>10.865179201977398</c:v>
                </c:pt>
                <c:pt idx="34">
                  <c:v>13.843987288135596</c:v>
                </c:pt>
                <c:pt idx="35">
                  <c:v>16.471236052259869</c:v>
                </c:pt>
                <c:pt idx="36">
                  <c:v>19.312718573446329</c:v>
                </c:pt>
                <c:pt idx="37">
                  <c:v>16.501178319209036</c:v>
                </c:pt>
                <c:pt idx="38">
                  <c:v>17.838404661016952</c:v>
                </c:pt>
                <c:pt idx="39">
                  <c:v>15.648320499180672</c:v>
                </c:pt>
                <c:pt idx="40">
                  <c:v>16.568921433615824</c:v>
                </c:pt>
                <c:pt idx="41">
                  <c:v>15.972633094072672</c:v>
                </c:pt>
                <c:pt idx="42">
                  <c:v>15.839216454802271</c:v>
                </c:pt>
                <c:pt idx="43">
                  <c:v>14.910411899717511</c:v>
                </c:pt>
                <c:pt idx="44">
                  <c:v>14.951354343220338</c:v>
                </c:pt>
                <c:pt idx="45">
                  <c:v>14.31002839991929</c:v>
                </c:pt>
                <c:pt idx="46">
                  <c:v>14.122517659876898</c:v>
                </c:pt>
                <c:pt idx="47">
                  <c:v>13.727219111023606</c:v>
                </c:pt>
                <c:pt idx="48">
                  <c:v>12.856678142655362</c:v>
                </c:pt>
                <c:pt idx="49">
                  <c:v>13.146785091452216</c:v>
                </c:pt>
                <c:pt idx="50">
                  <c:v>14.612028338148164</c:v>
                </c:pt>
                <c:pt idx="51">
                  <c:v>15.885122129299235</c:v>
                </c:pt>
                <c:pt idx="52">
                  <c:v>14.951323708114154</c:v>
                </c:pt>
                <c:pt idx="53">
                  <c:v>14.795833628371176</c:v>
                </c:pt>
                <c:pt idx="54">
                  <c:v>15.207889485508181</c:v>
                </c:pt>
                <c:pt idx="55">
                  <c:v>14.817397953290964</c:v>
                </c:pt>
                <c:pt idx="56">
                  <c:v>15.029007667085979</c:v>
                </c:pt>
                <c:pt idx="57">
                  <c:v>14.590683182784391</c:v>
                </c:pt>
                <c:pt idx="58">
                  <c:v>14.607297115694875</c:v>
                </c:pt>
                <c:pt idx="59">
                  <c:v>13.955450969770373</c:v>
                </c:pt>
                <c:pt idx="60">
                  <c:v>14.031651574172564</c:v>
                </c:pt>
                <c:pt idx="61">
                  <c:v>16.965149860140592</c:v>
                </c:pt>
                <c:pt idx="62">
                  <c:v>17.344849040415301</c:v>
                </c:pt>
                <c:pt idx="63">
                  <c:v>18.08073044923518</c:v>
                </c:pt>
                <c:pt idx="64">
                  <c:v>19.68305171130952</c:v>
                </c:pt>
                <c:pt idx="65">
                  <c:v>22.923338983050851</c:v>
                </c:pt>
                <c:pt idx="66">
                  <c:v>19.910341865694466</c:v>
                </c:pt>
                <c:pt idx="67">
                  <c:v>21.035951806935508</c:v>
                </c:pt>
                <c:pt idx="68">
                  <c:v>20.535915413042176</c:v>
                </c:pt>
                <c:pt idx="69">
                  <c:v>19.894808214007398</c:v>
                </c:pt>
                <c:pt idx="70">
                  <c:v>19.75954043079096</c:v>
                </c:pt>
                <c:pt idx="71">
                  <c:v>20.509208619679672</c:v>
                </c:pt>
                <c:pt idx="72">
                  <c:v>20.755288135593215</c:v>
                </c:pt>
                <c:pt idx="73">
                  <c:v>21.708031956214679</c:v>
                </c:pt>
                <c:pt idx="74">
                  <c:v>20.851174843035945</c:v>
                </c:pt>
                <c:pt idx="75">
                  <c:v>21.295712217514126</c:v>
                </c:pt>
                <c:pt idx="76">
                  <c:v>20.36014923647441</c:v>
                </c:pt>
                <c:pt idx="77">
                  <c:v>20.175870495626341</c:v>
                </c:pt>
                <c:pt idx="78">
                  <c:v>19.906799837609416</c:v>
                </c:pt>
                <c:pt idx="79">
                  <c:v>19.995202447742422</c:v>
                </c:pt>
                <c:pt idx="80">
                  <c:v>19.633194562146894</c:v>
                </c:pt>
                <c:pt idx="81">
                  <c:v>19.673596398305079</c:v>
                </c:pt>
                <c:pt idx="82">
                  <c:v>19.433319209039556</c:v>
                </c:pt>
                <c:pt idx="83">
                  <c:v>19.084106461864398</c:v>
                </c:pt>
              </c:numCache>
            </c:numRef>
          </c:yVal>
          <c:smooth val="0"/>
          <c:extLst>
            <c:ext xmlns:c16="http://schemas.microsoft.com/office/drawing/2014/chart" uri="{C3380CC4-5D6E-409C-BE32-E72D297353CC}">
              <c16:uniqueId val="{00000001-E216-4E76-9977-C1D59CEF97C0}"/>
            </c:ext>
          </c:extLst>
        </c:ser>
        <c:ser>
          <c:idx val="4"/>
          <c:order val="2"/>
          <c:tx>
            <c:v>Channel1</c:v>
          </c:tx>
          <c:spPr>
            <a:ln w="28575">
              <a:noFill/>
            </a:ln>
          </c:spPr>
          <c:marker>
            <c:symbol val="triangle"/>
            <c:size val="5"/>
            <c:spPr>
              <a:solidFill>
                <a:srgbClr val="000000"/>
              </a:solidFill>
              <a:ln>
                <a:solidFill>
                  <a:srgbClr val="000000"/>
                </a:solidFill>
                <a:prstDash val="solid"/>
              </a:ln>
            </c:spPr>
          </c:marker>
          <c:xVal>
            <c:numRef>
              <c:f>FDOM_v_Sal!$D$177:$D$257</c:f>
              <c:numCache>
                <c:formatCode>0.0</c:formatCode>
                <c:ptCount val="81"/>
                <c:pt idx="0">
                  <c:v>18.386161016949156</c:v>
                </c:pt>
                <c:pt idx="1">
                  <c:v>17.517100988700559</c:v>
                </c:pt>
                <c:pt idx="2">
                  <c:v>16.657668608757064</c:v>
                </c:pt>
                <c:pt idx="3">
                  <c:v>16.733075918079098</c:v>
                </c:pt>
                <c:pt idx="4">
                  <c:v>16.065516066384181</c:v>
                </c:pt>
                <c:pt idx="5">
                  <c:v>15.825204978813559</c:v>
                </c:pt>
                <c:pt idx="6">
                  <c:v>14.780415430790965</c:v>
                </c:pt>
                <c:pt idx="7">
                  <c:v>17.564926730225988</c:v>
                </c:pt>
                <c:pt idx="8">
                  <c:v>21.342870762711865</c:v>
                </c:pt>
                <c:pt idx="9">
                  <c:v>21.994131355932208</c:v>
                </c:pt>
                <c:pt idx="10">
                  <c:v>23.289865289548018</c:v>
                </c:pt>
                <c:pt idx="11">
                  <c:v>28.164465218926555</c:v>
                </c:pt>
                <c:pt idx="12">
                  <c:v>25.510856461864417</c:v>
                </c:pt>
                <c:pt idx="13">
                  <c:v>24.260816737288135</c:v>
                </c:pt>
                <c:pt idx="14">
                  <c:v>30.373960275423727</c:v>
                </c:pt>
                <c:pt idx="15">
                  <c:v>24.270680310133429</c:v>
                </c:pt>
                <c:pt idx="16">
                  <c:v>20.7034196680791</c:v>
                </c:pt>
                <c:pt idx="17">
                  <c:v>18.255967514124297</c:v>
                </c:pt>
                <c:pt idx="18">
                  <c:v>16.000549611581913</c:v>
                </c:pt>
                <c:pt idx="19">
                  <c:v>14.301041313559322</c:v>
                </c:pt>
                <c:pt idx="20">
                  <c:v>15.288169668079092</c:v>
                </c:pt>
                <c:pt idx="21">
                  <c:v>18.181217867231641</c:v>
                </c:pt>
                <c:pt idx="22">
                  <c:v>20.915137711864407</c:v>
                </c:pt>
                <c:pt idx="23">
                  <c:v>20.283264477401133</c:v>
                </c:pt>
                <c:pt idx="24">
                  <c:v>19.700601341807907</c:v>
                </c:pt>
                <c:pt idx="25">
                  <c:v>19.306106638418083</c:v>
                </c:pt>
                <c:pt idx="26">
                  <c:v>18.636876765536726</c:v>
                </c:pt>
                <c:pt idx="27">
                  <c:v>18.019468926553674</c:v>
                </c:pt>
                <c:pt idx="28">
                  <c:v>18.604976165254239</c:v>
                </c:pt>
                <c:pt idx="29">
                  <c:v>17.102639300847457</c:v>
                </c:pt>
                <c:pt idx="30">
                  <c:v>17.493833509887008</c:v>
                </c:pt>
                <c:pt idx="31">
                  <c:v>17.630153601694925</c:v>
                </c:pt>
                <c:pt idx="32">
                  <c:v>19.011587747175142</c:v>
                </c:pt>
                <c:pt idx="33">
                  <c:v>17.307671433615813</c:v>
                </c:pt>
                <c:pt idx="34">
                  <c:v>14.937471045197745</c:v>
                </c:pt>
                <c:pt idx="35">
                  <c:v>13.345729343220334</c:v>
                </c:pt>
                <c:pt idx="36">
                  <c:v>11.683431144067796</c:v>
                </c:pt>
                <c:pt idx="37">
                  <c:v>11.119592337570625</c:v>
                </c:pt>
                <c:pt idx="38">
                  <c:v>10.907237111581916</c:v>
                </c:pt>
                <c:pt idx="39">
                  <c:v>10.762946327683608</c:v>
                </c:pt>
                <c:pt idx="40">
                  <c:v>12.088289018361579</c:v>
                </c:pt>
                <c:pt idx="41">
                  <c:v>11.924936970338983</c:v>
                </c:pt>
                <c:pt idx="42">
                  <c:v>12.554750706214682</c:v>
                </c:pt>
                <c:pt idx="43">
                  <c:v>11.91878478107345</c:v>
                </c:pt>
                <c:pt idx="44">
                  <c:v>11.732908721751416</c:v>
                </c:pt>
                <c:pt idx="45">
                  <c:v>11.875539548022596</c:v>
                </c:pt>
                <c:pt idx="46">
                  <c:v>10.692089159604523</c:v>
                </c:pt>
                <c:pt idx="47">
                  <c:v>9.8807168079096019</c:v>
                </c:pt>
                <c:pt idx="48">
                  <c:v>9.5100958686440666</c:v>
                </c:pt>
                <c:pt idx="49">
                  <c:v>9.451252295197742</c:v>
                </c:pt>
                <c:pt idx="50">
                  <c:v>11.266550847457623</c:v>
                </c:pt>
                <c:pt idx="51">
                  <c:v>12.399160310734468</c:v>
                </c:pt>
                <c:pt idx="52">
                  <c:v>12.117394067796612</c:v>
                </c:pt>
                <c:pt idx="53">
                  <c:v>11.652375882768368</c:v>
                </c:pt>
                <c:pt idx="54">
                  <c:v>10.543114583333336</c:v>
                </c:pt>
                <c:pt idx="55">
                  <c:v>10.147103813559323</c:v>
                </c:pt>
                <c:pt idx="56">
                  <c:v>12.139741701977393</c:v>
                </c:pt>
                <c:pt idx="57">
                  <c:v>11.031147598870058</c:v>
                </c:pt>
                <c:pt idx="58">
                  <c:v>10.758058086158199</c:v>
                </c:pt>
                <c:pt idx="59">
                  <c:v>12.209936087570618</c:v>
                </c:pt>
                <c:pt idx="60">
                  <c:v>12.126614583333334</c:v>
                </c:pt>
                <c:pt idx="61">
                  <c:v>11.414127471751415</c:v>
                </c:pt>
                <c:pt idx="62">
                  <c:v>11.148335805084747</c:v>
                </c:pt>
                <c:pt idx="63">
                  <c:v>10.674214159604517</c:v>
                </c:pt>
                <c:pt idx="64">
                  <c:v>11.313085805084752</c:v>
                </c:pt>
                <c:pt idx="65">
                  <c:v>14.428552789548029</c:v>
                </c:pt>
                <c:pt idx="66">
                  <c:v>11.790251765536722</c:v>
                </c:pt>
                <c:pt idx="67">
                  <c:v>10.555831391242934</c:v>
                </c:pt>
                <c:pt idx="68">
                  <c:v>10.926110169491528</c:v>
                </c:pt>
                <c:pt idx="69">
                  <c:v>12.878724752824866</c:v>
                </c:pt>
                <c:pt idx="70">
                  <c:v>13.085451271186434</c:v>
                </c:pt>
                <c:pt idx="71">
                  <c:v>12.637158898305087</c:v>
                </c:pt>
                <c:pt idx="72">
                  <c:v>13.383877118644071</c:v>
                </c:pt>
                <c:pt idx="73">
                  <c:v>11.305588629943502</c:v>
                </c:pt>
                <c:pt idx="74">
                  <c:v>11.792236228813557</c:v>
                </c:pt>
                <c:pt idx="75">
                  <c:v>12.65905896892655</c:v>
                </c:pt>
                <c:pt idx="76">
                  <c:v>10.875216278248587</c:v>
                </c:pt>
                <c:pt idx="77">
                  <c:v>9.4406599576271173</c:v>
                </c:pt>
                <c:pt idx="78">
                  <c:v>10.461516419491524</c:v>
                </c:pt>
                <c:pt idx="79">
                  <c:v>10.890973870056493</c:v>
                </c:pt>
                <c:pt idx="80">
                  <c:v>15.118158015536727</c:v>
                </c:pt>
              </c:numCache>
            </c:numRef>
          </c:xVal>
          <c:yVal>
            <c:numRef>
              <c:f>FDOM_v_Sal!$C$177:$C$257</c:f>
              <c:numCache>
                <c:formatCode>0.00</c:formatCode>
                <c:ptCount val="81"/>
                <c:pt idx="0">
                  <c:v>21.835617074701826</c:v>
                </c:pt>
                <c:pt idx="1">
                  <c:v>22.061111052259893</c:v>
                </c:pt>
                <c:pt idx="2">
                  <c:v>23.9662199858757</c:v>
                </c:pt>
                <c:pt idx="3">
                  <c:v>23.859122704802264</c:v>
                </c:pt>
                <c:pt idx="4">
                  <c:v>23.256652895480226</c:v>
                </c:pt>
                <c:pt idx="5">
                  <c:v>23.24791649011301</c:v>
                </c:pt>
                <c:pt idx="6">
                  <c:v>23.983049788135599</c:v>
                </c:pt>
                <c:pt idx="7">
                  <c:v>23.05714918785311</c:v>
                </c:pt>
                <c:pt idx="8">
                  <c:v>21.028188735875709</c:v>
                </c:pt>
                <c:pt idx="9">
                  <c:v>20.664511475988704</c:v>
                </c:pt>
                <c:pt idx="10">
                  <c:v>20.088801906779661</c:v>
                </c:pt>
                <c:pt idx="11">
                  <c:v>18.762954625706211</c:v>
                </c:pt>
                <c:pt idx="12">
                  <c:v>19.552461687853111</c:v>
                </c:pt>
                <c:pt idx="13">
                  <c:v>20.245704449152537</c:v>
                </c:pt>
                <c:pt idx="14">
                  <c:v>17.919954625706225</c:v>
                </c:pt>
                <c:pt idx="15">
                  <c:v>20.897520555355221</c:v>
                </c:pt>
                <c:pt idx="16">
                  <c:v>22.253611758474573</c:v>
                </c:pt>
                <c:pt idx="17">
                  <c:v>23.191417725988703</c:v>
                </c:pt>
                <c:pt idx="18">
                  <c:v>24.988332627118648</c:v>
                </c:pt>
                <c:pt idx="19">
                  <c:v>27.318161899717513</c:v>
                </c:pt>
                <c:pt idx="20">
                  <c:v>27.041161016949147</c:v>
                </c:pt>
                <c:pt idx="21">
                  <c:v>25.494952507062148</c:v>
                </c:pt>
                <c:pt idx="22">
                  <c:v>23.866843043785305</c:v>
                </c:pt>
                <c:pt idx="23">
                  <c:v>24.057054025423728</c:v>
                </c:pt>
                <c:pt idx="24">
                  <c:v>24.23644120762712</c:v>
                </c:pt>
                <c:pt idx="25">
                  <c:v>24.457969103107345</c:v>
                </c:pt>
                <c:pt idx="26">
                  <c:v>24.577703389830504</c:v>
                </c:pt>
                <c:pt idx="27">
                  <c:v>23.768764300847455</c:v>
                </c:pt>
                <c:pt idx="28">
                  <c:v>24.315128531073452</c:v>
                </c:pt>
                <c:pt idx="29">
                  <c:v>25.230839336158187</c:v>
                </c:pt>
                <c:pt idx="30">
                  <c:v>24.464227401129936</c:v>
                </c:pt>
                <c:pt idx="31">
                  <c:v>23.93484992937853</c:v>
                </c:pt>
                <c:pt idx="32">
                  <c:v>21.929228460451977</c:v>
                </c:pt>
                <c:pt idx="33">
                  <c:v>22.568534427966103</c:v>
                </c:pt>
                <c:pt idx="34">
                  <c:v>24.789503707627119</c:v>
                </c:pt>
                <c:pt idx="35">
                  <c:v>25.663868997175143</c:v>
                </c:pt>
                <c:pt idx="36">
                  <c:v>25.786244879943499</c:v>
                </c:pt>
                <c:pt idx="37">
                  <c:v>26.054543785310731</c:v>
                </c:pt>
                <c:pt idx="38">
                  <c:v>26.045504237288132</c:v>
                </c:pt>
                <c:pt idx="39">
                  <c:v>24.814019067796607</c:v>
                </c:pt>
                <c:pt idx="40">
                  <c:v>24.227572740112986</c:v>
                </c:pt>
                <c:pt idx="41">
                  <c:v>24.865853283898314</c:v>
                </c:pt>
                <c:pt idx="42">
                  <c:v>25.623006002824852</c:v>
                </c:pt>
                <c:pt idx="43">
                  <c:v>25.872747351694912</c:v>
                </c:pt>
                <c:pt idx="44">
                  <c:v>26.331548375706205</c:v>
                </c:pt>
                <c:pt idx="45">
                  <c:v>25.772065677966108</c:v>
                </c:pt>
                <c:pt idx="46">
                  <c:v>27.074495409604509</c:v>
                </c:pt>
                <c:pt idx="47">
                  <c:v>28.020667725988705</c:v>
                </c:pt>
                <c:pt idx="48">
                  <c:v>28.438265713276834</c:v>
                </c:pt>
                <c:pt idx="49">
                  <c:v>28.285006355932207</c:v>
                </c:pt>
                <c:pt idx="50">
                  <c:v>26.318467867231632</c:v>
                </c:pt>
                <c:pt idx="51">
                  <c:v>24.847240642655365</c:v>
                </c:pt>
                <c:pt idx="52">
                  <c:v>24.797433792372875</c:v>
                </c:pt>
                <c:pt idx="53">
                  <c:v>26.203862817796605</c:v>
                </c:pt>
                <c:pt idx="54">
                  <c:v>27.177938912429386</c:v>
                </c:pt>
                <c:pt idx="55">
                  <c:v>27.566679025423721</c:v>
                </c:pt>
                <c:pt idx="56">
                  <c:v>24.954757238700569</c:v>
                </c:pt>
                <c:pt idx="57">
                  <c:v>26.496769420903959</c:v>
                </c:pt>
                <c:pt idx="58">
                  <c:v>27.07007838983051</c:v>
                </c:pt>
                <c:pt idx="59">
                  <c:v>25.498148305084751</c:v>
                </c:pt>
                <c:pt idx="60">
                  <c:v>24.200134004237288</c:v>
                </c:pt>
                <c:pt idx="61">
                  <c:v>24.295132415254244</c:v>
                </c:pt>
                <c:pt idx="62">
                  <c:v>25.038702153954798</c:v>
                </c:pt>
                <c:pt idx="63">
                  <c:v>25.661233933615822</c:v>
                </c:pt>
                <c:pt idx="64">
                  <c:v>24.636208686440682</c:v>
                </c:pt>
                <c:pt idx="65">
                  <c:v>21.329462747175139</c:v>
                </c:pt>
                <c:pt idx="66">
                  <c:v>24.242835628531068</c:v>
                </c:pt>
                <c:pt idx="67">
                  <c:v>25.798818149717516</c:v>
                </c:pt>
                <c:pt idx="68">
                  <c:v>24.319707274011304</c:v>
                </c:pt>
                <c:pt idx="69">
                  <c:v>22.477864936440668</c:v>
                </c:pt>
                <c:pt idx="70">
                  <c:v>23.778318679378533</c:v>
                </c:pt>
                <c:pt idx="71">
                  <c:v>24.410812499999995</c:v>
                </c:pt>
                <c:pt idx="72">
                  <c:v>24.07182680084745</c:v>
                </c:pt>
                <c:pt idx="73">
                  <c:v>24.720947033898298</c:v>
                </c:pt>
                <c:pt idx="74">
                  <c:v>23.897001765536725</c:v>
                </c:pt>
                <c:pt idx="75">
                  <c:v>23.696185911016954</c:v>
                </c:pt>
                <c:pt idx="76">
                  <c:v>25.808277718926551</c:v>
                </c:pt>
                <c:pt idx="77">
                  <c:v>27.86769844632768</c:v>
                </c:pt>
                <c:pt idx="78">
                  <c:v>27.468782485875703</c:v>
                </c:pt>
                <c:pt idx="79">
                  <c:v>26.755257768361584</c:v>
                </c:pt>
                <c:pt idx="80">
                  <c:v>22.586832803672319</c:v>
                </c:pt>
              </c:numCache>
            </c:numRef>
          </c:yVal>
          <c:smooth val="0"/>
          <c:extLst>
            <c:ext xmlns:c16="http://schemas.microsoft.com/office/drawing/2014/chart" uri="{C3380CC4-5D6E-409C-BE32-E72D297353CC}">
              <c16:uniqueId val="{00000002-E216-4E76-9977-C1D59CEF97C0}"/>
            </c:ext>
          </c:extLst>
        </c:ser>
        <c:ser>
          <c:idx val="2"/>
          <c:order val="3"/>
          <c:tx>
            <c:v>Channel2</c:v>
          </c:tx>
          <c:spPr>
            <a:ln w="28575">
              <a:noFill/>
            </a:ln>
          </c:spPr>
          <c:marker>
            <c:symbol val="triangle"/>
            <c:size val="5"/>
            <c:spPr>
              <a:noFill/>
              <a:ln>
                <a:solidFill>
                  <a:srgbClr val="000000"/>
                </a:solidFill>
                <a:prstDash val="solid"/>
              </a:ln>
            </c:spPr>
          </c:marker>
          <c:xVal>
            <c:numRef>
              <c:f>FDOM_v_Sal!$D$267:$D$350</c:f>
              <c:numCache>
                <c:formatCode>0.0</c:formatCode>
                <c:ptCount val="84"/>
                <c:pt idx="0">
                  <c:v>25.383553185202238</c:v>
                </c:pt>
                <c:pt idx="1">
                  <c:v>23.15512276711998</c:v>
                </c:pt>
                <c:pt idx="2">
                  <c:v>32.532443169923326</c:v>
                </c:pt>
                <c:pt idx="3">
                  <c:v>41.370320442779992</c:v>
                </c:pt>
                <c:pt idx="4">
                  <c:v>42.07394900983639</c:v>
                </c:pt>
                <c:pt idx="5">
                  <c:v>40.431097033779672</c:v>
                </c:pt>
                <c:pt idx="6">
                  <c:v>41.846872983017633</c:v>
                </c:pt>
                <c:pt idx="7">
                  <c:v>38.080422525006185</c:v>
                </c:pt>
                <c:pt idx="8">
                  <c:v>38.41416117139903</c:v>
                </c:pt>
                <c:pt idx="9">
                  <c:v>33.318813497874245</c:v>
                </c:pt>
                <c:pt idx="10">
                  <c:v>32.002689589225049</c:v>
                </c:pt>
                <c:pt idx="11">
                  <c:v>31.010995139574259</c:v>
                </c:pt>
                <c:pt idx="12">
                  <c:v>30.956279564574761</c:v>
                </c:pt>
                <c:pt idx="13">
                  <c:v>34.67121802840358</c:v>
                </c:pt>
                <c:pt idx="14">
                  <c:v>38.993881795082288</c:v>
                </c:pt>
                <c:pt idx="15">
                  <c:v>43.096707931629247</c:v>
                </c:pt>
                <c:pt idx="16">
                  <c:v>44.094990660290968</c:v>
                </c:pt>
                <c:pt idx="17">
                  <c:v>41.303325908430914</c:v>
                </c:pt>
                <c:pt idx="18">
                  <c:v>40.759811862034276</c:v>
                </c:pt>
                <c:pt idx="19">
                  <c:v>42.208973934746709</c:v>
                </c:pt>
                <c:pt idx="20">
                  <c:v>42.357470827955652</c:v>
                </c:pt>
                <c:pt idx="21">
                  <c:v>40.632409997010647</c:v>
                </c:pt>
                <c:pt idx="22">
                  <c:v>42.219966791737043</c:v>
                </c:pt>
                <c:pt idx="23">
                  <c:v>41.544171618117353</c:v>
                </c:pt>
                <c:pt idx="24">
                  <c:v>39.819876119464944</c:v>
                </c:pt>
                <c:pt idx="25">
                  <c:v>42.293341507121568</c:v>
                </c:pt>
                <c:pt idx="26">
                  <c:v>41.868663139389227</c:v>
                </c:pt>
                <c:pt idx="27">
                  <c:v>46.202214072850026</c:v>
                </c:pt>
                <c:pt idx="28">
                  <c:v>42.949289600850314</c:v>
                </c:pt>
                <c:pt idx="29">
                  <c:v>41.195403762669166</c:v>
                </c:pt>
                <c:pt idx="30">
                  <c:v>40.724687687664904</c:v>
                </c:pt>
                <c:pt idx="31">
                  <c:v>41.931210235921561</c:v>
                </c:pt>
                <c:pt idx="32">
                  <c:v>43.13013445702925</c:v>
                </c:pt>
                <c:pt idx="33">
                  <c:v>49.074782682042056</c:v>
                </c:pt>
                <c:pt idx="34">
                  <c:v>44.477329597078004</c:v>
                </c:pt>
                <c:pt idx="35">
                  <c:v>39.165049545191408</c:v>
                </c:pt>
                <c:pt idx="36">
                  <c:v>40.417466069310258</c:v>
                </c:pt>
                <c:pt idx="37">
                  <c:v>44.762666736695031</c:v>
                </c:pt>
                <c:pt idx="38">
                  <c:v>39.702310203062424</c:v>
                </c:pt>
                <c:pt idx="39">
                  <c:v>40.53367137790157</c:v>
                </c:pt>
                <c:pt idx="40">
                  <c:v>37.796355972180052</c:v>
                </c:pt>
                <c:pt idx="41">
                  <c:v>41.129746946827503</c:v>
                </c:pt>
                <c:pt idx="42">
                  <c:v>38.013235966296243</c:v>
                </c:pt>
                <c:pt idx="43">
                  <c:v>41.8400742453072</c:v>
                </c:pt>
                <c:pt idx="44">
                  <c:v>41.397899442343466</c:v>
                </c:pt>
                <c:pt idx="45">
                  <c:v>45.626102278194821</c:v>
                </c:pt>
                <c:pt idx="46">
                  <c:v>48.237340940602046</c:v>
                </c:pt>
                <c:pt idx="47">
                  <c:v>49.171878494339218</c:v>
                </c:pt>
                <c:pt idx="48">
                  <c:v>48.247841907989631</c:v>
                </c:pt>
                <c:pt idx="49">
                  <c:v>48.484501270482873</c:v>
                </c:pt>
                <c:pt idx="50">
                  <c:v>46.165948836708111</c:v>
                </c:pt>
                <c:pt idx="51">
                  <c:v>43.992111688723007</c:v>
                </c:pt>
                <c:pt idx="52">
                  <c:v>44.488899756106832</c:v>
                </c:pt>
                <c:pt idx="53">
                  <c:v>43.205692935078126</c:v>
                </c:pt>
                <c:pt idx="54">
                  <c:v>42.651850653957858</c:v>
                </c:pt>
                <c:pt idx="55">
                  <c:v>42.001973252793938</c:v>
                </c:pt>
                <c:pt idx="56">
                  <c:v>38.868233619390274</c:v>
                </c:pt>
                <c:pt idx="57">
                  <c:v>38.889948149026878</c:v>
                </c:pt>
                <c:pt idx="58">
                  <c:v>38.771095105459338</c:v>
                </c:pt>
                <c:pt idx="59">
                  <c:v>38.448442826009391</c:v>
                </c:pt>
                <c:pt idx="60">
                  <c:v>40.826576086316969</c:v>
                </c:pt>
                <c:pt idx="61">
                  <c:v>37.037626398827037</c:v>
                </c:pt>
                <c:pt idx="62">
                  <c:v>35.420235624062855</c:v>
                </c:pt>
                <c:pt idx="63">
                  <c:v>33.908651808320847</c:v>
                </c:pt>
                <c:pt idx="64">
                  <c:v>30.383701018159115</c:v>
                </c:pt>
                <c:pt idx="65">
                  <c:v>27.068293969812292</c:v>
                </c:pt>
                <c:pt idx="66">
                  <c:v>29.50627765411771</c:v>
                </c:pt>
                <c:pt idx="67">
                  <c:v>27.448618494244311</c:v>
                </c:pt>
                <c:pt idx="68">
                  <c:v>27.88493675663052</c:v>
                </c:pt>
                <c:pt idx="69">
                  <c:v>29.66355758797237</c:v>
                </c:pt>
                <c:pt idx="70">
                  <c:v>29.031840300619688</c:v>
                </c:pt>
                <c:pt idx="71">
                  <c:v>26.111430742165993</c:v>
                </c:pt>
                <c:pt idx="72">
                  <c:v>26.496005149752314</c:v>
                </c:pt>
                <c:pt idx="73">
                  <c:v>25.445404078211883</c:v>
                </c:pt>
                <c:pt idx="74">
                  <c:v>27.1186963704282</c:v>
                </c:pt>
                <c:pt idx="75">
                  <c:v>25.660205754265768</c:v>
                </c:pt>
                <c:pt idx="76">
                  <c:v>26.258678226127895</c:v>
                </c:pt>
                <c:pt idx="77">
                  <c:v>26.417637242939428</c:v>
                </c:pt>
                <c:pt idx="78">
                  <c:v>27.013443977760165</c:v>
                </c:pt>
                <c:pt idx="79">
                  <c:v>26.948956974324787</c:v>
                </c:pt>
                <c:pt idx="80">
                  <c:v>30.256710546126186</c:v>
                </c:pt>
                <c:pt idx="81">
                  <c:v>28.117498947439589</c:v>
                </c:pt>
                <c:pt idx="82">
                  <c:v>28.926075433337434</c:v>
                </c:pt>
                <c:pt idx="83">
                  <c:v>33.102401121481577</c:v>
                </c:pt>
              </c:numCache>
            </c:numRef>
          </c:xVal>
          <c:yVal>
            <c:numRef>
              <c:f>FDOM_v_Sal!$C$267:$C$350</c:f>
              <c:numCache>
                <c:formatCode>0.00</c:formatCode>
                <c:ptCount val="84"/>
                <c:pt idx="0">
                  <c:v>18.240906073446329</c:v>
                </c:pt>
                <c:pt idx="1">
                  <c:v>18.265793961864397</c:v>
                </c:pt>
                <c:pt idx="2">
                  <c:v>15.601225635593217</c:v>
                </c:pt>
                <c:pt idx="3">
                  <c:v>13.586754237288128</c:v>
                </c:pt>
                <c:pt idx="4">
                  <c:v>14.02803831214689</c:v>
                </c:pt>
                <c:pt idx="5">
                  <c:v>15.337312500000003</c:v>
                </c:pt>
                <c:pt idx="6">
                  <c:v>14.606302789548026</c:v>
                </c:pt>
                <c:pt idx="7">
                  <c:v>15.209230579096037</c:v>
                </c:pt>
                <c:pt idx="8">
                  <c:v>16.855722281073447</c:v>
                </c:pt>
                <c:pt idx="9">
                  <c:v>18.719408898305076</c:v>
                </c:pt>
                <c:pt idx="10">
                  <c:v>19.70760734463278</c:v>
                </c:pt>
                <c:pt idx="11">
                  <c:v>20.170167725988708</c:v>
                </c:pt>
                <c:pt idx="12">
                  <c:v>19.845690854519777</c:v>
                </c:pt>
                <c:pt idx="13">
                  <c:v>18.311039194915249</c:v>
                </c:pt>
                <c:pt idx="14">
                  <c:v>16.091157662429385</c:v>
                </c:pt>
                <c:pt idx="15">
                  <c:v>13.96373481638417</c:v>
                </c:pt>
                <c:pt idx="16">
                  <c:v>13.495283015536716</c:v>
                </c:pt>
                <c:pt idx="17">
                  <c:v>13.724346045197743</c:v>
                </c:pt>
                <c:pt idx="18">
                  <c:v>13.081683615819209</c:v>
                </c:pt>
                <c:pt idx="19">
                  <c:v>12.419164548022593</c:v>
                </c:pt>
                <c:pt idx="20">
                  <c:v>12.578972104519771</c:v>
                </c:pt>
                <c:pt idx="21">
                  <c:v>12.864394244350281</c:v>
                </c:pt>
                <c:pt idx="22">
                  <c:v>12.141502471751414</c:v>
                </c:pt>
                <c:pt idx="23">
                  <c:v>12.480639477401132</c:v>
                </c:pt>
                <c:pt idx="24">
                  <c:v>12.697774187853106</c:v>
                </c:pt>
                <c:pt idx="25">
                  <c:v>12.378698547215498</c:v>
                </c:pt>
                <c:pt idx="26">
                  <c:v>12.206948446327678</c:v>
                </c:pt>
                <c:pt idx="27">
                  <c:v>10.816254413841806</c:v>
                </c:pt>
                <c:pt idx="28">
                  <c:v>11.951077683615821</c:v>
                </c:pt>
                <c:pt idx="29">
                  <c:v>12.763782838983053</c:v>
                </c:pt>
                <c:pt idx="30">
                  <c:v>12.21277083333333</c:v>
                </c:pt>
                <c:pt idx="31">
                  <c:v>11.400756179378531</c:v>
                </c:pt>
                <c:pt idx="32">
                  <c:v>11.110769244350282</c:v>
                </c:pt>
                <c:pt idx="33">
                  <c:v>10.312613170903957</c:v>
                </c:pt>
                <c:pt idx="34">
                  <c:v>11.663917196327681</c:v>
                </c:pt>
                <c:pt idx="35">
                  <c:v>12.879065148305079</c:v>
                </c:pt>
                <c:pt idx="36">
                  <c:v>14.209148128531067</c:v>
                </c:pt>
                <c:pt idx="37">
                  <c:v>14.510730579096046</c:v>
                </c:pt>
                <c:pt idx="38">
                  <c:v>16.546516419491521</c:v>
                </c:pt>
                <c:pt idx="39">
                  <c:v>15.031096927966106</c:v>
                </c:pt>
                <c:pt idx="40">
                  <c:v>15.649846221751412</c:v>
                </c:pt>
                <c:pt idx="41">
                  <c:v>14.666594456214689</c:v>
                </c:pt>
                <c:pt idx="42">
                  <c:v>14.995639124293794</c:v>
                </c:pt>
                <c:pt idx="43">
                  <c:v>14.05838788841808</c:v>
                </c:pt>
                <c:pt idx="44">
                  <c:v>14.167974223163839</c:v>
                </c:pt>
                <c:pt idx="45">
                  <c:v>13.604606461864408</c:v>
                </c:pt>
                <c:pt idx="46">
                  <c:v>13.130163665254237</c:v>
                </c:pt>
                <c:pt idx="47">
                  <c:v>12.750380120056493</c:v>
                </c:pt>
                <c:pt idx="48">
                  <c:v>12.512680967514115</c:v>
                </c:pt>
                <c:pt idx="49">
                  <c:v>12.722496715753808</c:v>
                </c:pt>
                <c:pt idx="50">
                  <c:v>14.161144724864071</c:v>
                </c:pt>
                <c:pt idx="51">
                  <c:v>15.583240995762708</c:v>
                </c:pt>
                <c:pt idx="52">
                  <c:v>14.492361581920905</c:v>
                </c:pt>
                <c:pt idx="53">
                  <c:v>14.711511148123401</c:v>
                </c:pt>
                <c:pt idx="54">
                  <c:v>14.552164228019061</c:v>
                </c:pt>
                <c:pt idx="55">
                  <c:v>13.922814261358992</c:v>
                </c:pt>
                <c:pt idx="56">
                  <c:v>14.36386919317272</c:v>
                </c:pt>
                <c:pt idx="57">
                  <c:v>14.036687239221726</c:v>
                </c:pt>
                <c:pt idx="58">
                  <c:v>13.951794835527659</c:v>
                </c:pt>
                <c:pt idx="59">
                  <c:v>13.441266178401451</c:v>
                </c:pt>
                <c:pt idx="60">
                  <c:v>12.746930434703286</c:v>
                </c:pt>
                <c:pt idx="61">
                  <c:v>14.871527542372876</c:v>
                </c:pt>
                <c:pt idx="62">
                  <c:v>15.955174435028242</c:v>
                </c:pt>
                <c:pt idx="63">
                  <c:v>16.306707097457625</c:v>
                </c:pt>
                <c:pt idx="64">
                  <c:v>17.900968043785308</c:v>
                </c:pt>
                <c:pt idx="65">
                  <c:v>20.261179201977399</c:v>
                </c:pt>
                <c:pt idx="66">
                  <c:v>19.11941507768362</c:v>
                </c:pt>
                <c:pt idx="67">
                  <c:v>19.908706391242927</c:v>
                </c:pt>
                <c:pt idx="68">
                  <c:v>19.547757363291954</c:v>
                </c:pt>
                <c:pt idx="69">
                  <c:v>19.215972457627107</c:v>
                </c:pt>
                <c:pt idx="70">
                  <c:v>19.437318679378524</c:v>
                </c:pt>
                <c:pt idx="71">
                  <c:v>20.62697351694915</c:v>
                </c:pt>
                <c:pt idx="72">
                  <c:v>20.301226518361588</c:v>
                </c:pt>
                <c:pt idx="73">
                  <c:v>21.049951800847452</c:v>
                </c:pt>
                <c:pt idx="74">
                  <c:v>20.116858580508474</c:v>
                </c:pt>
                <c:pt idx="75">
                  <c:v>20.815641596045204</c:v>
                </c:pt>
                <c:pt idx="76">
                  <c:v>19.729792978208234</c:v>
                </c:pt>
                <c:pt idx="77">
                  <c:v>19.565401659604522</c:v>
                </c:pt>
                <c:pt idx="78">
                  <c:v>19.599354166666661</c:v>
                </c:pt>
                <c:pt idx="79">
                  <c:v>19.745036899717515</c:v>
                </c:pt>
                <c:pt idx="80">
                  <c:v>19.09394209039548</c:v>
                </c:pt>
                <c:pt idx="81">
                  <c:v>19.441908015536729</c:v>
                </c:pt>
                <c:pt idx="82">
                  <c:v>19.25778001412429</c:v>
                </c:pt>
                <c:pt idx="83">
                  <c:v>18.539959569209042</c:v>
                </c:pt>
              </c:numCache>
            </c:numRef>
          </c:yVal>
          <c:smooth val="0"/>
          <c:extLst>
            <c:ext xmlns:c16="http://schemas.microsoft.com/office/drawing/2014/chart" uri="{C3380CC4-5D6E-409C-BE32-E72D297353CC}">
              <c16:uniqueId val="{00000003-E216-4E76-9977-C1D59CEF97C0}"/>
            </c:ext>
          </c:extLst>
        </c:ser>
        <c:ser>
          <c:idx val="1"/>
          <c:order val="4"/>
          <c:tx>
            <c:v>All</c:v>
          </c:tx>
          <c:spPr>
            <a:ln w="28575">
              <a:noFill/>
            </a:ln>
          </c:spPr>
          <c:marker>
            <c:symbol val="none"/>
          </c:marker>
          <c:trendline>
            <c:spPr>
              <a:ln w="25400">
                <a:solidFill>
                  <a:srgbClr val="000000"/>
                </a:solidFill>
                <a:prstDash val="solid"/>
              </a:ln>
            </c:spPr>
            <c:trendlineType val="linear"/>
            <c:dispRSqr val="1"/>
            <c:dispEq val="1"/>
            <c:trendlineLbl>
              <c:layout>
                <c:manualLayout>
                  <c:x val="-0.29896665717761139"/>
                  <c:y val="-0.55185215799174359"/>
                </c:manualLayout>
              </c:layout>
              <c:numFmt formatCode="0.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FDOM_v_Sal!$D$3:$D$351</c:f>
              <c:numCache>
                <c:formatCode>0.00</c:formatCode>
                <c:ptCount val="349"/>
                <c:pt idx="0">
                  <c:v>16.978687696170738</c:v>
                </c:pt>
                <c:pt idx="1">
                  <c:v>15.944847457627118</c:v>
                </c:pt>
                <c:pt idx="2">
                  <c:v>15.062862994350285</c:v>
                </c:pt>
                <c:pt idx="3">
                  <c:v>15.602390713276831</c:v>
                </c:pt>
                <c:pt idx="4">
                  <c:v>15.079151836158189</c:v>
                </c:pt>
                <c:pt idx="5">
                  <c:v>15.636722281073453</c:v>
                </c:pt>
                <c:pt idx="6">
                  <c:v>15.205149011299442</c:v>
                </c:pt>
                <c:pt idx="7">
                  <c:v>16.300857168079094</c:v>
                </c:pt>
                <c:pt idx="8">
                  <c:v>17.121345692090397</c:v>
                </c:pt>
                <c:pt idx="9">
                  <c:v>18.510155543785316</c:v>
                </c:pt>
                <c:pt idx="10">
                  <c:v>20.474858050847459</c:v>
                </c:pt>
                <c:pt idx="11">
                  <c:v>25.134566913841809</c:v>
                </c:pt>
                <c:pt idx="12">
                  <c:v>22.97193396892655</c:v>
                </c:pt>
                <c:pt idx="13">
                  <c:v>19.657340042372891</c:v>
                </c:pt>
                <c:pt idx="14">
                  <c:v>26.885162782485882</c:v>
                </c:pt>
                <c:pt idx="15">
                  <c:v>22.038764514965738</c:v>
                </c:pt>
                <c:pt idx="16">
                  <c:v>19.078468749999995</c:v>
                </c:pt>
                <c:pt idx="17">
                  <c:v>16.897520480225989</c:v>
                </c:pt>
                <c:pt idx="18">
                  <c:v>15.743362111581925</c:v>
                </c:pt>
                <c:pt idx="19">
                  <c:v>13.048155896892657</c:v>
                </c:pt>
                <c:pt idx="20">
                  <c:v>13.375208686440685</c:v>
                </c:pt>
                <c:pt idx="21">
                  <c:v>16.665166313559322</c:v>
                </c:pt>
                <c:pt idx="22">
                  <c:v>19.635106638418076</c:v>
                </c:pt>
                <c:pt idx="23">
                  <c:v>19.428061440677961</c:v>
                </c:pt>
                <c:pt idx="24">
                  <c:v>18.527721751412439</c:v>
                </c:pt>
                <c:pt idx="25">
                  <c:v>17.452755296610167</c:v>
                </c:pt>
                <c:pt idx="26">
                  <c:v>16.66449556137874</c:v>
                </c:pt>
                <c:pt idx="27">
                  <c:v>17.105841820027386</c:v>
                </c:pt>
                <c:pt idx="28">
                  <c:v>16.716005826271186</c:v>
                </c:pt>
                <c:pt idx="29">
                  <c:v>15.739791666666662</c:v>
                </c:pt>
                <c:pt idx="30">
                  <c:v>14.572978460451976</c:v>
                </c:pt>
                <c:pt idx="31">
                  <c:v>16.131154484463281</c:v>
                </c:pt>
                <c:pt idx="32">
                  <c:v>18.063752648305087</c:v>
                </c:pt>
                <c:pt idx="33">
                  <c:v>16.060657988992794</c:v>
                </c:pt>
                <c:pt idx="34">
                  <c:v>14.80262199858757</c:v>
                </c:pt>
                <c:pt idx="35">
                  <c:v>14.083356059127501</c:v>
                </c:pt>
                <c:pt idx="36">
                  <c:v>12.097104862701306</c:v>
                </c:pt>
                <c:pt idx="37">
                  <c:v>11.308570380832814</c:v>
                </c:pt>
                <c:pt idx="38">
                  <c:v>10.496460318402949</c:v>
                </c:pt>
                <c:pt idx="39">
                  <c:v>11.035966440849938</c:v>
                </c:pt>
                <c:pt idx="40">
                  <c:v>11.514361405368449</c:v>
                </c:pt>
                <c:pt idx="41">
                  <c:v>11.786222442392138</c:v>
                </c:pt>
                <c:pt idx="42">
                  <c:v>11.773352048022602</c:v>
                </c:pt>
                <c:pt idx="43">
                  <c:v>11.658921061553629</c:v>
                </c:pt>
                <c:pt idx="44">
                  <c:v>11.239142133546409</c:v>
                </c:pt>
                <c:pt idx="45">
                  <c:v>11.779439977324438</c:v>
                </c:pt>
                <c:pt idx="46">
                  <c:v>10.500445373768537</c:v>
                </c:pt>
                <c:pt idx="47">
                  <c:v>10.008929201977397</c:v>
                </c:pt>
                <c:pt idx="48">
                  <c:v>10.023328213276836</c:v>
                </c:pt>
                <c:pt idx="49">
                  <c:v>10.406097281073448</c:v>
                </c:pt>
                <c:pt idx="50">
                  <c:v>11.332889120758439</c:v>
                </c:pt>
                <c:pt idx="51">
                  <c:v>11.865699278869569</c:v>
                </c:pt>
                <c:pt idx="52">
                  <c:v>11.990935739415336</c:v>
                </c:pt>
                <c:pt idx="53">
                  <c:v>11.477708018011723</c:v>
                </c:pt>
                <c:pt idx="54">
                  <c:v>10.698709930475333</c:v>
                </c:pt>
                <c:pt idx="55">
                  <c:v>9.345753884180791</c:v>
                </c:pt>
                <c:pt idx="56">
                  <c:v>11.74245374293786</c:v>
                </c:pt>
                <c:pt idx="57">
                  <c:v>11.425020955249749</c:v>
                </c:pt>
                <c:pt idx="58">
                  <c:v>11.17993467514124</c:v>
                </c:pt>
                <c:pt idx="59">
                  <c:v>11.681879766949153</c:v>
                </c:pt>
                <c:pt idx="60">
                  <c:v>12.021536821457282</c:v>
                </c:pt>
                <c:pt idx="61">
                  <c:v>11.822657097068998</c:v>
                </c:pt>
                <c:pt idx="62">
                  <c:v>11.561208585436098</c:v>
                </c:pt>
                <c:pt idx="63">
                  <c:v>10.538936719787104</c:v>
                </c:pt>
                <c:pt idx="64">
                  <c:v>10.822646888361446</c:v>
                </c:pt>
                <c:pt idx="65">
                  <c:v>14.081165953049888</c:v>
                </c:pt>
                <c:pt idx="66">
                  <c:v>12.733169167567114</c:v>
                </c:pt>
                <c:pt idx="67">
                  <c:v>10.775217056990407</c:v>
                </c:pt>
                <c:pt idx="68">
                  <c:v>10.940790385726658</c:v>
                </c:pt>
                <c:pt idx="69">
                  <c:v>12.730932444615172</c:v>
                </c:pt>
                <c:pt idx="70">
                  <c:v>12.605284458131019</c:v>
                </c:pt>
                <c:pt idx="71">
                  <c:v>12.460820733603896</c:v>
                </c:pt>
                <c:pt idx="72">
                  <c:v>14.055737325968522</c:v>
                </c:pt>
                <c:pt idx="73">
                  <c:v>11.702614184157669</c:v>
                </c:pt>
                <c:pt idx="74">
                  <c:v>12.16063594212403</c:v>
                </c:pt>
                <c:pt idx="75">
                  <c:v>13.189368975934622</c:v>
                </c:pt>
                <c:pt idx="76">
                  <c:v>11.76379731097258</c:v>
                </c:pt>
                <c:pt idx="77">
                  <c:v>10.064944360088587</c:v>
                </c:pt>
                <c:pt idx="78">
                  <c:v>10.226364432771385</c:v>
                </c:pt>
                <c:pt idx="79">
                  <c:v>10.262653425141247</c:v>
                </c:pt>
                <c:pt idx="80">
                  <c:v>14.518574329096031</c:v>
                </c:pt>
                <c:pt idx="90">
                  <c:v>22.328271362994343</c:v>
                </c:pt>
                <c:pt idx="91">
                  <c:v>19.004191161396786</c:v>
                </c:pt>
                <c:pt idx="92">
                  <c:v>27.250488877118645</c:v>
                </c:pt>
                <c:pt idx="93">
                  <c:v>35.201662782485869</c:v>
                </c:pt>
                <c:pt idx="94">
                  <c:v>34.118075741525409</c:v>
                </c:pt>
                <c:pt idx="95">
                  <c:v>34.049662782485875</c:v>
                </c:pt>
                <c:pt idx="96">
                  <c:v>37.346576998925897</c:v>
                </c:pt>
                <c:pt idx="97">
                  <c:v>31.747100910688477</c:v>
                </c:pt>
                <c:pt idx="98">
                  <c:v>32.42105826271186</c:v>
                </c:pt>
                <c:pt idx="99">
                  <c:v>33.427006002824875</c:v>
                </c:pt>
                <c:pt idx="100">
                  <c:v>31.584325035310737</c:v>
                </c:pt>
                <c:pt idx="101">
                  <c:v>31.162987641242946</c:v>
                </c:pt>
                <c:pt idx="102">
                  <c:v>28.491085451977412</c:v>
                </c:pt>
                <c:pt idx="103">
                  <c:v>31.498523128531058</c:v>
                </c:pt>
                <c:pt idx="104">
                  <c:v>33.382791588017561</c:v>
                </c:pt>
                <c:pt idx="105">
                  <c:v>37.423689936440688</c:v>
                </c:pt>
                <c:pt idx="106">
                  <c:v>40.457410134180797</c:v>
                </c:pt>
                <c:pt idx="107">
                  <c:v>37.647912429378543</c:v>
                </c:pt>
                <c:pt idx="108">
                  <c:v>37.308683615819227</c:v>
                </c:pt>
                <c:pt idx="109">
                  <c:v>38.403192620056508</c:v>
                </c:pt>
                <c:pt idx="110">
                  <c:v>38.521962747175138</c:v>
                </c:pt>
                <c:pt idx="111">
                  <c:v>37.054127295197738</c:v>
                </c:pt>
                <c:pt idx="112">
                  <c:v>37.024680595633846</c:v>
                </c:pt>
                <c:pt idx="113">
                  <c:v>37.89025052966101</c:v>
                </c:pt>
                <c:pt idx="114">
                  <c:v>33.550357168079088</c:v>
                </c:pt>
                <c:pt idx="115">
                  <c:v>34.212199096951124</c:v>
                </c:pt>
                <c:pt idx="116">
                  <c:v>35.087110875706202</c:v>
                </c:pt>
                <c:pt idx="117">
                  <c:v>38.693155896892662</c:v>
                </c:pt>
                <c:pt idx="118">
                  <c:v>36.907466984463284</c:v>
                </c:pt>
                <c:pt idx="119">
                  <c:v>35.311825211864409</c:v>
                </c:pt>
                <c:pt idx="120">
                  <c:v>35.791577153954798</c:v>
                </c:pt>
                <c:pt idx="121">
                  <c:v>37.483025343018575</c:v>
                </c:pt>
                <c:pt idx="122">
                  <c:v>37.958327860169497</c:v>
                </c:pt>
                <c:pt idx="123">
                  <c:v>44.18817673022599</c:v>
                </c:pt>
                <c:pt idx="124">
                  <c:v>37.443161899717502</c:v>
                </c:pt>
                <c:pt idx="125">
                  <c:v>33.739187146892661</c:v>
                </c:pt>
                <c:pt idx="126">
                  <c:v>31.176528601694915</c:v>
                </c:pt>
                <c:pt idx="127">
                  <c:v>36.99809498587571</c:v>
                </c:pt>
                <c:pt idx="128">
                  <c:v>34.346479519774014</c:v>
                </c:pt>
                <c:pt idx="129">
                  <c:v>36.306114860972464</c:v>
                </c:pt>
                <c:pt idx="130">
                  <c:v>33.520670550847463</c:v>
                </c:pt>
                <c:pt idx="131">
                  <c:v>34.366490186485905</c:v>
                </c:pt>
                <c:pt idx="132">
                  <c:v>31.835494173728822</c:v>
                </c:pt>
                <c:pt idx="133">
                  <c:v>35.673633121468917</c:v>
                </c:pt>
                <c:pt idx="134">
                  <c:v>35.580782662429378</c:v>
                </c:pt>
                <c:pt idx="135">
                  <c:v>38.422630019168686</c:v>
                </c:pt>
                <c:pt idx="136">
                  <c:v>40.591975638975477</c:v>
                </c:pt>
                <c:pt idx="137">
                  <c:v>41.979668580497787</c:v>
                </c:pt>
                <c:pt idx="138">
                  <c:v>42.452349223163843</c:v>
                </c:pt>
                <c:pt idx="139">
                  <c:v>42.431546644507854</c:v>
                </c:pt>
                <c:pt idx="140">
                  <c:v>40.919862626865203</c:v>
                </c:pt>
                <c:pt idx="141">
                  <c:v>38.887942181854235</c:v>
                </c:pt>
                <c:pt idx="142">
                  <c:v>39.207745720095467</c:v>
                </c:pt>
                <c:pt idx="143">
                  <c:v>39.330648617679479</c:v>
                </c:pt>
                <c:pt idx="144">
                  <c:v>38.259755916629139</c:v>
                </c:pt>
                <c:pt idx="145">
                  <c:v>36.534141778045104</c:v>
                </c:pt>
                <c:pt idx="146">
                  <c:v>33.89815834876056</c:v>
                </c:pt>
                <c:pt idx="147">
                  <c:v>33.199946284769197</c:v>
                </c:pt>
                <c:pt idx="148">
                  <c:v>33.180971896399882</c:v>
                </c:pt>
                <c:pt idx="149">
                  <c:v>33.615370960167461</c:v>
                </c:pt>
                <c:pt idx="150">
                  <c:v>35.248269601891046</c:v>
                </c:pt>
                <c:pt idx="151">
                  <c:v>30.49290893974359</c:v>
                </c:pt>
                <c:pt idx="152">
                  <c:v>29.845613822005699</c:v>
                </c:pt>
                <c:pt idx="153">
                  <c:v>28.248847128275738</c:v>
                </c:pt>
                <c:pt idx="154">
                  <c:v>25.45455311229561</c:v>
                </c:pt>
                <c:pt idx="155">
                  <c:v>20.526532309322036</c:v>
                </c:pt>
                <c:pt idx="156">
                  <c:v>25.156187004080355</c:v>
                </c:pt>
                <c:pt idx="157">
                  <c:v>22.721163324323001</c:v>
                </c:pt>
                <c:pt idx="158">
                  <c:v>22.945011857280576</c:v>
                </c:pt>
                <c:pt idx="159">
                  <c:v>25.426674617669974</c:v>
                </c:pt>
                <c:pt idx="160">
                  <c:v>25.825149364406794</c:v>
                </c:pt>
                <c:pt idx="161">
                  <c:v>23.130865661020589</c:v>
                </c:pt>
                <c:pt idx="162">
                  <c:v>23.214364406779662</c:v>
                </c:pt>
                <c:pt idx="163">
                  <c:v>21.734649011299449</c:v>
                </c:pt>
                <c:pt idx="164">
                  <c:v>22.791842298422612</c:v>
                </c:pt>
                <c:pt idx="165">
                  <c:v>22.183881002824865</c:v>
                </c:pt>
                <c:pt idx="166">
                  <c:v>22.186378973550219</c:v>
                </c:pt>
                <c:pt idx="167">
                  <c:v>22.556979667797851</c:v>
                </c:pt>
                <c:pt idx="168">
                  <c:v>23.111493399608865</c:v>
                </c:pt>
                <c:pt idx="169">
                  <c:v>23.034413702594222</c:v>
                </c:pt>
                <c:pt idx="170">
                  <c:v>24.845665783898308</c:v>
                </c:pt>
                <c:pt idx="171">
                  <c:v>24.5916804378531</c:v>
                </c:pt>
                <c:pt idx="172">
                  <c:v>24.840153778248578</c:v>
                </c:pt>
                <c:pt idx="173">
                  <c:v>27.467213983050854</c:v>
                </c:pt>
                <c:pt idx="174" formatCode="0.0">
                  <c:v>18.386161016949156</c:v>
                </c:pt>
                <c:pt idx="175" formatCode="0.0">
                  <c:v>17.517100988700559</c:v>
                </c:pt>
                <c:pt idx="176" formatCode="0.0">
                  <c:v>16.657668608757064</c:v>
                </c:pt>
                <c:pt idx="177" formatCode="0.0">
                  <c:v>16.733075918079098</c:v>
                </c:pt>
                <c:pt idx="178" formatCode="0.0">
                  <c:v>16.065516066384181</c:v>
                </c:pt>
                <c:pt idx="179" formatCode="0.0">
                  <c:v>15.825204978813559</c:v>
                </c:pt>
                <c:pt idx="180" formatCode="0.0">
                  <c:v>14.780415430790965</c:v>
                </c:pt>
                <c:pt idx="181" formatCode="0.0">
                  <c:v>17.564926730225988</c:v>
                </c:pt>
                <c:pt idx="182" formatCode="0.0">
                  <c:v>21.342870762711865</c:v>
                </c:pt>
                <c:pt idx="183" formatCode="0.0">
                  <c:v>21.994131355932208</c:v>
                </c:pt>
                <c:pt idx="184" formatCode="0.0">
                  <c:v>23.289865289548018</c:v>
                </c:pt>
                <c:pt idx="185" formatCode="0.0">
                  <c:v>28.164465218926555</c:v>
                </c:pt>
                <c:pt idx="186" formatCode="0.0">
                  <c:v>25.510856461864417</c:v>
                </c:pt>
                <c:pt idx="187" formatCode="0.0">
                  <c:v>24.260816737288135</c:v>
                </c:pt>
                <c:pt idx="188" formatCode="0.0">
                  <c:v>30.373960275423727</c:v>
                </c:pt>
                <c:pt idx="189" formatCode="0.0">
                  <c:v>24.270680310133429</c:v>
                </c:pt>
                <c:pt idx="190" formatCode="0.0">
                  <c:v>20.7034196680791</c:v>
                </c:pt>
                <c:pt idx="191" formatCode="0.0">
                  <c:v>18.255967514124297</c:v>
                </c:pt>
                <c:pt idx="192" formatCode="0.0">
                  <c:v>16.000549611581913</c:v>
                </c:pt>
                <c:pt idx="193" formatCode="0.0">
                  <c:v>14.301041313559322</c:v>
                </c:pt>
                <c:pt idx="194" formatCode="0.0">
                  <c:v>15.288169668079092</c:v>
                </c:pt>
                <c:pt idx="195" formatCode="0.0">
                  <c:v>18.181217867231641</c:v>
                </c:pt>
                <c:pt idx="196" formatCode="0.0">
                  <c:v>20.915137711864407</c:v>
                </c:pt>
                <c:pt idx="197" formatCode="0.0">
                  <c:v>20.283264477401133</c:v>
                </c:pt>
                <c:pt idx="198" formatCode="0.0">
                  <c:v>19.700601341807907</c:v>
                </c:pt>
                <c:pt idx="199" formatCode="0.0">
                  <c:v>19.306106638418083</c:v>
                </c:pt>
                <c:pt idx="200" formatCode="0.0">
                  <c:v>18.636876765536726</c:v>
                </c:pt>
                <c:pt idx="201" formatCode="0.0">
                  <c:v>18.019468926553674</c:v>
                </c:pt>
                <c:pt idx="202" formatCode="0.0">
                  <c:v>18.604976165254239</c:v>
                </c:pt>
                <c:pt idx="203" formatCode="0.0">
                  <c:v>17.102639300847457</c:v>
                </c:pt>
                <c:pt idx="204" formatCode="0.0">
                  <c:v>17.493833509887008</c:v>
                </c:pt>
                <c:pt idx="205" formatCode="0.0">
                  <c:v>17.630153601694925</c:v>
                </c:pt>
                <c:pt idx="206" formatCode="0.0">
                  <c:v>19.011587747175142</c:v>
                </c:pt>
                <c:pt idx="207" formatCode="0.0">
                  <c:v>17.307671433615813</c:v>
                </c:pt>
                <c:pt idx="208" formatCode="0.0">
                  <c:v>14.937471045197745</c:v>
                </c:pt>
                <c:pt idx="209" formatCode="0.0">
                  <c:v>13.345729343220334</c:v>
                </c:pt>
                <c:pt idx="210" formatCode="0.0">
                  <c:v>11.683431144067796</c:v>
                </c:pt>
                <c:pt idx="211" formatCode="0.0">
                  <c:v>11.119592337570625</c:v>
                </c:pt>
                <c:pt idx="212" formatCode="0.0">
                  <c:v>10.907237111581916</c:v>
                </c:pt>
                <c:pt idx="213" formatCode="0.0">
                  <c:v>10.762946327683608</c:v>
                </c:pt>
                <c:pt idx="214" formatCode="0.0">
                  <c:v>12.088289018361579</c:v>
                </c:pt>
                <c:pt idx="215" formatCode="0.0">
                  <c:v>11.924936970338983</c:v>
                </c:pt>
                <c:pt idx="216" formatCode="0.0">
                  <c:v>12.554750706214682</c:v>
                </c:pt>
                <c:pt idx="217" formatCode="0.0">
                  <c:v>11.91878478107345</c:v>
                </c:pt>
                <c:pt idx="218" formatCode="0.0">
                  <c:v>11.732908721751416</c:v>
                </c:pt>
                <c:pt idx="219" formatCode="0.0">
                  <c:v>11.875539548022596</c:v>
                </c:pt>
                <c:pt idx="220" formatCode="0.0">
                  <c:v>10.692089159604523</c:v>
                </c:pt>
                <c:pt idx="221" formatCode="0.0">
                  <c:v>9.8807168079096019</c:v>
                </c:pt>
                <c:pt idx="222" formatCode="0.0">
                  <c:v>9.5100958686440666</c:v>
                </c:pt>
                <c:pt idx="223" formatCode="0.0">
                  <c:v>9.451252295197742</c:v>
                </c:pt>
                <c:pt idx="224" formatCode="0.0">
                  <c:v>11.266550847457623</c:v>
                </c:pt>
                <c:pt idx="225" formatCode="0.0">
                  <c:v>12.399160310734468</c:v>
                </c:pt>
                <c:pt idx="226" formatCode="0.0">
                  <c:v>12.117394067796612</c:v>
                </c:pt>
                <c:pt idx="227" formatCode="0.0">
                  <c:v>11.652375882768368</c:v>
                </c:pt>
                <c:pt idx="228" formatCode="0.0">
                  <c:v>10.543114583333336</c:v>
                </c:pt>
                <c:pt idx="229" formatCode="0.0">
                  <c:v>10.147103813559323</c:v>
                </c:pt>
                <c:pt idx="230" formatCode="0.0">
                  <c:v>12.139741701977393</c:v>
                </c:pt>
                <c:pt idx="231" formatCode="0.0">
                  <c:v>11.031147598870058</c:v>
                </c:pt>
                <c:pt idx="232" formatCode="0.0">
                  <c:v>10.758058086158199</c:v>
                </c:pt>
                <c:pt idx="233" formatCode="0.0">
                  <c:v>12.209936087570618</c:v>
                </c:pt>
                <c:pt idx="234" formatCode="0.0">
                  <c:v>12.126614583333334</c:v>
                </c:pt>
                <c:pt idx="235" formatCode="0.0">
                  <c:v>11.414127471751415</c:v>
                </c:pt>
                <c:pt idx="236" formatCode="0.0">
                  <c:v>11.148335805084747</c:v>
                </c:pt>
                <c:pt idx="237" formatCode="0.0">
                  <c:v>10.674214159604517</c:v>
                </c:pt>
                <c:pt idx="238" formatCode="0.0">
                  <c:v>11.313085805084752</c:v>
                </c:pt>
                <c:pt idx="239" formatCode="0.0">
                  <c:v>14.428552789548029</c:v>
                </c:pt>
                <c:pt idx="240" formatCode="0.0">
                  <c:v>11.790251765536722</c:v>
                </c:pt>
                <c:pt idx="241" formatCode="0.0">
                  <c:v>10.555831391242934</c:v>
                </c:pt>
                <c:pt idx="242" formatCode="0.0">
                  <c:v>10.926110169491528</c:v>
                </c:pt>
                <c:pt idx="243" formatCode="0.0">
                  <c:v>12.878724752824866</c:v>
                </c:pt>
                <c:pt idx="244" formatCode="0.0">
                  <c:v>13.085451271186434</c:v>
                </c:pt>
                <c:pt idx="245" formatCode="0.0">
                  <c:v>12.637158898305087</c:v>
                </c:pt>
                <c:pt idx="246" formatCode="0.0">
                  <c:v>13.383877118644071</c:v>
                </c:pt>
                <c:pt idx="247" formatCode="0.0">
                  <c:v>11.305588629943502</c:v>
                </c:pt>
                <c:pt idx="248" formatCode="0.0">
                  <c:v>11.792236228813557</c:v>
                </c:pt>
                <c:pt idx="249" formatCode="0.0">
                  <c:v>12.65905896892655</c:v>
                </c:pt>
                <c:pt idx="250" formatCode="0.0">
                  <c:v>10.875216278248587</c:v>
                </c:pt>
                <c:pt idx="251" formatCode="0.0">
                  <c:v>9.4406599576271173</c:v>
                </c:pt>
                <c:pt idx="252" formatCode="0.0">
                  <c:v>10.461516419491524</c:v>
                </c:pt>
                <c:pt idx="253" formatCode="0.0">
                  <c:v>10.890973870056493</c:v>
                </c:pt>
                <c:pt idx="254" formatCode="0.0">
                  <c:v>15.118158015536727</c:v>
                </c:pt>
                <c:pt idx="264" formatCode="0.0">
                  <c:v>25.383553185202238</c:v>
                </c:pt>
                <c:pt idx="265" formatCode="0.0">
                  <c:v>23.15512276711998</c:v>
                </c:pt>
                <c:pt idx="266" formatCode="0.0">
                  <c:v>32.532443169923326</c:v>
                </c:pt>
                <c:pt idx="267" formatCode="0.0">
                  <c:v>41.370320442779992</c:v>
                </c:pt>
                <c:pt idx="268" formatCode="0.0">
                  <c:v>42.07394900983639</c:v>
                </c:pt>
                <c:pt idx="269" formatCode="0.0">
                  <c:v>40.431097033779672</c:v>
                </c:pt>
                <c:pt idx="270" formatCode="0.0">
                  <c:v>41.846872983017633</c:v>
                </c:pt>
                <c:pt idx="271" formatCode="0.0">
                  <c:v>38.080422525006185</c:v>
                </c:pt>
                <c:pt idx="272" formatCode="0.0">
                  <c:v>38.41416117139903</c:v>
                </c:pt>
                <c:pt idx="273" formatCode="0.0">
                  <c:v>33.318813497874245</c:v>
                </c:pt>
                <c:pt idx="274" formatCode="0.0">
                  <c:v>32.002689589225049</c:v>
                </c:pt>
                <c:pt idx="275" formatCode="0.0">
                  <c:v>31.010995139574259</c:v>
                </c:pt>
                <c:pt idx="276" formatCode="0.0">
                  <c:v>30.956279564574761</c:v>
                </c:pt>
                <c:pt idx="277" formatCode="0.0">
                  <c:v>34.67121802840358</c:v>
                </c:pt>
                <c:pt idx="278" formatCode="0.0">
                  <c:v>38.993881795082288</c:v>
                </c:pt>
                <c:pt idx="279" formatCode="0.0">
                  <c:v>43.096707931629247</c:v>
                </c:pt>
                <c:pt idx="280" formatCode="0.0">
                  <c:v>44.094990660290968</c:v>
                </c:pt>
                <c:pt idx="281" formatCode="0.0">
                  <c:v>41.303325908430914</c:v>
                </c:pt>
                <c:pt idx="282" formatCode="0.0">
                  <c:v>40.759811862034276</c:v>
                </c:pt>
                <c:pt idx="283" formatCode="0.0">
                  <c:v>42.208973934746709</c:v>
                </c:pt>
                <c:pt idx="284" formatCode="0.0">
                  <c:v>42.357470827955652</c:v>
                </c:pt>
                <c:pt idx="285" formatCode="0.0">
                  <c:v>40.632409997010647</c:v>
                </c:pt>
                <c:pt idx="286" formatCode="0.0">
                  <c:v>42.219966791737043</c:v>
                </c:pt>
                <c:pt idx="287" formatCode="0.0">
                  <c:v>41.544171618117353</c:v>
                </c:pt>
                <c:pt idx="288" formatCode="0.0">
                  <c:v>39.819876119464944</c:v>
                </c:pt>
                <c:pt idx="289" formatCode="0.0">
                  <c:v>42.293341507121568</c:v>
                </c:pt>
                <c:pt idx="290" formatCode="0.0">
                  <c:v>41.868663139389227</c:v>
                </c:pt>
                <c:pt idx="291" formatCode="0.0">
                  <c:v>46.202214072850026</c:v>
                </c:pt>
                <c:pt idx="292" formatCode="0.0">
                  <c:v>42.949289600850314</c:v>
                </c:pt>
                <c:pt idx="293" formatCode="0.0">
                  <c:v>41.195403762669166</c:v>
                </c:pt>
                <c:pt idx="294" formatCode="0.0">
                  <c:v>40.724687687664904</c:v>
                </c:pt>
                <c:pt idx="295" formatCode="0.0">
                  <c:v>41.931210235921561</c:v>
                </c:pt>
                <c:pt idx="296" formatCode="0.0">
                  <c:v>43.13013445702925</c:v>
                </c:pt>
                <c:pt idx="297" formatCode="0.0">
                  <c:v>49.074782682042056</c:v>
                </c:pt>
                <c:pt idx="298" formatCode="0.0">
                  <c:v>44.477329597078004</c:v>
                </c:pt>
                <c:pt idx="299" formatCode="0.0">
                  <c:v>39.165049545191408</c:v>
                </c:pt>
                <c:pt idx="300" formatCode="0.0">
                  <c:v>40.417466069310258</c:v>
                </c:pt>
                <c:pt idx="301" formatCode="0.0">
                  <c:v>44.762666736695031</c:v>
                </c:pt>
                <c:pt idx="302" formatCode="0.0">
                  <c:v>39.702310203062424</c:v>
                </c:pt>
                <c:pt idx="303" formatCode="0.0">
                  <c:v>40.53367137790157</c:v>
                </c:pt>
                <c:pt idx="304" formatCode="0.0">
                  <c:v>37.796355972180052</c:v>
                </c:pt>
                <c:pt idx="305" formatCode="0.0">
                  <c:v>41.129746946827503</c:v>
                </c:pt>
                <c:pt idx="306" formatCode="0.0">
                  <c:v>38.013235966296243</c:v>
                </c:pt>
                <c:pt idx="307" formatCode="0.0">
                  <c:v>41.8400742453072</c:v>
                </c:pt>
                <c:pt idx="308" formatCode="0.0">
                  <c:v>41.397899442343466</c:v>
                </c:pt>
                <c:pt idx="309" formatCode="0.0">
                  <c:v>45.626102278194821</c:v>
                </c:pt>
                <c:pt idx="310" formatCode="0.0">
                  <c:v>48.237340940602046</c:v>
                </c:pt>
                <c:pt idx="311" formatCode="0.0">
                  <c:v>49.171878494339218</c:v>
                </c:pt>
                <c:pt idx="312" formatCode="0.0">
                  <c:v>48.247841907989631</c:v>
                </c:pt>
                <c:pt idx="313" formatCode="0.0">
                  <c:v>48.484501270482873</c:v>
                </c:pt>
                <c:pt idx="314" formatCode="0.0">
                  <c:v>46.165948836708111</c:v>
                </c:pt>
                <c:pt idx="315" formatCode="0.0">
                  <c:v>43.992111688723007</c:v>
                </c:pt>
                <c:pt idx="316" formatCode="0.0">
                  <c:v>44.488899756106832</c:v>
                </c:pt>
                <c:pt idx="317" formatCode="0.0">
                  <c:v>43.205692935078126</c:v>
                </c:pt>
                <c:pt idx="318" formatCode="0.0">
                  <c:v>42.651850653957858</c:v>
                </c:pt>
                <c:pt idx="319" formatCode="0.0">
                  <c:v>42.001973252793938</c:v>
                </c:pt>
                <c:pt idx="320" formatCode="0.0">
                  <c:v>38.868233619390274</c:v>
                </c:pt>
                <c:pt idx="321" formatCode="0.0">
                  <c:v>38.889948149026878</c:v>
                </c:pt>
                <c:pt idx="322" formatCode="0.0">
                  <c:v>38.771095105459338</c:v>
                </c:pt>
                <c:pt idx="323" formatCode="0.0">
                  <c:v>38.448442826009391</c:v>
                </c:pt>
                <c:pt idx="324" formatCode="0.0">
                  <c:v>40.826576086316969</c:v>
                </c:pt>
                <c:pt idx="325" formatCode="0.0">
                  <c:v>37.037626398827037</c:v>
                </c:pt>
                <c:pt idx="326" formatCode="0.0">
                  <c:v>35.420235624062855</c:v>
                </c:pt>
                <c:pt idx="327" formatCode="0.0">
                  <c:v>33.908651808320847</c:v>
                </c:pt>
                <c:pt idx="328" formatCode="0.0">
                  <c:v>30.383701018159115</c:v>
                </c:pt>
                <c:pt idx="329" formatCode="0.0">
                  <c:v>27.068293969812292</c:v>
                </c:pt>
                <c:pt idx="330" formatCode="0.0">
                  <c:v>29.50627765411771</c:v>
                </c:pt>
                <c:pt idx="331" formatCode="0.0">
                  <c:v>27.448618494244311</c:v>
                </c:pt>
                <c:pt idx="332" formatCode="0.0">
                  <c:v>27.88493675663052</c:v>
                </c:pt>
                <c:pt idx="333" formatCode="0.0">
                  <c:v>29.66355758797237</c:v>
                </c:pt>
                <c:pt idx="334" formatCode="0.0">
                  <c:v>29.031840300619688</c:v>
                </c:pt>
                <c:pt idx="335" formatCode="0.0">
                  <c:v>26.111430742165993</c:v>
                </c:pt>
                <c:pt idx="336" formatCode="0.0">
                  <c:v>26.496005149752314</c:v>
                </c:pt>
                <c:pt idx="337" formatCode="0.0">
                  <c:v>25.445404078211883</c:v>
                </c:pt>
                <c:pt idx="338" formatCode="0.0">
                  <c:v>27.1186963704282</c:v>
                </c:pt>
                <c:pt idx="339" formatCode="0.0">
                  <c:v>25.660205754265768</c:v>
                </c:pt>
                <c:pt idx="340" formatCode="0.0">
                  <c:v>26.258678226127895</c:v>
                </c:pt>
                <c:pt idx="341" formatCode="0.0">
                  <c:v>26.417637242939428</c:v>
                </c:pt>
                <c:pt idx="342" formatCode="0.0">
                  <c:v>27.013443977760165</c:v>
                </c:pt>
                <c:pt idx="343" formatCode="0.0">
                  <c:v>26.948956974324787</c:v>
                </c:pt>
                <c:pt idx="344" formatCode="0.0">
                  <c:v>30.256710546126186</c:v>
                </c:pt>
                <c:pt idx="345" formatCode="0.0">
                  <c:v>28.117498947439589</c:v>
                </c:pt>
                <c:pt idx="346" formatCode="0.0">
                  <c:v>28.926075433337434</c:v>
                </c:pt>
                <c:pt idx="347" formatCode="0.0">
                  <c:v>33.102401121481577</c:v>
                </c:pt>
              </c:numCache>
            </c:numRef>
          </c:xVal>
          <c:yVal>
            <c:numRef>
              <c:f>FDOM_v_Sal!$C$3:$C$351</c:f>
              <c:numCache>
                <c:formatCode>0.00</c:formatCode>
                <c:ptCount val="349"/>
                <c:pt idx="0">
                  <c:v>22.21816603892027</c:v>
                </c:pt>
                <c:pt idx="1">
                  <c:v>22.640152542372874</c:v>
                </c:pt>
                <c:pt idx="2">
                  <c:v>24.429520127118632</c:v>
                </c:pt>
                <c:pt idx="3">
                  <c:v>23.964330508474575</c:v>
                </c:pt>
                <c:pt idx="4">
                  <c:v>23.684876412429375</c:v>
                </c:pt>
                <c:pt idx="5">
                  <c:v>23.220986935028247</c:v>
                </c:pt>
                <c:pt idx="6">
                  <c:v>23.632603107344632</c:v>
                </c:pt>
                <c:pt idx="7">
                  <c:v>23.144691031073449</c:v>
                </c:pt>
                <c:pt idx="8">
                  <c:v>22.841987994350276</c:v>
                </c:pt>
                <c:pt idx="9">
                  <c:v>21.416925141242928</c:v>
                </c:pt>
                <c:pt idx="10">
                  <c:v>20.527373764124299</c:v>
                </c:pt>
                <c:pt idx="11">
                  <c:v>19.100513947740115</c:v>
                </c:pt>
                <c:pt idx="12">
                  <c:v>19.703350105932202</c:v>
                </c:pt>
                <c:pt idx="13">
                  <c:v>21.346641242937849</c:v>
                </c:pt>
                <c:pt idx="14">
                  <c:v>18.561802789548029</c:v>
                </c:pt>
                <c:pt idx="15">
                  <c:v>20.796891813919945</c:v>
                </c:pt>
                <c:pt idx="16">
                  <c:v>21.810017302259883</c:v>
                </c:pt>
                <c:pt idx="17">
                  <c:v>23.788679378531068</c:v>
                </c:pt>
                <c:pt idx="18">
                  <c:v>24.706439795197749</c:v>
                </c:pt>
                <c:pt idx="19">
                  <c:v>27.15217637711865</c:v>
                </c:pt>
                <c:pt idx="20">
                  <c:v>27.19479201977401</c:v>
                </c:pt>
                <c:pt idx="21">
                  <c:v>25.626908721751416</c:v>
                </c:pt>
                <c:pt idx="22">
                  <c:v>23.794778248587573</c:v>
                </c:pt>
                <c:pt idx="23">
                  <c:v>23.810814088983054</c:v>
                </c:pt>
                <c:pt idx="24">
                  <c:v>23.706143185028253</c:v>
                </c:pt>
                <c:pt idx="25">
                  <c:v>24.353506532485881</c:v>
                </c:pt>
                <c:pt idx="26">
                  <c:v>24.476784158489448</c:v>
                </c:pt>
                <c:pt idx="27">
                  <c:v>23.575590541417132</c:v>
                </c:pt>
                <c:pt idx="28">
                  <c:v>24.252236405367231</c:v>
                </c:pt>
                <c:pt idx="29">
                  <c:v>25.241649187853113</c:v>
                </c:pt>
                <c:pt idx="30">
                  <c:v>25.789768008474592</c:v>
                </c:pt>
                <c:pt idx="31">
                  <c:v>24.409184322033894</c:v>
                </c:pt>
                <c:pt idx="32">
                  <c:v>21.864791843220331</c:v>
                </c:pt>
                <c:pt idx="33">
                  <c:v>22.79996597262809</c:v>
                </c:pt>
                <c:pt idx="34">
                  <c:v>24.374225105932208</c:v>
                </c:pt>
                <c:pt idx="35">
                  <c:v>24.728405529410963</c:v>
                </c:pt>
                <c:pt idx="36">
                  <c:v>25.893389472323211</c:v>
                </c:pt>
                <c:pt idx="37">
                  <c:v>25.809465742772513</c:v>
                </c:pt>
                <c:pt idx="38">
                  <c:v>25.996840779015262</c:v>
                </c:pt>
                <c:pt idx="39">
                  <c:v>24.510055207970797</c:v>
                </c:pt>
                <c:pt idx="40">
                  <c:v>24.229914346720417</c:v>
                </c:pt>
                <c:pt idx="41">
                  <c:v>25.013482161887193</c:v>
                </c:pt>
                <c:pt idx="42">
                  <c:v>26.634729343220346</c:v>
                </c:pt>
                <c:pt idx="43">
                  <c:v>26.274259060314375</c:v>
                </c:pt>
                <c:pt idx="44">
                  <c:v>26.680667219204722</c:v>
                </c:pt>
                <c:pt idx="45">
                  <c:v>25.755000178200216</c:v>
                </c:pt>
                <c:pt idx="46">
                  <c:v>26.83292821583143</c:v>
                </c:pt>
                <c:pt idx="47">
                  <c:v>27.463314265536713</c:v>
                </c:pt>
                <c:pt idx="48">
                  <c:v>27.830065854519773</c:v>
                </c:pt>
                <c:pt idx="49">
                  <c:v>27.620430614406775</c:v>
                </c:pt>
                <c:pt idx="50">
                  <c:v>26.683757384514905</c:v>
                </c:pt>
                <c:pt idx="51">
                  <c:v>25.716775352846437</c:v>
                </c:pt>
                <c:pt idx="52">
                  <c:v>24.886524389552601</c:v>
                </c:pt>
                <c:pt idx="53">
                  <c:v>26.071560624124853</c:v>
                </c:pt>
                <c:pt idx="54">
                  <c:v>26.920201829286579</c:v>
                </c:pt>
                <c:pt idx="55">
                  <c:v>28.361257944915252</c:v>
                </c:pt>
                <c:pt idx="56">
                  <c:v>25.295429025423726</c:v>
                </c:pt>
                <c:pt idx="57">
                  <c:v>25.898687168348754</c:v>
                </c:pt>
                <c:pt idx="58">
                  <c:v>26.279837040960444</c:v>
                </c:pt>
                <c:pt idx="59">
                  <c:v>25.595419138418077</c:v>
                </c:pt>
                <c:pt idx="60">
                  <c:v>24.383482527722929</c:v>
                </c:pt>
                <c:pt idx="61">
                  <c:v>24.083331997309738</c:v>
                </c:pt>
                <c:pt idx="62">
                  <c:v>24.572879164704972</c:v>
                </c:pt>
                <c:pt idx="63">
                  <c:v>26.176947269065945</c:v>
                </c:pt>
                <c:pt idx="64">
                  <c:v>25.63170281232912</c:v>
                </c:pt>
                <c:pt idx="65">
                  <c:v>21.242429803466162</c:v>
                </c:pt>
                <c:pt idx="66">
                  <c:v>22.915661686107139</c:v>
                </c:pt>
                <c:pt idx="67">
                  <c:v>25.625457551553385</c:v>
                </c:pt>
                <c:pt idx="68">
                  <c:v>25.225603408102547</c:v>
                </c:pt>
                <c:pt idx="69">
                  <c:v>24.056330789149641</c:v>
                </c:pt>
                <c:pt idx="70">
                  <c:v>24.935472021743113</c:v>
                </c:pt>
                <c:pt idx="71">
                  <c:v>25.633562206149829</c:v>
                </c:pt>
                <c:pt idx="72">
                  <c:v>23.915536470944307</c:v>
                </c:pt>
                <c:pt idx="73">
                  <c:v>26.282397497981687</c:v>
                </c:pt>
                <c:pt idx="74">
                  <c:v>25.156352797208019</c:v>
                </c:pt>
                <c:pt idx="75">
                  <c:v>23.911182017299819</c:v>
                </c:pt>
                <c:pt idx="76">
                  <c:v>25.343592258876839</c:v>
                </c:pt>
                <c:pt idx="77">
                  <c:v>27.397737953651184</c:v>
                </c:pt>
                <c:pt idx="78">
                  <c:v>27.533929822414759</c:v>
                </c:pt>
                <c:pt idx="79">
                  <c:v>27.791169668079096</c:v>
                </c:pt>
                <c:pt idx="80">
                  <c:v>23.167841101694908</c:v>
                </c:pt>
                <c:pt idx="90">
                  <c:v>18.88955632062147</c:v>
                </c:pt>
                <c:pt idx="91">
                  <c:v>19.86286725127864</c:v>
                </c:pt>
                <c:pt idx="92">
                  <c:v>16.574474752824852</c:v>
                </c:pt>
                <c:pt idx="93">
                  <c:v>14.355791313559328</c:v>
                </c:pt>
                <c:pt idx="94">
                  <c:v>15.773650600282481</c:v>
                </c:pt>
                <c:pt idx="95">
                  <c:v>16.468085275423725</c:v>
                </c:pt>
                <c:pt idx="96">
                  <c:v>15.369906491585203</c:v>
                </c:pt>
                <c:pt idx="97">
                  <c:v>16.791984096152792</c:v>
                </c:pt>
                <c:pt idx="98">
                  <c:v>18.179437676553679</c:v>
                </c:pt>
                <c:pt idx="99">
                  <c:v>18.320598870056497</c:v>
                </c:pt>
                <c:pt idx="100">
                  <c:v>19.001247175141241</c:v>
                </c:pt>
                <c:pt idx="101">
                  <c:v>19.36372369350282</c:v>
                </c:pt>
                <c:pt idx="102">
                  <c:v>19.828459216101702</c:v>
                </c:pt>
                <c:pt idx="103">
                  <c:v>18.819915783898313</c:v>
                </c:pt>
                <c:pt idx="104">
                  <c:v>17.209970630255931</c:v>
                </c:pt>
                <c:pt idx="105">
                  <c:v>14.602557838983053</c:v>
                </c:pt>
                <c:pt idx="106">
                  <c:v>13.631303848870068</c:v>
                </c:pt>
                <c:pt idx="107">
                  <c:v>13.746888947740112</c:v>
                </c:pt>
                <c:pt idx="108">
                  <c:v>13.650138771186436</c:v>
                </c:pt>
                <c:pt idx="109">
                  <c:v>12.621825211864405</c:v>
                </c:pt>
                <c:pt idx="110">
                  <c:v>12.757181497175134</c:v>
                </c:pt>
                <c:pt idx="111">
                  <c:v>13.202123587570625</c:v>
                </c:pt>
                <c:pt idx="112">
                  <c:v>13.159469096598841</c:v>
                </c:pt>
                <c:pt idx="113">
                  <c:v>12.680178319209041</c:v>
                </c:pt>
                <c:pt idx="114">
                  <c:v>14.136082274011299</c:v>
                </c:pt>
                <c:pt idx="115">
                  <c:v>13.560876544201223</c:v>
                </c:pt>
                <c:pt idx="116">
                  <c:v>13.517367055084753</c:v>
                </c:pt>
                <c:pt idx="117">
                  <c:v>11.977084216101696</c:v>
                </c:pt>
                <c:pt idx="118">
                  <c:v>13.892986228813561</c:v>
                </c:pt>
                <c:pt idx="119">
                  <c:v>14.147774187853107</c:v>
                </c:pt>
                <c:pt idx="120">
                  <c:v>13.888270656779655</c:v>
                </c:pt>
                <c:pt idx="121">
                  <c:v>12.531779343220338</c:v>
                </c:pt>
                <c:pt idx="122">
                  <c:v>12.312165783898303</c:v>
                </c:pt>
                <c:pt idx="123">
                  <c:v>10.865179201977398</c:v>
                </c:pt>
                <c:pt idx="124">
                  <c:v>13.843987288135596</c:v>
                </c:pt>
                <c:pt idx="125">
                  <c:v>16.471236052259869</c:v>
                </c:pt>
                <c:pt idx="126">
                  <c:v>19.312718573446329</c:v>
                </c:pt>
                <c:pt idx="127">
                  <c:v>16.501178319209036</c:v>
                </c:pt>
                <c:pt idx="128">
                  <c:v>17.838404661016952</c:v>
                </c:pt>
                <c:pt idx="129">
                  <c:v>15.648320499180672</c:v>
                </c:pt>
                <c:pt idx="130">
                  <c:v>16.568921433615824</c:v>
                </c:pt>
                <c:pt idx="131">
                  <c:v>15.972633094072672</c:v>
                </c:pt>
                <c:pt idx="132">
                  <c:v>15.839216454802271</c:v>
                </c:pt>
                <c:pt idx="133">
                  <c:v>14.910411899717511</c:v>
                </c:pt>
                <c:pt idx="134">
                  <c:v>14.951354343220338</c:v>
                </c:pt>
                <c:pt idx="135">
                  <c:v>14.31002839991929</c:v>
                </c:pt>
                <c:pt idx="136">
                  <c:v>14.122517659876898</c:v>
                </c:pt>
                <c:pt idx="137">
                  <c:v>13.727219111023606</c:v>
                </c:pt>
                <c:pt idx="138">
                  <c:v>12.856678142655362</c:v>
                </c:pt>
                <c:pt idx="139">
                  <c:v>13.146785091452216</c:v>
                </c:pt>
                <c:pt idx="140">
                  <c:v>14.612028338148164</c:v>
                </c:pt>
                <c:pt idx="141">
                  <c:v>15.885122129299235</c:v>
                </c:pt>
                <c:pt idx="142">
                  <c:v>14.951323708114154</c:v>
                </c:pt>
                <c:pt idx="143">
                  <c:v>14.795833628371176</c:v>
                </c:pt>
                <c:pt idx="144">
                  <c:v>15.207889485508181</c:v>
                </c:pt>
                <c:pt idx="145">
                  <c:v>14.817397953290964</c:v>
                </c:pt>
                <c:pt idx="146">
                  <c:v>15.029007667085979</c:v>
                </c:pt>
                <c:pt idx="147">
                  <c:v>14.590683182784391</c:v>
                </c:pt>
                <c:pt idx="148">
                  <c:v>14.607297115694875</c:v>
                </c:pt>
                <c:pt idx="149">
                  <c:v>13.955450969770373</c:v>
                </c:pt>
                <c:pt idx="150">
                  <c:v>14.031651574172564</c:v>
                </c:pt>
                <c:pt idx="151">
                  <c:v>16.965149860140592</c:v>
                </c:pt>
                <c:pt idx="152">
                  <c:v>17.344849040415301</c:v>
                </c:pt>
                <c:pt idx="153">
                  <c:v>18.08073044923518</c:v>
                </c:pt>
                <c:pt idx="154">
                  <c:v>19.68305171130952</c:v>
                </c:pt>
                <c:pt idx="155">
                  <c:v>22.923338983050851</c:v>
                </c:pt>
                <c:pt idx="156">
                  <c:v>19.910341865694466</c:v>
                </c:pt>
                <c:pt idx="157">
                  <c:v>21.035951806935508</c:v>
                </c:pt>
                <c:pt idx="158">
                  <c:v>20.535915413042176</c:v>
                </c:pt>
                <c:pt idx="159">
                  <c:v>19.894808214007398</c:v>
                </c:pt>
                <c:pt idx="160">
                  <c:v>19.75954043079096</c:v>
                </c:pt>
                <c:pt idx="161">
                  <c:v>20.509208619679672</c:v>
                </c:pt>
                <c:pt idx="162">
                  <c:v>20.755288135593215</c:v>
                </c:pt>
                <c:pt idx="163">
                  <c:v>21.708031956214679</c:v>
                </c:pt>
                <c:pt idx="164">
                  <c:v>20.851174843035945</c:v>
                </c:pt>
                <c:pt idx="165">
                  <c:v>21.295712217514126</c:v>
                </c:pt>
                <c:pt idx="166">
                  <c:v>20.36014923647441</c:v>
                </c:pt>
                <c:pt idx="167">
                  <c:v>20.175870495626341</c:v>
                </c:pt>
                <c:pt idx="168">
                  <c:v>19.906799837609416</c:v>
                </c:pt>
                <c:pt idx="169">
                  <c:v>19.995202447742422</c:v>
                </c:pt>
                <c:pt idx="170">
                  <c:v>19.633194562146894</c:v>
                </c:pt>
                <c:pt idx="171">
                  <c:v>19.673596398305079</c:v>
                </c:pt>
                <c:pt idx="172">
                  <c:v>19.433319209039556</c:v>
                </c:pt>
                <c:pt idx="173">
                  <c:v>19.084106461864398</c:v>
                </c:pt>
                <c:pt idx="174">
                  <c:v>21.835617074701826</c:v>
                </c:pt>
                <c:pt idx="175">
                  <c:v>22.061111052259893</c:v>
                </c:pt>
                <c:pt idx="176">
                  <c:v>23.9662199858757</c:v>
                </c:pt>
                <c:pt idx="177">
                  <c:v>23.859122704802264</c:v>
                </c:pt>
                <c:pt idx="178">
                  <c:v>23.256652895480226</c:v>
                </c:pt>
                <c:pt idx="179">
                  <c:v>23.24791649011301</c:v>
                </c:pt>
                <c:pt idx="180">
                  <c:v>23.983049788135599</c:v>
                </c:pt>
                <c:pt idx="181">
                  <c:v>23.05714918785311</c:v>
                </c:pt>
                <c:pt idx="182">
                  <c:v>21.028188735875709</c:v>
                </c:pt>
                <c:pt idx="183">
                  <c:v>20.664511475988704</c:v>
                </c:pt>
                <c:pt idx="184">
                  <c:v>20.088801906779661</c:v>
                </c:pt>
                <c:pt idx="185">
                  <c:v>18.762954625706211</c:v>
                </c:pt>
                <c:pt idx="186">
                  <c:v>19.552461687853111</c:v>
                </c:pt>
                <c:pt idx="187">
                  <c:v>20.245704449152537</c:v>
                </c:pt>
                <c:pt idx="188">
                  <c:v>17.919954625706225</c:v>
                </c:pt>
                <c:pt idx="189">
                  <c:v>20.897520555355221</c:v>
                </c:pt>
                <c:pt idx="190">
                  <c:v>22.253611758474573</c:v>
                </c:pt>
                <c:pt idx="191">
                  <c:v>23.191417725988703</c:v>
                </c:pt>
                <c:pt idx="192">
                  <c:v>24.988332627118648</c:v>
                </c:pt>
                <c:pt idx="193">
                  <c:v>27.318161899717513</c:v>
                </c:pt>
                <c:pt idx="194">
                  <c:v>27.041161016949147</c:v>
                </c:pt>
                <c:pt idx="195">
                  <c:v>25.494952507062148</c:v>
                </c:pt>
                <c:pt idx="196">
                  <c:v>23.866843043785305</c:v>
                </c:pt>
                <c:pt idx="197">
                  <c:v>24.057054025423728</c:v>
                </c:pt>
                <c:pt idx="198">
                  <c:v>24.23644120762712</c:v>
                </c:pt>
                <c:pt idx="199">
                  <c:v>24.457969103107345</c:v>
                </c:pt>
                <c:pt idx="200">
                  <c:v>24.577703389830504</c:v>
                </c:pt>
                <c:pt idx="201">
                  <c:v>23.768764300847455</c:v>
                </c:pt>
                <c:pt idx="202">
                  <c:v>24.315128531073452</c:v>
                </c:pt>
                <c:pt idx="203">
                  <c:v>25.230839336158187</c:v>
                </c:pt>
                <c:pt idx="204">
                  <c:v>24.464227401129936</c:v>
                </c:pt>
                <c:pt idx="205">
                  <c:v>23.93484992937853</c:v>
                </c:pt>
                <c:pt idx="206">
                  <c:v>21.929228460451977</c:v>
                </c:pt>
                <c:pt idx="207">
                  <c:v>22.568534427966103</c:v>
                </c:pt>
                <c:pt idx="208">
                  <c:v>24.789503707627119</c:v>
                </c:pt>
                <c:pt idx="209">
                  <c:v>25.663868997175143</c:v>
                </c:pt>
                <c:pt idx="210">
                  <c:v>25.786244879943499</c:v>
                </c:pt>
                <c:pt idx="211">
                  <c:v>26.054543785310731</c:v>
                </c:pt>
                <c:pt idx="212">
                  <c:v>26.045504237288132</c:v>
                </c:pt>
                <c:pt idx="213">
                  <c:v>24.814019067796607</c:v>
                </c:pt>
                <c:pt idx="214">
                  <c:v>24.227572740112986</c:v>
                </c:pt>
                <c:pt idx="215">
                  <c:v>24.865853283898314</c:v>
                </c:pt>
                <c:pt idx="216">
                  <c:v>25.623006002824852</c:v>
                </c:pt>
                <c:pt idx="217">
                  <c:v>25.872747351694912</c:v>
                </c:pt>
                <c:pt idx="218">
                  <c:v>26.331548375706205</c:v>
                </c:pt>
                <c:pt idx="219">
                  <c:v>25.772065677966108</c:v>
                </c:pt>
                <c:pt idx="220">
                  <c:v>27.074495409604509</c:v>
                </c:pt>
                <c:pt idx="221">
                  <c:v>28.020667725988705</c:v>
                </c:pt>
                <c:pt idx="222">
                  <c:v>28.438265713276834</c:v>
                </c:pt>
                <c:pt idx="223">
                  <c:v>28.285006355932207</c:v>
                </c:pt>
                <c:pt idx="224">
                  <c:v>26.318467867231632</c:v>
                </c:pt>
                <c:pt idx="225">
                  <c:v>24.847240642655365</c:v>
                </c:pt>
                <c:pt idx="226">
                  <c:v>24.797433792372875</c:v>
                </c:pt>
                <c:pt idx="227">
                  <c:v>26.203862817796605</c:v>
                </c:pt>
                <c:pt idx="228">
                  <c:v>27.177938912429386</c:v>
                </c:pt>
                <c:pt idx="229">
                  <c:v>27.566679025423721</c:v>
                </c:pt>
                <c:pt idx="230">
                  <c:v>24.954757238700569</c:v>
                </c:pt>
                <c:pt idx="231">
                  <c:v>26.496769420903959</c:v>
                </c:pt>
                <c:pt idx="232">
                  <c:v>27.07007838983051</c:v>
                </c:pt>
                <c:pt idx="233">
                  <c:v>25.498148305084751</c:v>
                </c:pt>
                <c:pt idx="234">
                  <c:v>24.200134004237288</c:v>
                </c:pt>
                <c:pt idx="235">
                  <c:v>24.295132415254244</c:v>
                </c:pt>
                <c:pt idx="236">
                  <c:v>25.038702153954798</c:v>
                </c:pt>
                <c:pt idx="237">
                  <c:v>25.661233933615822</c:v>
                </c:pt>
                <c:pt idx="238">
                  <c:v>24.636208686440682</c:v>
                </c:pt>
                <c:pt idx="239">
                  <c:v>21.329462747175139</c:v>
                </c:pt>
                <c:pt idx="240">
                  <c:v>24.242835628531068</c:v>
                </c:pt>
                <c:pt idx="241">
                  <c:v>25.798818149717516</c:v>
                </c:pt>
                <c:pt idx="242">
                  <c:v>24.319707274011304</c:v>
                </c:pt>
                <c:pt idx="243">
                  <c:v>22.477864936440668</c:v>
                </c:pt>
                <c:pt idx="244">
                  <c:v>23.778318679378533</c:v>
                </c:pt>
                <c:pt idx="245">
                  <c:v>24.410812499999995</c:v>
                </c:pt>
                <c:pt idx="246">
                  <c:v>24.07182680084745</c:v>
                </c:pt>
                <c:pt idx="247">
                  <c:v>24.720947033898298</c:v>
                </c:pt>
                <c:pt idx="248">
                  <c:v>23.897001765536725</c:v>
                </c:pt>
                <c:pt idx="249">
                  <c:v>23.696185911016954</c:v>
                </c:pt>
                <c:pt idx="250">
                  <c:v>25.808277718926551</c:v>
                </c:pt>
                <c:pt idx="251">
                  <c:v>27.86769844632768</c:v>
                </c:pt>
                <c:pt idx="252">
                  <c:v>27.468782485875703</c:v>
                </c:pt>
                <c:pt idx="253">
                  <c:v>26.755257768361584</c:v>
                </c:pt>
                <c:pt idx="254">
                  <c:v>22.586832803672319</c:v>
                </c:pt>
                <c:pt idx="264">
                  <c:v>18.240906073446329</c:v>
                </c:pt>
                <c:pt idx="265">
                  <c:v>18.265793961864397</c:v>
                </c:pt>
                <c:pt idx="266">
                  <c:v>15.601225635593217</c:v>
                </c:pt>
                <c:pt idx="267">
                  <c:v>13.586754237288128</c:v>
                </c:pt>
                <c:pt idx="268">
                  <c:v>14.02803831214689</c:v>
                </c:pt>
                <c:pt idx="269">
                  <c:v>15.337312500000003</c:v>
                </c:pt>
                <c:pt idx="270">
                  <c:v>14.606302789548026</c:v>
                </c:pt>
                <c:pt idx="271">
                  <c:v>15.209230579096037</c:v>
                </c:pt>
                <c:pt idx="272">
                  <c:v>16.855722281073447</c:v>
                </c:pt>
                <c:pt idx="273">
                  <c:v>18.719408898305076</c:v>
                </c:pt>
                <c:pt idx="274">
                  <c:v>19.70760734463278</c:v>
                </c:pt>
                <c:pt idx="275">
                  <c:v>20.170167725988708</c:v>
                </c:pt>
                <c:pt idx="276">
                  <c:v>19.845690854519777</c:v>
                </c:pt>
                <c:pt idx="277">
                  <c:v>18.311039194915249</c:v>
                </c:pt>
                <c:pt idx="278">
                  <c:v>16.091157662429385</c:v>
                </c:pt>
                <c:pt idx="279">
                  <c:v>13.96373481638417</c:v>
                </c:pt>
                <c:pt idx="280">
                  <c:v>13.495283015536716</c:v>
                </c:pt>
                <c:pt idx="281">
                  <c:v>13.724346045197743</c:v>
                </c:pt>
                <c:pt idx="282">
                  <c:v>13.081683615819209</c:v>
                </c:pt>
                <c:pt idx="283">
                  <c:v>12.419164548022593</c:v>
                </c:pt>
                <c:pt idx="284">
                  <c:v>12.578972104519771</c:v>
                </c:pt>
                <c:pt idx="285">
                  <c:v>12.864394244350281</c:v>
                </c:pt>
                <c:pt idx="286">
                  <c:v>12.141502471751414</c:v>
                </c:pt>
                <c:pt idx="287">
                  <c:v>12.480639477401132</c:v>
                </c:pt>
                <c:pt idx="288">
                  <c:v>12.697774187853106</c:v>
                </c:pt>
                <c:pt idx="289">
                  <c:v>12.378698547215498</c:v>
                </c:pt>
                <c:pt idx="290">
                  <c:v>12.206948446327678</c:v>
                </c:pt>
                <c:pt idx="291">
                  <c:v>10.816254413841806</c:v>
                </c:pt>
                <c:pt idx="292">
                  <c:v>11.951077683615821</c:v>
                </c:pt>
                <c:pt idx="293">
                  <c:v>12.763782838983053</c:v>
                </c:pt>
                <c:pt idx="294">
                  <c:v>12.21277083333333</c:v>
                </c:pt>
                <c:pt idx="295">
                  <c:v>11.400756179378531</c:v>
                </c:pt>
                <c:pt idx="296">
                  <c:v>11.110769244350282</c:v>
                </c:pt>
                <c:pt idx="297">
                  <c:v>10.312613170903957</c:v>
                </c:pt>
                <c:pt idx="298">
                  <c:v>11.663917196327681</c:v>
                </c:pt>
                <c:pt idx="299">
                  <c:v>12.879065148305079</c:v>
                </c:pt>
                <c:pt idx="300">
                  <c:v>14.209148128531067</c:v>
                </c:pt>
                <c:pt idx="301">
                  <c:v>14.510730579096046</c:v>
                </c:pt>
                <c:pt idx="302">
                  <c:v>16.546516419491521</c:v>
                </c:pt>
                <c:pt idx="303">
                  <c:v>15.031096927966106</c:v>
                </c:pt>
                <c:pt idx="304">
                  <c:v>15.649846221751412</c:v>
                </c:pt>
                <c:pt idx="305">
                  <c:v>14.666594456214689</c:v>
                </c:pt>
                <c:pt idx="306">
                  <c:v>14.995639124293794</c:v>
                </c:pt>
                <c:pt idx="307">
                  <c:v>14.05838788841808</c:v>
                </c:pt>
                <c:pt idx="308">
                  <c:v>14.167974223163839</c:v>
                </c:pt>
                <c:pt idx="309">
                  <c:v>13.604606461864408</c:v>
                </c:pt>
                <c:pt idx="310">
                  <c:v>13.130163665254237</c:v>
                </c:pt>
                <c:pt idx="311">
                  <c:v>12.750380120056493</c:v>
                </c:pt>
                <c:pt idx="312">
                  <c:v>12.512680967514115</c:v>
                </c:pt>
                <c:pt idx="313">
                  <c:v>12.722496715753808</c:v>
                </c:pt>
                <c:pt idx="314">
                  <c:v>14.161144724864071</c:v>
                </c:pt>
                <c:pt idx="315">
                  <c:v>15.583240995762708</c:v>
                </c:pt>
                <c:pt idx="316">
                  <c:v>14.492361581920905</c:v>
                </c:pt>
                <c:pt idx="317">
                  <c:v>14.711511148123401</c:v>
                </c:pt>
                <c:pt idx="318">
                  <c:v>14.552164228019061</c:v>
                </c:pt>
                <c:pt idx="319">
                  <c:v>13.922814261358992</c:v>
                </c:pt>
                <c:pt idx="320">
                  <c:v>14.36386919317272</c:v>
                </c:pt>
                <c:pt idx="321">
                  <c:v>14.036687239221726</c:v>
                </c:pt>
                <c:pt idx="322">
                  <c:v>13.951794835527659</c:v>
                </c:pt>
                <c:pt idx="323">
                  <c:v>13.441266178401451</c:v>
                </c:pt>
                <c:pt idx="324">
                  <c:v>12.746930434703286</c:v>
                </c:pt>
                <c:pt idx="325">
                  <c:v>14.871527542372876</c:v>
                </c:pt>
                <c:pt idx="326">
                  <c:v>15.955174435028242</c:v>
                </c:pt>
                <c:pt idx="327">
                  <c:v>16.306707097457625</c:v>
                </c:pt>
                <c:pt idx="328">
                  <c:v>17.900968043785308</c:v>
                </c:pt>
                <c:pt idx="329">
                  <c:v>20.261179201977399</c:v>
                </c:pt>
                <c:pt idx="330">
                  <c:v>19.11941507768362</c:v>
                </c:pt>
                <c:pt idx="331">
                  <c:v>19.908706391242927</c:v>
                </c:pt>
                <c:pt idx="332">
                  <c:v>19.547757363291954</c:v>
                </c:pt>
                <c:pt idx="333">
                  <c:v>19.215972457627107</c:v>
                </c:pt>
                <c:pt idx="334">
                  <c:v>19.437318679378524</c:v>
                </c:pt>
                <c:pt idx="335">
                  <c:v>20.62697351694915</c:v>
                </c:pt>
                <c:pt idx="336">
                  <c:v>20.301226518361588</c:v>
                </c:pt>
                <c:pt idx="337">
                  <c:v>21.049951800847452</c:v>
                </c:pt>
                <c:pt idx="338">
                  <c:v>20.116858580508474</c:v>
                </c:pt>
                <c:pt idx="339">
                  <c:v>20.815641596045204</c:v>
                </c:pt>
                <c:pt idx="340">
                  <c:v>19.729792978208234</c:v>
                </c:pt>
                <c:pt idx="341">
                  <c:v>19.565401659604522</c:v>
                </c:pt>
                <c:pt idx="342">
                  <c:v>19.599354166666661</c:v>
                </c:pt>
                <c:pt idx="343">
                  <c:v>19.745036899717515</c:v>
                </c:pt>
                <c:pt idx="344">
                  <c:v>19.09394209039548</c:v>
                </c:pt>
                <c:pt idx="345">
                  <c:v>19.441908015536729</c:v>
                </c:pt>
                <c:pt idx="346">
                  <c:v>19.25778001412429</c:v>
                </c:pt>
                <c:pt idx="347">
                  <c:v>18.539959569209042</c:v>
                </c:pt>
              </c:numCache>
            </c:numRef>
          </c:yVal>
          <c:smooth val="0"/>
          <c:extLst>
            <c:ext xmlns:c16="http://schemas.microsoft.com/office/drawing/2014/chart" uri="{C3380CC4-5D6E-409C-BE32-E72D297353CC}">
              <c16:uniqueId val="{00000004-E216-4E76-9977-C1D59CEF97C0}"/>
            </c:ext>
          </c:extLst>
        </c:ser>
        <c:dLbls>
          <c:showLegendKey val="0"/>
          <c:showVal val="0"/>
          <c:showCatName val="0"/>
          <c:showSerName val="0"/>
          <c:showPercent val="0"/>
          <c:showBubbleSize val="0"/>
        </c:dLbls>
        <c:axId val="301806960"/>
        <c:axId val="301807352"/>
      </c:scatterChart>
      <c:valAx>
        <c:axId val="301806960"/>
        <c:scaling>
          <c:orientation val="minMax"/>
          <c:max val="50"/>
          <c:min val="10"/>
        </c:scaling>
        <c:delete val="0"/>
        <c:axPos val="b"/>
        <c:title>
          <c:tx>
            <c:rich>
              <a:bodyPr/>
              <a:lstStyle/>
              <a:p>
                <a:pPr>
                  <a:defRPr sz="1000" b="0" i="0" u="none" strike="noStrike" baseline="0">
                    <a:solidFill>
                      <a:srgbClr val="000000"/>
                    </a:solidFill>
                    <a:latin typeface="Arial"/>
                    <a:ea typeface="Arial"/>
                    <a:cs typeface="Arial"/>
                  </a:defRPr>
                </a:pPr>
                <a:r>
                  <a:rPr lang="en-US"/>
                  <a:t>FDOM</a:t>
                </a:r>
              </a:p>
            </c:rich>
          </c:tx>
          <c:layout>
            <c:manualLayout>
              <c:xMode val="edge"/>
              <c:yMode val="edge"/>
              <c:x val="0.44500021872265971"/>
              <c:y val="0.8694454200419192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807352"/>
        <c:crosses val="autoZero"/>
        <c:crossBetween val="midCat"/>
      </c:valAx>
      <c:valAx>
        <c:axId val="301807352"/>
        <c:scaling>
          <c:orientation val="minMax"/>
          <c:max val="35"/>
          <c:min val="10"/>
        </c:scaling>
        <c:delete val="0"/>
        <c:axPos val="l"/>
        <c:title>
          <c:tx>
            <c:rich>
              <a:bodyPr/>
              <a:lstStyle/>
              <a:p>
                <a:pPr>
                  <a:defRPr sz="1000" b="0" i="0" u="none" strike="noStrike" baseline="0">
                    <a:solidFill>
                      <a:srgbClr val="000000"/>
                    </a:solidFill>
                    <a:latin typeface="Arial"/>
                    <a:ea typeface="Arial"/>
                    <a:cs typeface="Arial"/>
                  </a:defRPr>
                </a:pPr>
                <a:r>
                  <a:rPr lang="en-US"/>
                  <a:t>Sal</a:t>
                </a:r>
              </a:p>
            </c:rich>
          </c:tx>
          <c:layout>
            <c:manualLayout>
              <c:xMode val="edge"/>
              <c:yMode val="edge"/>
              <c:x val="9.7357830271216101E-3"/>
              <c:y val="0.3157907060178628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806960"/>
        <c:crosses val="autoZero"/>
        <c:crossBetween val="midCat"/>
      </c:valAx>
      <c:spPr>
        <a:noFill/>
        <a:ln w="25400">
          <a:noFill/>
        </a:ln>
      </c:spPr>
    </c:plotArea>
    <c:legend>
      <c:legendPos val="r"/>
      <c:layout>
        <c:manualLayout>
          <c:xMode val="edge"/>
          <c:yMode val="edge"/>
          <c:x val="0.70000153105861773"/>
          <c:y val="1.7985611510791366E-2"/>
          <c:w val="0.20833377077865267"/>
          <c:h val="0.420863309352517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66672227649834"/>
          <c:y val="6.1111152554763785E-2"/>
          <c:w val="0.70333361952051665"/>
          <c:h val="0.69722269505662349"/>
        </c:manualLayout>
      </c:layout>
      <c:scatterChart>
        <c:scatterStyle val="lineMarker"/>
        <c:varyColors val="0"/>
        <c:ser>
          <c:idx val="0"/>
          <c:order val="0"/>
          <c:tx>
            <c:v>Shoal1</c:v>
          </c:tx>
          <c:spPr>
            <a:ln w="28575">
              <a:noFill/>
            </a:ln>
          </c:spPr>
          <c:marker>
            <c:symbol val="circle"/>
            <c:size val="5"/>
            <c:spPr>
              <a:solidFill>
                <a:srgbClr val="FFFFFF"/>
              </a:solidFill>
              <a:ln>
                <a:solidFill>
                  <a:srgbClr val="000000"/>
                </a:solidFill>
                <a:prstDash val="solid"/>
              </a:ln>
            </c:spPr>
          </c:marker>
          <c:xVal>
            <c:numRef>
              <c:f>FDOM_v_Sal!$C$3:$C$83</c:f>
              <c:numCache>
                <c:formatCode>0.00</c:formatCode>
                <c:ptCount val="81"/>
                <c:pt idx="0">
                  <c:v>22.21816603892027</c:v>
                </c:pt>
                <c:pt idx="1">
                  <c:v>22.640152542372874</c:v>
                </c:pt>
                <c:pt idx="2">
                  <c:v>24.429520127118632</c:v>
                </c:pt>
                <c:pt idx="3">
                  <c:v>23.964330508474575</c:v>
                </c:pt>
                <c:pt idx="4">
                  <c:v>23.684876412429375</c:v>
                </c:pt>
                <c:pt idx="5">
                  <c:v>23.220986935028247</c:v>
                </c:pt>
                <c:pt idx="6">
                  <c:v>23.632603107344632</c:v>
                </c:pt>
                <c:pt idx="7">
                  <c:v>23.144691031073449</c:v>
                </c:pt>
                <c:pt idx="8">
                  <c:v>22.841987994350276</c:v>
                </c:pt>
                <c:pt idx="9">
                  <c:v>21.416925141242928</c:v>
                </c:pt>
                <c:pt idx="10">
                  <c:v>20.527373764124299</c:v>
                </c:pt>
                <c:pt idx="11">
                  <c:v>19.100513947740115</c:v>
                </c:pt>
                <c:pt idx="12">
                  <c:v>19.703350105932202</c:v>
                </c:pt>
                <c:pt idx="13">
                  <c:v>21.346641242937849</c:v>
                </c:pt>
                <c:pt idx="14">
                  <c:v>18.561802789548029</c:v>
                </c:pt>
                <c:pt idx="15">
                  <c:v>20.796891813919945</c:v>
                </c:pt>
                <c:pt idx="16">
                  <c:v>21.810017302259883</c:v>
                </c:pt>
                <c:pt idx="17">
                  <c:v>23.788679378531068</c:v>
                </c:pt>
                <c:pt idx="18">
                  <c:v>24.706439795197749</c:v>
                </c:pt>
                <c:pt idx="19">
                  <c:v>27.15217637711865</c:v>
                </c:pt>
                <c:pt idx="20">
                  <c:v>27.19479201977401</c:v>
                </c:pt>
                <c:pt idx="21">
                  <c:v>25.626908721751416</c:v>
                </c:pt>
                <c:pt idx="22">
                  <c:v>23.794778248587573</c:v>
                </c:pt>
                <c:pt idx="23">
                  <c:v>23.810814088983054</c:v>
                </c:pt>
                <c:pt idx="24">
                  <c:v>23.706143185028253</c:v>
                </c:pt>
                <c:pt idx="25">
                  <c:v>24.353506532485881</c:v>
                </c:pt>
                <c:pt idx="26">
                  <c:v>24.476784158489448</c:v>
                </c:pt>
                <c:pt idx="27">
                  <c:v>23.575590541417132</c:v>
                </c:pt>
                <c:pt idx="28">
                  <c:v>24.252236405367231</c:v>
                </c:pt>
                <c:pt idx="29">
                  <c:v>25.241649187853113</c:v>
                </c:pt>
                <c:pt idx="30">
                  <c:v>25.789768008474592</c:v>
                </c:pt>
                <c:pt idx="31">
                  <c:v>24.409184322033894</c:v>
                </c:pt>
                <c:pt idx="32">
                  <c:v>21.864791843220331</c:v>
                </c:pt>
                <c:pt idx="33">
                  <c:v>22.79996597262809</c:v>
                </c:pt>
                <c:pt idx="34">
                  <c:v>24.374225105932208</c:v>
                </c:pt>
                <c:pt idx="35">
                  <c:v>24.728405529410963</c:v>
                </c:pt>
                <c:pt idx="36">
                  <c:v>25.893389472323211</c:v>
                </c:pt>
                <c:pt idx="37">
                  <c:v>25.809465742772513</c:v>
                </c:pt>
                <c:pt idx="38">
                  <c:v>25.996840779015262</c:v>
                </c:pt>
                <c:pt idx="39">
                  <c:v>24.510055207970797</c:v>
                </c:pt>
                <c:pt idx="40">
                  <c:v>24.229914346720417</c:v>
                </c:pt>
                <c:pt idx="41">
                  <c:v>25.013482161887193</c:v>
                </c:pt>
                <c:pt idx="42">
                  <c:v>26.634729343220346</c:v>
                </c:pt>
                <c:pt idx="43">
                  <c:v>26.274259060314375</c:v>
                </c:pt>
                <c:pt idx="44">
                  <c:v>26.680667219204722</c:v>
                </c:pt>
                <c:pt idx="45">
                  <c:v>25.755000178200216</c:v>
                </c:pt>
                <c:pt idx="46">
                  <c:v>26.83292821583143</c:v>
                </c:pt>
                <c:pt idx="47">
                  <c:v>27.463314265536713</c:v>
                </c:pt>
                <c:pt idx="48">
                  <c:v>27.830065854519773</c:v>
                </c:pt>
                <c:pt idx="49">
                  <c:v>27.620430614406775</c:v>
                </c:pt>
                <c:pt idx="50">
                  <c:v>26.683757384514905</c:v>
                </c:pt>
                <c:pt idx="51">
                  <c:v>25.716775352846437</c:v>
                </c:pt>
                <c:pt idx="52">
                  <c:v>24.886524389552601</c:v>
                </c:pt>
                <c:pt idx="53">
                  <c:v>26.071560624124853</c:v>
                </c:pt>
                <c:pt idx="54">
                  <c:v>26.920201829286579</c:v>
                </c:pt>
                <c:pt idx="55">
                  <c:v>28.361257944915252</c:v>
                </c:pt>
                <c:pt idx="56">
                  <c:v>25.295429025423726</c:v>
                </c:pt>
                <c:pt idx="57">
                  <c:v>25.898687168348754</c:v>
                </c:pt>
                <c:pt idx="58">
                  <c:v>26.279837040960444</c:v>
                </c:pt>
                <c:pt idx="59">
                  <c:v>25.595419138418077</c:v>
                </c:pt>
                <c:pt idx="60">
                  <c:v>24.383482527722929</c:v>
                </c:pt>
                <c:pt idx="61">
                  <c:v>24.083331997309738</c:v>
                </c:pt>
                <c:pt idx="62">
                  <c:v>24.572879164704972</c:v>
                </c:pt>
                <c:pt idx="63">
                  <c:v>26.176947269065945</c:v>
                </c:pt>
                <c:pt idx="64">
                  <c:v>25.63170281232912</c:v>
                </c:pt>
                <c:pt idx="65">
                  <c:v>21.242429803466162</c:v>
                </c:pt>
                <c:pt idx="66">
                  <c:v>22.915661686107139</c:v>
                </c:pt>
                <c:pt idx="67">
                  <c:v>25.625457551553385</c:v>
                </c:pt>
                <c:pt idx="68">
                  <c:v>25.225603408102547</c:v>
                </c:pt>
                <c:pt idx="69">
                  <c:v>24.056330789149641</c:v>
                </c:pt>
                <c:pt idx="70">
                  <c:v>24.935472021743113</c:v>
                </c:pt>
                <c:pt idx="71">
                  <c:v>25.633562206149829</c:v>
                </c:pt>
                <c:pt idx="72">
                  <c:v>23.915536470944307</c:v>
                </c:pt>
                <c:pt idx="73">
                  <c:v>26.282397497981687</c:v>
                </c:pt>
                <c:pt idx="74">
                  <c:v>25.156352797208019</c:v>
                </c:pt>
                <c:pt idx="75">
                  <c:v>23.911182017299819</c:v>
                </c:pt>
                <c:pt idx="76">
                  <c:v>25.343592258876839</c:v>
                </c:pt>
                <c:pt idx="77">
                  <c:v>27.397737953651184</c:v>
                </c:pt>
                <c:pt idx="78">
                  <c:v>27.533929822414759</c:v>
                </c:pt>
                <c:pt idx="79">
                  <c:v>27.791169668079096</c:v>
                </c:pt>
                <c:pt idx="80">
                  <c:v>23.167841101694908</c:v>
                </c:pt>
              </c:numCache>
            </c:numRef>
          </c:xVal>
          <c:yVal>
            <c:numRef>
              <c:f>FDOM_v_Sal!$D$3:$D$83</c:f>
              <c:numCache>
                <c:formatCode>0.00</c:formatCode>
                <c:ptCount val="81"/>
                <c:pt idx="0">
                  <c:v>16.978687696170738</c:v>
                </c:pt>
                <c:pt idx="1">
                  <c:v>15.944847457627118</c:v>
                </c:pt>
                <c:pt idx="2">
                  <c:v>15.062862994350285</c:v>
                </c:pt>
                <c:pt idx="3">
                  <c:v>15.602390713276831</c:v>
                </c:pt>
                <c:pt idx="4">
                  <c:v>15.079151836158189</c:v>
                </c:pt>
                <c:pt idx="5">
                  <c:v>15.636722281073453</c:v>
                </c:pt>
                <c:pt idx="6">
                  <c:v>15.205149011299442</c:v>
                </c:pt>
                <c:pt idx="7">
                  <c:v>16.300857168079094</c:v>
                </c:pt>
                <c:pt idx="8">
                  <c:v>17.121345692090397</c:v>
                </c:pt>
                <c:pt idx="9">
                  <c:v>18.510155543785316</c:v>
                </c:pt>
                <c:pt idx="10">
                  <c:v>20.474858050847459</c:v>
                </c:pt>
                <c:pt idx="11">
                  <c:v>25.134566913841809</c:v>
                </c:pt>
                <c:pt idx="12">
                  <c:v>22.97193396892655</c:v>
                </c:pt>
                <c:pt idx="13">
                  <c:v>19.657340042372891</c:v>
                </c:pt>
                <c:pt idx="14">
                  <c:v>26.885162782485882</c:v>
                </c:pt>
                <c:pt idx="15">
                  <c:v>22.038764514965738</c:v>
                </c:pt>
                <c:pt idx="16">
                  <c:v>19.078468749999995</c:v>
                </c:pt>
                <c:pt idx="17">
                  <c:v>16.897520480225989</c:v>
                </c:pt>
                <c:pt idx="18">
                  <c:v>15.743362111581925</c:v>
                </c:pt>
                <c:pt idx="19">
                  <c:v>13.048155896892657</c:v>
                </c:pt>
                <c:pt idx="20">
                  <c:v>13.375208686440685</c:v>
                </c:pt>
                <c:pt idx="21">
                  <c:v>16.665166313559322</c:v>
                </c:pt>
                <c:pt idx="22">
                  <c:v>19.635106638418076</c:v>
                </c:pt>
                <c:pt idx="23">
                  <c:v>19.428061440677961</c:v>
                </c:pt>
                <c:pt idx="24">
                  <c:v>18.527721751412439</c:v>
                </c:pt>
                <c:pt idx="25">
                  <c:v>17.452755296610167</c:v>
                </c:pt>
                <c:pt idx="26">
                  <c:v>16.66449556137874</c:v>
                </c:pt>
                <c:pt idx="27">
                  <c:v>17.105841820027386</c:v>
                </c:pt>
                <c:pt idx="28">
                  <c:v>16.716005826271186</c:v>
                </c:pt>
                <c:pt idx="29">
                  <c:v>15.739791666666662</c:v>
                </c:pt>
                <c:pt idx="30">
                  <c:v>14.572978460451976</c:v>
                </c:pt>
                <c:pt idx="31">
                  <c:v>16.131154484463281</c:v>
                </c:pt>
                <c:pt idx="32">
                  <c:v>18.063752648305087</c:v>
                </c:pt>
                <c:pt idx="33">
                  <c:v>16.060657988992794</c:v>
                </c:pt>
                <c:pt idx="34">
                  <c:v>14.80262199858757</c:v>
                </c:pt>
                <c:pt idx="35">
                  <c:v>14.083356059127501</c:v>
                </c:pt>
                <c:pt idx="36">
                  <c:v>12.097104862701306</c:v>
                </c:pt>
                <c:pt idx="37">
                  <c:v>11.308570380832814</c:v>
                </c:pt>
                <c:pt idx="38">
                  <c:v>10.496460318402949</c:v>
                </c:pt>
                <c:pt idx="39">
                  <c:v>11.035966440849938</c:v>
                </c:pt>
                <c:pt idx="40">
                  <c:v>11.514361405368449</c:v>
                </c:pt>
                <c:pt idx="41">
                  <c:v>11.786222442392138</c:v>
                </c:pt>
                <c:pt idx="42">
                  <c:v>11.773352048022602</c:v>
                </c:pt>
                <c:pt idx="43">
                  <c:v>11.658921061553629</c:v>
                </c:pt>
                <c:pt idx="44">
                  <c:v>11.239142133546409</c:v>
                </c:pt>
                <c:pt idx="45">
                  <c:v>11.779439977324438</c:v>
                </c:pt>
                <c:pt idx="46">
                  <c:v>10.500445373768537</c:v>
                </c:pt>
                <c:pt idx="47">
                  <c:v>10.008929201977397</c:v>
                </c:pt>
                <c:pt idx="48">
                  <c:v>10.023328213276836</c:v>
                </c:pt>
                <c:pt idx="49">
                  <c:v>10.406097281073448</c:v>
                </c:pt>
                <c:pt idx="50">
                  <c:v>11.332889120758439</c:v>
                </c:pt>
                <c:pt idx="51">
                  <c:v>11.865699278869569</c:v>
                </c:pt>
                <c:pt idx="52">
                  <c:v>11.990935739415336</c:v>
                </c:pt>
                <c:pt idx="53">
                  <c:v>11.477708018011723</c:v>
                </c:pt>
                <c:pt idx="54">
                  <c:v>10.698709930475333</c:v>
                </c:pt>
                <c:pt idx="55">
                  <c:v>9.345753884180791</c:v>
                </c:pt>
                <c:pt idx="56">
                  <c:v>11.74245374293786</c:v>
                </c:pt>
                <c:pt idx="57">
                  <c:v>11.425020955249749</c:v>
                </c:pt>
                <c:pt idx="58">
                  <c:v>11.17993467514124</c:v>
                </c:pt>
                <c:pt idx="59">
                  <c:v>11.681879766949153</c:v>
                </c:pt>
                <c:pt idx="60">
                  <c:v>12.021536821457282</c:v>
                </c:pt>
                <c:pt idx="61">
                  <c:v>11.822657097068998</c:v>
                </c:pt>
                <c:pt idx="62">
                  <c:v>11.561208585436098</c:v>
                </c:pt>
                <c:pt idx="63">
                  <c:v>10.538936719787104</c:v>
                </c:pt>
                <c:pt idx="64">
                  <c:v>10.822646888361446</c:v>
                </c:pt>
                <c:pt idx="65">
                  <c:v>14.081165953049888</c:v>
                </c:pt>
                <c:pt idx="66">
                  <c:v>12.733169167567114</c:v>
                </c:pt>
                <c:pt idx="67">
                  <c:v>10.775217056990407</c:v>
                </c:pt>
                <c:pt idx="68">
                  <c:v>10.940790385726658</c:v>
                </c:pt>
                <c:pt idx="69">
                  <c:v>12.730932444615172</c:v>
                </c:pt>
                <c:pt idx="70">
                  <c:v>12.605284458131019</c:v>
                </c:pt>
                <c:pt idx="71">
                  <c:v>12.460820733603896</c:v>
                </c:pt>
                <c:pt idx="72">
                  <c:v>14.055737325968522</c:v>
                </c:pt>
                <c:pt idx="73">
                  <c:v>11.702614184157669</c:v>
                </c:pt>
                <c:pt idx="74">
                  <c:v>12.16063594212403</c:v>
                </c:pt>
                <c:pt idx="75">
                  <c:v>13.189368975934622</c:v>
                </c:pt>
                <c:pt idx="76">
                  <c:v>11.76379731097258</c:v>
                </c:pt>
                <c:pt idx="77">
                  <c:v>10.064944360088587</c:v>
                </c:pt>
                <c:pt idx="78">
                  <c:v>10.226364432771385</c:v>
                </c:pt>
                <c:pt idx="79">
                  <c:v>10.262653425141247</c:v>
                </c:pt>
                <c:pt idx="80">
                  <c:v>14.518574329096031</c:v>
                </c:pt>
              </c:numCache>
            </c:numRef>
          </c:yVal>
          <c:smooth val="0"/>
          <c:extLst>
            <c:ext xmlns:c16="http://schemas.microsoft.com/office/drawing/2014/chart" uri="{C3380CC4-5D6E-409C-BE32-E72D297353CC}">
              <c16:uniqueId val="{00000000-E7B3-4224-999D-0B810AC278FF}"/>
            </c:ext>
          </c:extLst>
        </c:ser>
        <c:ser>
          <c:idx val="3"/>
          <c:order val="1"/>
          <c:tx>
            <c:v>Shoal2</c:v>
          </c:tx>
          <c:spPr>
            <a:ln w="28575">
              <a:noFill/>
            </a:ln>
          </c:spPr>
          <c:marker>
            <c:symbol val="circle"/>
            <c:size val="5"/>
            <c:spPr>
              <a:solidFill>
                <a:srgbClr val="000000"/>
              </a:solidFill>
              <a:ln>
                <a:solidFill>
                  <a:srgbClr val="000000"/>
                </a:solidFill>
                <a:prstDash val="solid"/>
              </a:ln>
            </c:spPr>
          </c:marker>
          <c:xVal>
            <c:numRef>
              <c:f>FDOM_v_Sal!$C$93:$C$176</c:f>
              <c:numCache>
                <c:formatCode>0.00</c:formatCode>
                <c:ptCount val="84"/>
                <c:pt idx="0">
                  <c:v>18.88955632062147</c:v>
                </c:pt>
                <c:pt idx="1">
                  <c:v>19.86286725127864</c:v>
                </c:pt>
                <c:pt idx="2">
                  <c:v>16.574474752824852</c:v>
                </c:pt>
                <c:pt idx="3">
                  <c:v>14.355791313559328</c:v>
                </c:pt>
                <c:pt idx="4">
                  <c:v>15.773650600282481</c:v>
                </c:pt>
                <c:pt idx="5">
                  <c:v>16.468085275423725</c:v>
                </c:pt>
                <c:pt idx="6">
                  <c:v>15.369906491585203</c:v>
                </c:pt>
                <c:pt idx="7">
                  <c:v>16.791984096152792</c:v>
                </c:pt>
                <c:pt idx="8">
                  <c:v>18.179437676553679</c:v>
                </c:pt>
                <c:pt idx="9">
                  <c:v>18.320598870056497</c:v>
                </c:pt>
                <c:pt idx="10">
                  <c:v>19.001247175141241</c:v>
                </c:pt>
                <c:pt idx="11">
                  <c:v>19.36372369350282</c:v>
                </c:pt>
                <c:pt idx="12">
                  <c:v>19.828459216101702</c:v>
                </c:pt>
                <c:pt idx="13">
                  <c:v>18.819915783898313</c:v>
                </c:pt>
                <c:pt idx="14">
                  <c:v>17.209970630255931</c:v>
                </c:pt>
                <c:pt idx="15">
                  <c:v>14.602557838983053</c:v>
                </c:pt>
                <c:pt idx="16">
                  <c:v>13.631303848870068</c:v>
                </c:pt>
                <c:pt idx="17">
                  <c:v>13.746888947740112</c:v>
                </c:pt>
                <c:pt idx="18">
                  <c:v>13.650138771186436</c:v>
                </c:pt>
                <c:pt idx="19">
                  <c:v>12.621825211864405</c:v>
                </c:pt>
                <c:pt idx="20">
                  <c:v>12.757181497175134</c:v>
                </c:pt>
                <c:pt idx="21">
                  <c:v>13.202123587570625</c:v>
                </c:pt>
                <c:pt idx="22">
                  <c:v>13.159469096598841</c:v>
                </c:pt>
                <c:pt idx="23">
                  <c:v>12.680178319209041</c:v>
                </c:pt>
                <c:pt idx="24">
                  <c:v>14.136082274011299</c:v>
                </c:pt>
                <c:pt idx="25">
                  <c:v>13.560876544201223</c:v>
                </c:pt>
                <c:pt idx="26">
                  <c:v>13.517367055084753</c:v>
                </c:pt>
                <c:pt idx="27">
                  <c:v>11.977084216101696</c:v>
                </c:pt>
                <c:pt idx="28">
                  <c:v>13.892986228813561</c:v>
                </c:pt>
                <c:pt idx="29">
                  <c:v>14.147774187853107</c:v>
                </c:pt>
                <c:pt idx="30">
                  <c:v>13.888270656779655</c:v>
                </c:pt>
                <c:pt idx="31">
                  <c:v>12.531779343220338</c:v>
                </c:pt>
                <c:pt idx="32">
                  <c:v>12.312165783898303</c:v>
                </c:pt>
                <c:pt idx="33">
                  <c:v>10.865179201977398</c:v>
                </c:pt>
                <c:pt idx="34">
                  <c:v>13.843987288135596</c:v>
                </c:pt>
                <c:pt idx="35">
                  <c:v>16.471236052259869</c:v>
                </c:pt>
                <c:pt idx="36">
                  <c:v>19.312718573446329</c:v>
                </c:pt>
                <c:pt idx="37">
                  <c:v>16.501178319209036</c:v>
                </c:pt>
                <c:pt idx="38">
                  <c:v>17.838404661016952</c:v>
                </c:pt>
                <c:pt idx="39">
                  <c:v>15.648320499180672</c:v>
                </c:pt>
                <c:pt idx="40">
                  <c:v>16.568921433615824</c:v>
                </c:pt>
                <c:pt idx="41">
                  <c:v>15.972633094072672</c:v>
                </c:pt>
                <c:pt idx="42">
                  <c:v>15.839216454802271</c:v>
                </c:pt>
                <c:pt idx="43">
                  <c:v>14.910411899717511</c:v>
                </c:pt>
                <c:pt idx="44">
                  <c:v>14.951354343220338</c:v>
                </c:pt>
                <c:pt idx="45">
                  <c:v>14.31002839991929</c:v>
                </c:pt>
                <c:pt idx="46">
                  <c:v>14.122517659876898</c:v>
                </c:pt>
                <c:pt idx="47">
                  <c:v>13.727219111023606</c:v>
                </c:pt>
                <c:pt idx="48">
                  <c:v>12.856678142655362</c:v>
                </c:pt>
                <c:pt idx="49">
                  <c:v>13.146785091452216</c:v>
                </c:pt>
                <c:pt idx="50">
                  <c:v>14.612028338148164</c:v>
                </c:pt>
                <c:pt idx="51">
                  <c:v>15.885122129299235</c:v>
                </c:pt>
                <c:pt idx="52">
                  <c:v>14.951323708114154</c:v>
                </c:pt>
                <c:pt idx="53">
                  <c:v>14.795833628371176</c:v>
                </c:pt>
                <c:pt idx="54">
                  <c:v>15.207889485508181</c:v>
                </c:pt>
                <c:pt idx="55">
                  <c:v>14.817397953290964</c:v>
                </c:pt>
                <c:pt idx="56">
                  <c:v>15.029007667085979</c:v>
                </c:pt>
                <c:pt idx="57">
                  <c:v>14.590683182784391</c:v>
                </c:pt>
                <c:pt idx="58">
                  <c:v>14.607297115694875</c:v>
                </c:pt>
                <c:pt idx="59">
                  <c:v>13.955450969770373</c:v>
                </c:pt>
                <c:pt idx="60">
                  <c:v>14.031651574172564</c:v>
                </c:pt>
                <c:pt idx="61">
                  <c:v>16.965149860140592</c:v>
                </c:pt>
                <c:pt idx="62">
                  <c:v>17.344849040415301</c:v>
                </c:pt>
                <c:pt idx="63">
                  <c:v>18.08073044923518</c:v>
                </c:pt>
                <c:pt idx="64">
                  <c:v>19.68305171130952</c:v>
                </c:pt>
                <c:pt idx="65">
                  <c:v>22.923338983050851</c:v>
                </c:pt>
                <c:pt idx="66">
                  <c:v>19.910341865694466</c:v>
                </c:pt>
                <c:pt idx="67">
                  <c:v>21.035951806935508</c:v>
                </c:pt>
                <c:pt idx="68">
                  <c:v>20.535915413042176</c:v>
                </c:pt>
                <c:pt idx="69">
                  <c:v>19.894808214007398</c:v>
                </c:pt>
                <c:pt idx="70">
                  <c:v>19.75954043079096</c:v>
                </c:pt>
                <c:pt idx="71">
                  <c:v>20.509208619679672</c:v>
                </c:pt>
                <c:pt idx="72">
                  <c:v>20.755288135593215</c:v>
                </c:pt>
                <c:pt idx="73">
                  <c:v>21.708031956214679</c:v>
                </c:pt>
                <c:pt idx="74">
                  <c:v>20.851174843035945</c:v>
                </c:pt>
                <c:pt idx="75">
                  <c:v>21.295712217514126</c:v>
                </c:pt>
                <c:pt idx="76">
                  <c:v>20.36014923647441</c:v>
                </c:pt>
                <c:pt idx="77">
                  <c:v>20.175870495626341</c:v>
                </c:pt>
                <c:pt idx="78">
                  <c:v>19.906799837609416</c:v>
                </c:pt>
                <c:pt idx="79">
                  <c:v>19.995202447742422</c:v>
                </c:pt>
                <c:pt idx="80">
                  <c:v>19.633194562146894</c:v>
                </c:pt>
                <c:pt idx="81">
                  <c:v>19.673596398305079</c:v>
                </c:pt>
                <c:pt idx="82">
                  <c:v>19.433319209039556</c:v>
                </c:pt>
                <c:pt idx="83">
                  <c:v>19.084106461864398</c:v>
                </c:pt>
              </c:numCache>
            </c:numRef>
          </c:xVal>
          <c:yVal>
            <c:numRef>
              <c:f>FDOM_v_Sal!$D$93:$D$176</c:f>
              <c:numCache>
                <c:formatCode>0.00</c:formatCode>
                <c:ptCount val="84"/>
                <c:pt idx="0">
                  <c:v>22.328271362994343</c:v>
                </c:pt>
                <c:pt idx="1">
                  <c:v>19.004191161396786</c:v>
                </c:pt>
                <c:pt idx="2">
                  <c:v>27.250488877118645</c:v>
                </c:pt>
                <c:pt idx="3">
                  <c:v>35.201662782485869</c:v>
                </c:pt>
                <c:pt idx="4">
                  <c:v>34.118075741525409</c:v>
                </c:pt>
                <c:pt idx="5">
                  <c:v>34.049662782485875</c:v>
                </c:pt>
                <c:pt idx="6">
                  <c:v>37.346576998925897</c:v>
                </c:pt>
                <c:pt idx="7">
                  <c:v>31.747100910688477</c:v>
                </c:pt>
                <c:pt idx="8">
                  <c:v>32.42105826271186</c:v>
                </c:pt>
                <c:pt idx="9">
                  <c:v>33.427006002824875</c:v>
                </c:pt>
                <c:pt idx="10">
                  <c:v>31.584325035310737</c:v>
                </c:pt>
                <c:pt idx="11">
                  <c:v>31.162987641242946</c:v>
                </c:pt>
                <c:pt idx="12">
                  <c:v>28.491085451977412</c:v>
                </c:pt>
                <c:pt idx="13">
                  <c:v>31.498523128531058</c:v>
                </c:pt>
                <c:pt idx="14">
                  <c:v>33.382791588017561</c:v>
                </c:pt>
                <c:pt idx="15">
                  <c:v>37.423689936440688</c:v>
                </c:pt>
                <c:pt idx="16">
                  <c:v>40.457410134180797</c:v>
                </c:pt>
                <c:pt idx="17">
                  <c:v>37.647912429378543</c:v>
                </c:pt>
                <c:pt idx="18">
                  <c:v>37.308683615819227</c:v>
                </c:pt>
                <c:pt idx="19">
                  <c:v>38.403192620056508</c:v>
                </c:pt>
                <c:pt idx="20">
                  <c:v>38.521962747175138</c:v>
                </c:pt>
                <c:pt idx="21">
                  <c:v>37.054127295197738</c:v>
                </c:pt>
                <c:pt idx="22">
                  <c:v>37.024680595633846</c:v>
                </c:pt>
                <c:pt idx="23">
                  <c:v>37.89025052966101</c:v>
                </c:pt>
                <c:pt idx="24">
                  <c:v>33.550357168079088</c:v>
                </c:pt>
                <c:pt idx="25">
                  <c:v>34.212199096951124</c:v>
                </c:pt>
                <c:pt idx="26">
                  <c:v>35.087110875706202</c:v>
                </c:pt>
                <c:pt idx="27">
                  <c:v>38.693155896892662</c:v>
                </c:pt>
                <c:pt idx="28">
                  <c:v>36.907466984463284</c:v>
                </c:pt>
                <c:pt idx="29">
                  <c:v>35.311825211864409</c:v>
                </c:pt>
                <c:pt idx="30">
                  <c:v>35.791577153954798</c:v>
                </c:pt>
                <c:pt idx="31">
                  <c:v>37.483025343018575</c:v>
                </c:pt>
                <c:pt idx="32">
                  <c:v>37.958327860169497</c:v>
                </c:pt>
                <c:pt idx="33">
                  <c:v>44.18817673022599</c:v>
                </c:pt>
                <c:pt idx="34">
                  <c:v>37.443161899717502</c:v>
                </c:pt>
                <c:pt idx="35">
                  <c:v>33.739187146892661</c:v>
                </c:pt>
                <c:pt idx="36">
                  <c:v>31.176528601694915</c:v>
                </c:pt>
                <c:pt idx="37">
                  <c:v>36.99809498587571</c:v>
                </c:pt>
                <c:pt idx="38">
                  <c:v>34.346479519774014</c:v>
                </c:pt>
                <c:pt idx="39">
                  <c:v>36.306114860972464</c:v>
                </c:pt>
                <c:pt idx="40">
                  <c:v>33.520670550847463</c:v>
                </c:pt>
                <c:pt idx="41">
                  <c:v>34.366490186485905</c:v>
                </c:pt>
                <c:pt idx="42">
                  <c:v>31.835494173728822</c:v>
                </c:pt>
                <c:pt idx="43">
                  <c:v>35.673633121468917</c:v>
                </c:pt>
                <c:pt idx="44">
                  <c:v>35.580782662429378</c:v>
                </c:pt>
                <c:pt idx="45">
                  <c:v>38.422630019168686</c:v>
                </c:pt>
                <c:pt idx="46">
                  <c:v>40.591975638975477</c:v>
                </c:pt>
                <c:pt idx="47">
                  <c:v>41.979668580497787</c:v>
                </c:pt>
                <c:pt idx="48">
                  <c:v>42.452349223163843</c:v>
                </c:pt>
                <c:pt idx="49">
                  <c:v>42.431546644507854</c:v>
                </c:pt>
                <c:pt idx="50">
                  <c:v>40.919862626865203</c:v>
                </c:pt>
                <c:pt idx="51">
                  <c:v>38.887942181854235</c:v>
                </c:pt>
                <c:pt idx="52">
                  <c:v>39.207745720095467</c:v>
                </c:pt>
                <c:pt idx="53">
                  <c:v>39.330648617679479</c:v>
                </c:pt>
                <c:pt idx="54">
                  <c:v>38.259755916629139</c:v>
                </c:pt>
                <c:pt idx="55">
                  <c:v>36.534141778045104</c:v>
                </c:pt>
                <c:pt idx="56">
                  <c:v>33.89815834876056</c:v>
                </c:pt>
                <c:pt idx="57">
                  <c:v>33.199946284769197</c:v>
                </c:pt>
                <c:pt idx="58">
                  <c:v>33.180971896399882</c:v>
                </c:pt>
                <c:pt idx="59">
                  <c:v>33.615370960167461</c:v>
                </c:pt>
                <c:pt idx="60">
                  <c:v>35.248269601891046</c:v>
                </c:pt>
                <c:pt idx="61">
                  <c:v>30.49290893974359</c:v>
                </c:pt>
                <c:pt idx="62">
                  <c:v>29.845613822005699</c:v>
                </c:pt>
                <c:pt idx="63">
                  <c:v>28.248847128275738</c:v>
                </c:pt>
                <c:pt idx="64">
                  <c:v>25.45455311229561</c:v>
                </c:pt>
                <c:pt idx="65">
                  <c:v>20.526532309322036</c:v>
                </c:pt>
                <c:pt idx="66">
                  <c:v>25.156187004080355</c:v>
                </c:pt>
                <c:pt idx="67">
                  <c:v>22.721163324323001</c:v>
                </c:pt>
                <c:pt idx="68">
                  <c:v>22.945011857280576</c:v>
                </c:pt>
                <c:pt idx="69">
                  <c:v>25.426674617669974</c:v>
                </c:pt>
                <c:pt idx="70">
                  <c:v>25.825149364406794</c:v>
                </c:pt>
                <c:pt idx="71">
                  <c:v>23.130865661020589</c:v>
                </c:pt>
                <c:pt idx="72">
                  <c:v>23.214364406779662</c:v>
                </c:pt>
                <c:pt idx="73">
                  <c:v>21.734649011299449</c:v>
                </c:pt>
                <c:pt idx="74">
                  <c:v>22.791842298422612</c:v>
                </c:pt>
                <c:pt idx="75">
                  <c:v>22.183881002824865</c:v>
                </c:pt>
                <c:pt idx="76">
                  <c:v>22.186378973550219</c:v>
                </c:pt>
                <c:pt idx="77">
                  <c:v>22.556979667797851</c:v>
                </c:pt>
                <c:pt idx="78">
                  <c:v>23.111493399608865</c:v>
                </c:pt>
                <c:pt idx="79">
                  <c:v>23.034413702594222</c:v>
                </c:pt>
                <c:pt idx="80">
                  <c:v>24.845665783898308</c:v>
                </c:pt>
                <c:pt idx="81">
                  <c:v>24.5916804378531</c:v>
                </c:pt>
                <c:pt idx="82">
                  <c:v>24.840153778248578</c:v>
                </c:pt>
                <c:pt idx="83">
                  <c:v>27.467213983050854</c:v>
                </c:pt>
              </c:numCache>
            </c:numRef>
          </c:yVal>
          <c:smooth val="0"/>
          <c:extLst>
            <c:ext xmlns:c16="http://schemas.microsoft.com/office/drawing/2014/chart" uri="{C3380CC4-5D6E-409C-BE32-E72D297353CC}">
              <c16:uniqueId val="{00000001-E7B3-4224-999D-0B810AC278FF}"/>
            </c:ext>
          </c:extLst>
        </c:ser>
        <c:ser>
          <c:idx val="4"/>
          <c:order val="2"/>
          <c:tx>
            <c:v>Channel1</c:v>
          </c:tx>
          <c:spPr>
            <a:ln w="28575">
              <a:noFill/>
            </a:ln>
          </c:spPr>
          <c:marker>
            <c:symbol val="triangle"/>
            <c:size val="5"/>
            <c:spPr>
              <a:solidFill>
                <a:srgbClr val="000000"/>
              </a:solidFill>
              <a:ln>
                <a:solidFill>
                  <a:srgbClr val="000000"/>
                </a:solidFill>
                <a:prstDash val="solid"/>
              </a:ln>
            </c:spPr>
          </c:marker>
          <c:xVal>
            <c:numRef>
              <c:f>FDOM_v_Sal!$C$177:$C$257</c:f>
              <c:numCache>
                <c:formatCode>0.00</c:formatCode>
                <c:ptCount val="81"/>
                <c:pt idx="0">
                  <c:v>21.835617074701826</c:v>
                </c:pt>
                <c:pt idx="1">
                  <c:v>22.061111052259893</c:v>
                </c:pt>
                <c:pt idx="2">
                  <c:v>23.9662199858757</c:v>
                </c:pt>
                <c:pt idx="3">
                  <c:v>23.859122704802264</c:v>
                </c:pt>
                <c:pt idx="4">
                  <c:v>23.256652895480226</c:v>
                </c:pt>
                <c:pt idx="5">
                  <c:v>23.24791649011301</c:v>
                </c:pt>
                <c:pt idx="6">
                  <c:v>23.983049788135599</c:v>
                </c:pt>
                <c:pt idx="7">
                  <c:v>23.05714918785311</c:v>
                </c:pt>
                <c:pt idx="8">
                  <c:v>21.028188735875709</c:v>
                </c:pt>
                <c:pt idx="9">
                  <c:v>20.664511475988704</c:v>
                </c:pt>
                <c:pt idx="10">
                  <c:v>20.088801906779661</c:v>
                </c:pt>
                <c:pt idx="11">
                  <c:v>18.762954625706211</c:v>
                </c:pt>
                <c:pt idx="12">
                  <c:v>19.552461687853111</c:v>
                </c:pt>
                <c:pt idx="13">
                  <c:v>20.245704449152537</c:v>
                </c:pt>
                <c:pt idx="14">
                  <c:v>17.919954625706225</c:v>
                </c:pt>
                <c:pt idx="15">
                  <c:v>20.897520555355221</c:v>
                </c:pt>
                <c:pt idx="16">
                  <c:v>22.253611758474573</c:v>
                </c:pt>
                <c:pt idx="17">
                  <c:v>23.191417725988703</c:v>
                </c:pt>
                <c:pt idx="18">
                  <c:v>24.988332627118648</c:v>
                </c:pt>
                <c:pt idx="19">
                  <c:v>27.318161899717513</c:v>
                </c:pt>
                <c:pt idx="20">
                  <c:v>27.041161016949147</c:v>
                </c:pt>
                <c:pt idx="21">
                  <c:v>25.494952507062148</c:v>
                </c:pt>
                <c:pt idx="22">
                  <c:v>23.866843043785305</c:v>
                </c:pt>
                <c:pt idx="23">
                  <c:v>24.057054025423728</c:v>
                </c:pt>
                <c:pt idx="24">
                  <c:v>24.23644120762712</c:v>
                </c:pt>
                <c:pt idx="25">
                  <c:v>24.457969103107345</c:v>
                </c:pt>
                <c:pt idx="26">
                  <c:v>24.577703389830504</c:v>
                </c:pt>
                <c:pt idx="27">
                  <c:v>23.768764300847455</c:v>
                </c:pt>
                <c:pt idx="28">
                  <c:v>24.315128531073452</c:v>
                </c:pt>
                <c:pt idx="29">
                  <c:v>25.230839336158187</c:v>
                </c:pt>
                <c:pt idx="30">
                  <c:v>24.464227401129936</c:v>
                </c:pt>
                <c:pt idx="31">
                  <c:v>23.93484992937853</c:v>
                </c:pt>
                <c:pt idx="32">
                  <c:v>21.929228460451977</c:v>
                </c:pt>
                <c:pt idx="33">
                  <c:v>22.568534427966103</c:v>
                </c:pt>
                <c:pt idx="34">
                  <c:v>24.789503707627119</c:v>
                </c:pt>
                <c:pt idx="35">
                  <c:v>25.663868997175143</c:v>
                </c:pt>
                <c:pt idx="36">
                  <c:v>25.786244879943499</c:v>
                </c:pt>
                <c:pt idx="37">
                  <c:v>26.054543785310731</c:v>
                </c:pt>
                <c:pt idx="38">
                  <c:v>26.045504237288132</c:v>
                </c:pt>
                <c:pt idx="39">
                  <c:v>24.814019067796607</c:v>
                </c:pt>
                <c:pt idx="40">
                  <c:v>24.227572740112986</c:v>
                </c:pt>
                <c:pt idx="41">
                  <c:v>24.865853283898314</c:v>
                </c:pt>
                <c:pt idx="42">
                  <c:v>25.623006002824852</c:v>
                </c:pt>
                <c:pt idx="43">
                  <c:v>25.872747351694912</c:v>
                </c:pt>
                <c:pt idx="44">
                  <c:v>26.331548375706205</c:v>
                </c:pt>
                <c:pt idx="45">
                  <c:v>25.772065677966108</c:v>
                </c:pt>
                <c:pt idx="46">
                  <c:v>27.074495409604509</c:v>
                </c:pt>
                <c:pt idx="47">
                  <c:v>28.020667725988705</c:v>
                </c:pt>
                <c:pt idx="48">
                  <c:v>28.438265713276834</c:v>
                </c:pt>
                <c:pt idx="49">
                  <c:v>28.285006355932207</c:v>
                </c:pt>
                <c:pt idx="50">
                  <c:v>26.318467867231632</c:v>
                </c:pt>
                <c:pt idx="51">
                  <c:v>24.847240642655365</c:v>
                </c:pt>
                <c:pt idx="52">
                  <c:v>24.797433792372875</c:v>
                </c:pt>
                <c:pt idx="53">
                  <c:v>26.203862817796605</c:v>
                </c:pt>
                <c:pt idx="54">
                  <c:v>27.177938912429386</c:v>
                </c:pt>
                <c:pt idx="55">
                  <c:v>27.566679025423721</c:v>
                </c:pt>
                <c:pt idx="56">
                  <c:v>24.954757238700569</c:v>
                </c:pt>
                <c:pt idx="57">
                  <c:v>26.496769420903959</c:v>
                </c:pt>
                <c:pt idx="58">
                  <c:v>27.07007838983051</c:v>
                </c:pt>
                <c:pt idx="59">
                  <c:v>25.498148305084751</c:v>
                </c:pt>
                <c:pt idx="60">
                  <c:v>24.200134004237288</c:v>
                </c:pt>
                <c:pt idx="61">
                  <c:v>24.295132415254244</c:v>
                </c:pt>
                <c:pt idx="62">
                  <c:v>25.038702153954798</c:v>
                </c:pt>
                <c:pt idx="63">
                  <c:v>25.661233933615822</c:v>
                </c:pt>
                <c:pt idx="64">
                  <c:v>24.636208686440682</c:v>
                </c:pt>
                <c:pt idx="65">
                  <c:v>21.329462747175139</c:v>
                </c:pt>
                <c:pt idx="66">
                  <c:v>24.242835628531068</c:v>
                </c:pt>
                <c:pt idx="67">
                  <c:v>25.798818149717516</c:v>
                </c:pt>
                <c:pt idx="68">
                  <c:v>24.319707274011304</c:v>
                </c:pt>
                <c:pt idx="69">
                  <c:v>22.477864936440668</c:v>
                </c:pt>
                <c:pt idx="70">
                  <c:v>23.778318679378533</c:v>
                </c:pt>
                <c:pt idx="71">
                  <c:v>24.410812499999995</c:v>
                </c:pt>
                <c:pt idx="72">
                  <c:v>24.07182680084745</c:v>
                </c:pt>
                <c:pt idx="73">
                  <c:v>24.720947033898298</c:v>
                </c:pt>
                <c:pt idx="74">
                  <c:v>23.897001765536725</c:v>
                </c:pt>
                <c:pt idx="75">
                  <c:v>23.696185911016954</c:v>
                </c:pt>
                <c:pt idx="76">
                  <c:v>25.808277718926551</c:v>
                </c:pt>
                <c:pt idx="77">
                  <c:v>27.86769844632768</c:v>
                </c:pt>
                <c:pt idx="78">
                  <c:v>27.468782485875703</c:v>
                </c:pt>
                <c:pt idx="79">
                  <c:v>26.755257768361584</c:v>
                </c:pt>
                <c:pt idx="80">
                  <c:v>22.586832803672319</c:v>
                </c:pt>
              </c:numCache>
            </c:numRef>
          </c:xVal>
          <c:yVal>
            <c:numRef>
              <c:f>FDOM_v_Sal!$D$177:$D$257</c:f>
              <c:numCache>
                <c:formatCode>0.0</c:formatCode>
                <c:ptCount val="81"/>
                <c:pt idx="0">
                  <c:v>18.386161016949156</c:v>
                </c:pt>
                <c:pt idx="1">
                  <c:v>17.517100988700559</c:v>
                </c:pt>
                <c:pt idx="2">
                  <c:v>16.657668608757064</c:v>
                </c:pt>
                <c:pt idx="3">
                  <c:v>16.733075918079098</c:v>
                </c:pt>
                <c:pt idx="4">
                  <c:v>16.065516066384181</c:v>
                </c:pt>
                <c:pt idx="5">
                  <c:v>15.825204978813559</c:v>
                </c:pt>
                <c:pt idx="6">
                  <c:v>14.780415430790965</c:v>
                </c:pt>
                <c:pt idx="7">
                  <c:v>17.564926730225988</c:v>
                </c:pt>
                <c:pt idx="8">
                  <c:v>21.342870762711865</c:v>
                </c:pt>
                <c:pt idx="9">
                  <c:v>21.994131355932208</c:v>
                </c:pt>
                <c:pt idx="10">
                  <c:v>23.289865289548018</c:v>
                </c:pt>
                <c:pt idx="11">
                  <c:v>28.164465218926555</c:v>
                </c:pt>
                <c:pt idx="12">
                  <c:v>25.510856461864417</c:v>
                </c:pt>
                <c:pt idx="13">
                  <c:v>24.260816737288135</c:v>
                </c:pt>
                <c:pt idx="14">
                  <c:v>30.373960275423727</c:v>
                </c:pt>
                <c:pt idx="15">
                  <c:v>24.270680310133429</c:v>
                </c:pt>
                <c:pt idx="16">
                  <c:v>20.7034196680791</c:v>
                </c:pt>
                <c:pt idx="17">
                  <c:v>18.255967514124297</c:v>
                </c:pt>
                <c:pt idx="18">
                  <c:v>16.000549611581913</c:v>
                </c:pt>
                <c:pt idx="19">
                  <c:v>14.301041313559322</c:v>
                </c:pt>
                <c:pt idx="20">
                  <c:v>15.288169668079092</c:v>
                </c:pt>
                <c:pt idx="21">
                  <c:v>18.181217867231641</c:v>
                </c:pt>
                <c:pt idx="22">
                  <c:v>20.915137711864407</c:v>
                </c:pt>
                <c:pt idx="23">
                  <c:v>20.283264477401133</c:v>
                </c:pt>
                <c:pt idx="24">
                  <c:v>19.700601341807907</c:v>
                </c:pt>
                <c:pt idx="25">
                  <c:v>19.306106638418083</c:v>
                </c:pt>
                <c:pt idx="26">
                  <c:v>18.636876765536726</c:v>
                </c:pt>
                <c:pt idx="27">
                  <c:v>18.019468926553674</c:v>
                </c:pt>
                <c:pt idx="28">
                  <c:v>18.604976165254239</c:v>
                </c:pt>
                <c:pt idx="29">
                  <c:v>17.102639300847457</c:v>
                </c:pt>
                <c:pt idx="30">
                  <c:v>17.493833509887008</c:v>
                </c:pt>
                <c:pt idx="31">
                  <c:v>17.630153601694925</c:v>
                </c:pt>
                <c:pt idx="32">
                  <c:v>19.011587747175142</c:v>
                </c:pt>
                <c:pt idx="33">
                  <c:v>17.307671433615813</c:v>
                </c:pt>
                <c:pt idx="34">
                  <c:v>14.937471045197745</c:v>
                </c:pt>
                <c:pt idx="35">
                  <c:v>13.345729343220334</c:v>
                </c:pt>
                <c:pt idx="36">
                  <c:v>11.683431144067796</c:v>
                </c:pt>
                <c:pt idx="37">
                  <c:v>11.119592337570625</c:v>
                </c:pt>
                <c:pt idx="38">
                  <c:v>10.907237111581916</c:v>
                </c:pt>
                <c:pt idx="39">
                  <c:v>10.762946327683608</c:v>
                </c:pt>
                <c:pt idx="40">
                  <c:v>12.088289018361579</c:v>
                </c:pt>
                <c:pt idx="41">
                  <c:v>11.924936970338983</c:v>
                </c:pt>
                <c:pt idx="42">
                  <c:v>12.554750706214682</c:v>
                </c:pt>
                <c:pt idx="43">
                  <c:v>11.91878478107345</c:v>
                </c:pt>
                <c:pt idx="44">
                  <c:v>11.732908721751416</c:v>
                </c:pt>
                <c:pt idx="45">
                  <c:v>11.875539548022596</c:v>
                </c:pt>
                <c:pt idx="46">
                  <c:v>10.692089159604523</c:v>
                </c:pt>
                <c:pt idx="47">
                  <c:v>9.8807168079096019</c:v>
                </c:pt>
                <c:pt idx="48">
                  <c:v>9.5100958686440666</c:v>
                </c:pt>
                <c:pt idx="49">
                  <c:v>9.451252295197742</c:v>
                </c:pt>
                <c:pt idx="50">
                  <c:v>11.266550847457623</c:v>
                </c:pt>
                <c:pt idx="51">
                  <c:v>12.399160310734468</c:v>
                </c:pt>
                <c:pt idx="52">
                  <c:v>12.117394067796612</c:v>
                </c:pt>
                <c:pt idx="53">
                  <c:v>11.652375882768368</c:v>
                </c:pt>
                <c:pt idx="54">
                  <c:v>10.543114583333336</c:v>
                </c:pt>
                <c:pt idx="55">
                  <c:v>10.147103813559323</c:v>
                </c:pt>
                <c:pt idx="56">
                  <c:v>12.139741701977393</c:v>
                </c:pt>
                <c:pt idx="57">
                  <c:v>11.031147598870058</c:v>
                </c:pt>
                <c:pt idx="58">
                  <c:v>10.758058086158199</c:v>
                </c:pt>
                <c:pt idx="59">
                  <c:v>12.209936087570618</c:v>
                </c:pt>
                <c:pt idx="60">
                  <c:v>12.126614583333334</c:v>
                </c:pt>
                <c:pt idx="61">
                  <c:v>11.414127471751415</c:v>
                </c:pt>
                <c:pt idx="62">
                  <c:v>11.148335805084747</c:v>
                </c:pt>
                <c:pt idx="63">
                  <c:v>10.674214159604517</c:v>
                </c:pt>
                <c:pt idx="64">
                  <c:v>11.313085805084752</c:v>
                </c:pt>
                <c:pt idx="65">
                  <c:v>14.428552789548029</c:v>
                </c:pt>
                <c:pt idx="66">
                  <c:v>11.790251765536722</c:v>
                </c:pt>
                <c:pt idx="67">
                  <c:v>10.555831391242934</c:v>
                </c:pt>
                <c:pt idx="68">
                  <c:v>10.926110169491528</c:v>
                </c:pt>
                <c:pt idx="69">
                  <c:v>12.878724752824866</c:v>
                </c:pt>
                <c:pt idx="70">
                  <c:v>13.085451271186434</c:v>
                </c:pt>
                <c:pt idx="71">
                  <c:v>12.637158898305087</c:v>
                </c:pt>
                <c:pt idx="72">
                  <c:v>13.383877118644071</c:v>
                </c:pt>
                <c:pt idx="73">
                  <c:v>11.305588629943502</c:v>
                </c:pt>
                <c:pt idx="74">
                  <c:v>11.792236228813557</c:v>
                </c:pt>
                <c:pt idx="75">
                  <c:v>12.65905896892655</c:v>
                </c:pt>
                <c:pt idx="76">
                  <c:v>10.875216278248587</c:v>
                </c:pt>
                <c:pt idx="77">
                  <c:v>9.4406599576271173</c:v>
                </c:pt>
                <c:pt idx="78">
                  <c:v>10.461516419491524</c:v>
                </c:pt>
                <c:pt idx="79">
                  <c:v>10.890973870056493</c:v>
                </c:pt>
                <c:pt idx="80">
                  <c:v>15.118158015536727</c:v>
                </c:pt>
              </c:numCache>
            </c:numRef>
          </c:yVal>
          <c:smooth val="0"/>
          <c:extLst>
            <c:ext xmlns:c16="http://schemas.microsoft.com/office/drawing/2014/chart" uri="{C3380CC4-5D6E-409C-BE32-E72D297353CC}">
              <c16:uniqueId val="{00000002-E7B3-4224-999D-0B810AC278FF}"/>
            </c:ext>
          </c:extLst>
        </c:ser>
        <c:ser>
          <c:idx val="2"/>
          <c:order val="3"/>
          <c:tx>
            <c:v>Channel2</c:v>
          </c:tx>
          <c:spPr>
            <a:ln w="28575">
              <a:noFill/>
            </a:ln>
          </c:spPr>
          <c:marker>
            <c:symbol val="triangle"/>
            <c:size val="5"/>
            <c:spPr>
              <a:noFill/>
              <a:ln>
                <a:solidFill>
                  <a:srgbClr val="000000"/>
                </a:solidFill>
                <a:prstDash val="solid"/>
              </a:ln>
            </c:spPr>
          </c:marker>
          <c:xVal>
            <c:numRef>
              <c:f>FDOM_v_Sal!$C$267:$C$350</c:f>
              <c:numCache>
                <c:formatCode>0.00</c:formatCode>
                <c:ptCount val="84"/>
                <c:pt idx="0">
                  <c:v>18.240906073446329</c:v>
                </c:pt>
                <c:pt idx="1">
                  <c:v>18.265793961864397</c:v>
                </c:pt>
                <c:pt idx="2">
                  <c:v>15.601225635593217</c:v>
                </c:pt>
                <c:pt idx="3">
                  <c:v>13.586754237288128</c:v>
                </c:pt>
                <c:pt idx="4">
                  <c:v>14.02803831214689</c:v>
                </c:pt>
                <c:pt idx="5">
                  <c:v>15.337312500000003</c:v>
                </c:pt>
                <c:pt idx="6">
                  <c:v>14.606302789548026</c:v>
                </c:pt>
                <c:pt idx="7">
                  <c:v>15.209230579096037</c:v>
                </c:pt>
                <c:pt idx="8">
                  <c:v>16.855722281073447</c:v>
                </c:pt>
                <c:pt idx="9">
                  <c:v>18.719408898305076</c:v>
                </c:pt>
                <c:pt idx="10">
                  <c:v>19.70760734463278</c:v>
                </c:pt>
                <c:pt idx="11">
                  <c:v>20.170167725988708</c:v>
                </c:pt>
                <c:pt idx="12">
                  <c:v>19.845690854519777</c:v>
                </c:pt>
                <c:pt idx="13">
                  <c:v>18.311039194915249</c:v>
                </c:pt>
                <c:pt idx="14">
                  <c:v>16.091157662429385</c:v>
                </c:pt>
                <c:pt idx="15">
                  <c:v>13.96373481638417</c:v>
                </c:pt>
                <c:pt idx="16">
                  <c:v>13.495283015536716</c:v>
                </c:pt>
                <c:pt idx="17">
                  <c:v>13.724346045197743</c:v>
                </c:pt>
                <c:pt idx="18">
                  <c:v>13.081683615819209</c:v>
                </c:pt>
                <c:pt idx="19">
                  <c:v>12.419164548022593</c:v>
                </c:pt>
                <c:pt idx="20">
                  <c:v>12.578972104519771</c:v>
                </c:pt>
                <c:pt idx="21">
                  <c:v>12.864394244350281</c:v>
                </c:pt>
                <c:pt idx="22">
                  <c:v>12.141502471751414</c:v>
                </c:pt>
                <c:pt idx="23">
                  <c:v>12.480639477401132</c:v>
                </c:pt>
                <c:pt idx="24">
                  <c:v>12.697774187853106</c:v>
                </c:pt>
                <c:pt idx="25">
                  <c:v>12.378698547215498</c:v>
                </c:pt>
                <c:pt idx="26">
                  <c:v>12.206948446327678</c:v>
                </c:pt>
                <c:pt idx="27">
                  <c:v>10.816254413841806</c:v>
                </c:pt>
                <c:pt idx="28">
                  <c:v>11.951077683615821</c:v>
                </c:pt>
                <c:pt idx="29">
                  <c:v>12.763782838983053</c:v>
                </c:pt>
                <c:pt idx="30">
                  <c:v>12.21277083333333</c:v>
                </c:pt>
                <c:pt idx="31">
                  <c:v>11.400756179378531</c:v>
                </c:pt>
                <c:pt idx="32">
                  <c:v>11.110769244350282</c:v>
                </c:pt>
                <c:pt idx="33">
                  <c:v>10.312613170903957</c:v>
                </c:pt>
                <c:pt idx="34">
                  <c:v>11.663917196327681</c:v>
                </c:pt>
                <c:pt idx="35">
                  <c:v>12.879065148305079</c:v>
                </c:pt>
                <c:pt idx="36">
                  <c:v>14.209148128531067</c:v>
                </c:pt>
                <c:pt idx="37">
                  <c:v>14.510730579096046</c:v>
                </c:pt>
                <c:pt idx="38">
                  <c:v>16.546516419491521</c:v>
                </c:pt>
                <c:pt idx="39">
                  <c:v>15.031096927966106</c:v>
                </c:pt>
                <c:pt idx="40">
                  <c:v>15.649846221751412</c:v>
                </c:pt>
                <c:pt idx="41">
                  <c:v>14.666594456214689</c:v>
                </c:pt>
                <c:pt idx="42">
                  <c:v>14.995639124293794</c:v>
                </c:pt>
                <c:pt idx="43">
                  <c:v>14.05838788841808</c:v>
                </c:pt>
                <c:pt idx="44">
                  <c:v>14.167974223163839</c:v>
                </c:pt>
                <c:pt idx="45">
                  <c:v>13.604606461864408</c:v>
                </c:pt>
                <c:pt idx="46">
                  <c:v>13.130163665254237</c:v>
                </c:pt>
                <c:pt idx="47">
                  <c:v>12.750380120056493</c:v>
                </c:pt>
                <c:pt idx="48">
                  <c:v>12.512680967514115</c:v>
                </c:pt>
                <c:pt idx="49">
                  <c:v>12.722496715753808</c:v>
                </c:pt>
                <c:pt idx="50">
                  <c:v>14.161144724864071</c:v>
                </c:pt>
                <c:pt idx="51">
                  <c:v>15.583240995762708</c:v>
                </c:pt>
                <c:pt idx="52">
                  <c:v>14.492361581920905</c:v>
                </c:pt>
                <c:pt idx="53">
                  <c:v>14.711511148123401</c:v>
                </c:pt>
                <c:pt idx="54">
                  <c:v>14.552164228019061</c:v>
                </c:pt>
                <c:pt idx="55">
                  <c:v>13.922814261358992</c:v>
                </c:pt>
                <c:pt idx="56">
                  <c:v>14.36386919317272</c:v>
                </c:pt>
                <c:pt idx="57">
                  <c:v>14.036687239221726</c:v>
                </c:pt>
                <c:pt idx="58">
                  <c:v>13.951794835527659</c:v>
                </c:pt>
                <c:pt idx="59">
                  <c:v>13.441266178401451</c:v>
                </c:pt>
                <c:pt idx="60">
                  <c:v>12.746930434703286</c:v>
                </c:pt>
                <c:pt idx="61">
                  <c:v>14.871527542372876</c:v>
                </c:pt>
                <c:pt idx="62">
                  <c:v>15.955174435028242</c:v>
                </c:pt>
                <c:pt idx="63">
                  <c:v>16.306707097457625</c:v>
                </c:pt>
                <c:pt idx="64">
                  <c:v>17.900968043785308</c:v>
                </c:pt>
                <c:pt idx="65">
                  <c:v>20.261179201977399</c:v>
                </c:pt>
                <c:pt idx="66">
                  <c:v>19.11941507768362</c:v>
                </c:pt>
                <c:pt idx="67">
                  <c:v>19.908706391242927</c:v>
                </c:pt>
                <c:pt idx="68">
                  <c:v>19.547757363291954</c:v>
                </c:pt>
                <c:pt idx="69">
                  <c:v>19.215972457627107</c:v>
                </c:pt>
                <c:pt idx="70">
                  <c:v>19.437318679378524</c:v>
                </c:pt>
                <c:pt idx="71">
                  <c:v>20.62697351694915</c:v>
                </c:pt>
                <c:pt idx="72">
                  <c:v>20.301226518361588</c:v>
                </c:pt>
                <c:pt idx="73">
                  <c:v>21.049951800847452</c:v>
                </c:pt>
                <c:pt idx="74">
                  <c:v>20.116858580508474</c:v>
                </c:pt>
                <c:pt idx="75">
                  <c:v>20.815641596045204</c:v>
                </c:pt>
                <c:pt idx="76">
                  <c:v>19.729792978208234</c:v>
                </c:pt>
                <c:pt idx="77">
                  <c:v>19.565401659604522</c:v>
                </c:pt>
                <c:pt idx="78">
                  <c:v>19.599354166666661</c:v>
                </c:pt>
                <c:pt idx="79">
                  <c:v>19.745036899717515</c:v>
                </c:pt>
                <c:pt idx="80">
                  <c:v>19.09394209039548</c:v>
                </c:pt>
                <c:pt idx="81">
                  <c:v>19.441908015536729</c:v>
                </c:pt>
                <c:pt idx="82">
                  <c:v>19.25778001412429</c:v>
                </c:pt>
                <c:pt idx="83">
                  <c:v>18.539959569209042</c:v>
                </c:pt>
              </c:numCache>
            </c:numRef>
          </c:xVal>
          <c:yVal>
            <c:numRef>
              <c:f>FDOM_v_Sal!$D$267:$D$350</c:f>
              <c:numCache>
                <c:formatCode>0.0</c:formatCode>
                <c:ptCount val="84"/>
                <c:pt idx="0">
                  <c:v>25.383553185202238</c:v>
                </c:pt>
                <c:pt idx="1">
                  <c:v>23.15512276711998</c:v>
                </c:pt>
                <c:pt idx="2">
                  <c:v>32.532443169923326</c:v>
                </c:pt>
                <c:pt idx="3">
                  <c:v>41.370320442779992</c:v>
                </c:pt>
                <c:pt idx="4">
                  <c:v>42.07394900983639</c:v>
                </c:pt>
                <c:pt idx="5">
                  <c:v>40.431097033779672</c:v>
                </c:pt>
                <c:pt idx="6">
                  <c:v>41.846872983017633</c:v>
                </c:pt>
                <c:pt idx="7">
                  <c:v>38.080422525006185</c:v>
                </c:pt>
                <c:pt idx="8">
                  <c:v>38.41416117139903</c:v>
                </c:pt>
                <c:pt idx="9">
                  <c:v>33.318813497874245</c:v>
                </c:pt>
                <c:pt idx="10">
                  <c:v>32.002689589225049</c:v>
                </c:pt>
                <c:pt idx="11">
                  <c:v>31.010995139574259</c:v>
                </c:pt>
                <c:pt idx="12">
                  <c:v>30.956279564574761</c:v>
                </c:pt>
                <c:pt idx="13">
                  <c:v>34.67121802840358</c:v>
                </c:pt>
                <c:pt idx="14">
                  <c:v>38.993881795082288</c:v>
                </c:pt>
                <c:pt idx="15">
                  <c:v>43.096707931629247</c:v>
                </c:pt>
                <c:pt idx="16">
                  <c:v>44.094990660290968</c:v>
                </c:pt>
                <c:pt idx="17">
                  <c:v>41.303325908430914</c:v>
                </c:pt>
                <c:pt idx="18">
                  <c:v>40.759811862034276</c:v>
                </c:pt>
                <c:pt idx="19">
                  <c:v>42.208973934746709</c:v>
                </c:pt>
                <c:pt idx="20">
                  <c:v>42.357470827955652</c:v>
                </c:pt>
                <c:pt idx="21">
                  <c:v>40.632409997010647</c:v>
                </c:pt>
                <c:pt idx="22">
                  <c:v>42.219966791737043</c:v>
                </c:pt>
                <c:pt idx="23">
                  <c:v>41.544171618117353</c:v>
                </c:pt>
                <c:pt idx="24">
                  <c:v>39.819876119464944</c:v>
                </c:pt>
                <c:pt idx="25">
                  <c:v>42.293341507121568</c:v>
                </c:pt>
                <c:pt idx="26">
                  <c:v>41.868663139389227</c:v>
                </c:pt>
                <c:pt idx="27">
                  <c:v>46.202214072850026</c:v>
                </c:pt>
                <c:pt idx="28">
                  <c:v>42.949289600850314</c:v>
                </c:pt>
                <c:pt idx="29">
                  <c:v>41.195403762669166</c:v>
                </c:pt>
                <c:pt idx="30">
                  <c:v>40.724687687664904</c:v>
                </c:pt>
                <c:pt idx="31">
                  <c:v>41.931210235921561</c:v>
                </c:pt>
                <c:pt idx="32">
                  <c:v>43.13013445702925</c:v>
                </c:pt>
                <c:pt idx="33">
                  <c:v>49.074782682042056</c:v>
                </c:pt>
                <c:pt idx="34">
                  <c:v>44.477329597078004</c:v>
                </c:pt>
                <c:pt idx="35">
                  <c:v>39.165049545191408</c:v>
                </c:pt>
                <c:pt idx="36">
                  <c:v>40.417466069310258</c:v>
                </c:pt>
                <c:pt idx="37">
                  <c:v>44.762666736695031</c:v>
                </c:pt>
                <c:pt idx="38">
                  <c:v>39.702310203062424</c:v>
                </c:pt>
                <c:pt idx="39">
                  <c:v>40.53367137790157</c:v>
                </c:pt>
                <c:pt idx="40">
                  <c:v>37.796355972180052</c:v>
                </c:pt>
                <c:pt idx="41">
                  <c:v>41.129746946827503</c:v>
                </c:pt>
                <c:pt idx="42">
                  <c:v>38.013235966296243</c:v>
                </c:pt>
                <c:pt idx="43">
                  <c:v>41.8400742453072</c:v>
                </c:pt>
                <c:pt idx="44">
                  <c:v>41.397899442343466</c:v>
                </c:pt>
                <c:pt idx="45">
                  <c:v>45.626102278194821</c:v>
                </c:pt>
                <c:pt idx="46">
                  <c:v>48.237340940602046</c:v>
                </c:pt>
                <c:pt idx="47">
                  <c:v>49.171878494339218</c:v>
                </c:pt>
                <c:pt idx="48">
                  <c:v>48.247841907989631</c:v>
                </c:pt>
                <c:pt idx="49">
                  <c:v>48.484501270482873</c:v>
                </c:pt>
                <c:pt idx="50">
                  <c:v>46.165948836708111</c:v>
                </c:pt>
                <c:pt idx="51">
                  <c:v>43.992111688723007</c:v>
                </c:pt>
                <c:pt idx="52">
                  <c:v>44.488899756106832</c:v>
                </c:pt>
                <c:pt idx="53">
                  <c:v>43.205692935078126</c:v>
                </c:pt>
                <c:pt idx="54">
                  <c:v>42.651850653957858</c:v>
                </c:pt>
                <c:pt idx="55">
                  <c:v>42.001973252793938</c:v>
                </c:pt>
                <c:pt idx="56">
                  <c:v>38.868233619390274</c:v>
                </c:pt>
                <c:pt idx="57">
                  <c:v>38.889948149026878</c:v>
                </c:pt>
                <c:pt idx="58">
                  <c:v>38.771095105459338</c:v>
                </c:pt>
                <c:pt idx="59">
                  <c:v>38.448442826009391</c:v>
                </c:pt>
                <c:pt idx="60">
                  <c:v>40.826576086316969</c:v>
                </c:pt>
                <c:pt idx="61">
                  <c:v>37.037626398827037</c:v>
                </c:pt>
                <c:pt idx="62">
                  <c:v>35.420235624062855</c:v>
                </c:pt>
                <c:pt idx="63">
                  <c:v>33.908651808320847</c:v>
                </c:pt>
                <c:pt idx="64">
                  <c:v>30.383701018159115</c:v>
                </c:pt>
                <c:pt idx="65">
                  <c:v>27.068293969812292</c:v>
                </c:pt>
                <c:pt idx="66">
                  <c:v>29.50627765411771</c:v>
                </c:pt>
                <c:pt idx="67">
                  <c:v>27.448618494244311</c:v>
                </c:pt>
                <c:pt idx="68">
                  <c:v>27.88493675663052</c:v>
                </c:pt>
                <c:pt idx="69">
                  <c:v>29.66355758797237</c:v>
                </c:pt>
                <c:pt idx="70">
                  <c:v>29.031840300619688</c:v>
                </c:pt>
                <c:pt idx="71">
                  <c:v>26.111430742165993</c:v>
                </c:pt>
                <c:pt idx="72">
                  <c:v>26.496005149752314</c:v>
                </c:pt>
                <c:pt idx="73">
                  <c:v>25.445404078211883</c:v>
                </c:pt>
                <c:pt idx="74">
                  <c:v>27.1186963704282</c:v>
                </c:pt>
                <c:pt idx="75">
                  <c:v>25.660205754265768</c:v>
                </c:pt>
                <c:pt idx="76">
                  <c:v>26.258678226127895</c:v>
                </c:pt>
                <c:pt idx="77">
                  <c:v>26.417637242939428</c:v>
                </c:pt>
                <c:pt idx="78">
                  <c:v>27.013443977760165</c:v>
                </c:pt>
                <c:pt idx="79">
                  <c:v>26.948956974324787</c:v>
                </c:pt>
                <c:pt idx="80">
                  <c:v>30.256710546126186</c:v>
                </c:pt>
                <c:pt idx="81">
                  <c:v>28.117498947439589</c:v>
                </c:pt>
                <c:pt idx="82">
                  <c:v>28.926075433337434</c:v>
                </c:pt>
                <c:pt idx="83">
                  <c:v>33.102401121481577</c:v>
                </c:pt>
              </c:numCache>
            </c:numRef>
          </c:yVal>
          <c:smooth val="0"/>
          <c:extLst>
            <c:ext xmlns:c16="http://schemas.microsoft.com/office/drawing/2014/chart" uri="{C3380CC4-5D6E-409C-BE32-E72D297353CC}">
              <c16:uniqueId val="{00000003-E7B3-4224-999D-0B810AC278FF}"/>
            </c:ext>
          </c:extLst>
        </c:ser>
        <c:ser>
          <c:idx val="1"/>
          <c:order val="4"/>
          <c:tx>
            <c:v>All</c:v>
          </c:tx>
          <c:spPr>
            <a:ln w="28575">
              <a:noFill/>
            </a:ln>
          </c:spPr>
          <c:marker>
            <c:symbol val="none"/>
          </c:marker>
          <c:trendline>
            <c:spPr>
              <a:ln w="25400">
                <a:solidFill>
                  <a:srgbClr val="000000"/>
                </a:solidFill>
                <a:prstDash val="solid"/>
              </a:ln>
            </c:spPr>
            <c:trendlineType val="linear"/>
            <c:dispRSqr val="1"/>
            <c:dispEq val="1"/>
            <c:trendlineLbl>
              <c:layout>
                <c:manualLayout>
                  <c:x val="-0.16027348505717157"/>
                  <c:y val="-0.60278432250334824"/>
                </c:manualLayout>
              </c:layout>
              <c:numFmt formatCode="0.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FDOM_v_Sal!$C$3:$C$351</c:f>
              <c:numCache>
                <c:formatCode>0.00</c:formatCode>
                <c:ptCount val="349"/>
                <c:pt idx="0">
                  <c:v>22.21816603892027</c:v>
                </c:pt>
                <c:pt idx="1">
                  <c:v>22.640152542372874</c:v>
                </c:pt>
                <c:pt idx="2">
                  <c:v>24.429520127118632</c:v>
                </c:pt>
                <c:pt idx="3">
                  <c:v>23.964330508474575</c:v>
                </c:pt>
                <c:pt idx="4">
                  <c:v>23.684876412429375</c:v>
                </c:pt>
                <c:pt idx="5">
                  <c:v>23.220986935028247</c:v>
                </c:pt>
                <c:pt idx="6">
                  <c:v>23.632603107344632</c:v>
                </c:pt>
                <c:pt idx="7">
                  <c:v>23.144691031073449</c:v>
                </c:pt>
                <c:pt idx="8">
                  <c:v>22.841987994350276</c:v>
                </c:pt>
                <c:pt idx="9">
                  <c:v>21.416925141242928</c:v>
                </c:pt>
                <c:pt idx="10">
                  <c:v>20.527373764124299</c:v>
                </c:pt>
                <c:pt idx="11">
                  <c:v>19.100513947740115</c:v>
                </c:pt>
                <c:pt idx="12">
                  <c:v>19.703350105932202</c:v>
                </c:pt>
                <c:pt idx="13">
                  <c:v>21.346641242937849</c:v>
                </c:pt>
                <c:pt idx="14">
                  <c:v>18.561802789548029</c:v>
                </c:pt>
                <c:pt idx="15">
                  <c:v>20.796891813919945</c:v>
                </c:pt>
                <c:pt idx="16">
                  <c:v>21.810017302259883</c:v>
                </c:pt>
                <c:pt idx="17">
                  <c:v>23.788679378531068</c:v>
                </c:pt>
                <c:pt idx="18">
                  <c:v>24.706439795197749</c:v>
                </c:pt>
                <c:pt idx="19">
                  <c:v>27.15217637711865</c:v>
                </c:pt>
                <c:pt idx="20">
                  <c:v>27.19479201977401</c:v>
                </c:pt>
                <c:pt idx="21">
                  <c:v>25.626908721751416</c:v>
                </c:pt>
                <c:pt idx="22">
                  <c:v>23.794778248587573</c:v>
                </c:pt>
                <c:pt idx="23">
                  <c:v>23.810814088983054</c:v>
                </c:pt>
                <c:pt idx="24">
                  <c:v>23.706143185028253</c:v>
                </c:pt>
                <c:pt idx="25">
                  <c:v>24.353506532485881</c:v>
                </c:pt>
                <c:pt idx="26">
                  <c:v>24.476784158489448</c:v>
                </c:pt>
                <c:pt idx="27">
                  <c:v>23.575590541417132</c:v>
                </c:pt>
                <c:pt idx="28">
                  <c:v>24.252236405367231</c:v>
                </c:pt>
                <c:pt idx="29">
                  <c:v>25.241649187853113</c:v>
                </c:pt>
                <c:pt idx="30">
                  <c:v>25.789768008474592</c:v>
                </c:pt>
                <c:pt idx="31">
                  <c:v>24.409184322033894</c:v>
                </c:pt>
                <c:pt idx="32">
                  <c:v>21.864791843220331</c:v>
                </c:pt>
                <c:pt idx="33">
                  <c:v>22.79996597262809</c:v>
                </c:pt>
                <c:pt idx="34">
                  <c:v>24.374225105932208</c:v>
                </c:pt>
                <c:pt idx="35">
                  <c:v>24.728405529410963</c:v>
                </c:pt>
                <c:pt idx="36">
                  <c:v>25.893389472323211</c:v>
                </c:pt>
                <c:pt idx="37">
                  <c:v>25.809465742772513</c:v>
                </c:pt>
                <c:pt idx="38">
                  <c:v>25.996840779015262</c:v>
                </c:pt>
                <c:pt idx="39">
                  <c:v>24.510055207970797</c:v>
                </c:pt>
                <c:pt idx="40">
                  <c:v>24.229914346720417</c:v>
                </c:pt>
                <c:pt idx="41">
                  <c:v>25.013482161887193</c:v>
                </c:pt>
                <c:pt idx="42">
                  <c:v>26.634729343220346</c:v>
                </c:pt>
                <c:pt idx="43">
                  <c:v>26.274259060314375</c:v>
                </c:pt>
                <c:pt idx="44">
                  <c:v>26.680667219204722</c:v>
                </c:pt>
                <c:pt idx="45">
                  <c:v>25.755000178200216</c:v>
                </c:pt>
                <c:pt idx="46">
                  <c:v>26.83292821583143</c:v>
                </c:pt>
                <c:pt idx="47">
                  <c:v>27.463314265536713</c:v>
                </c:pt>
                <c:pt idx="48">
                  <c:v>27.830065854519773</c:v>
                </c:pt>
                <c:pt idx="49">
                  <c:v>27.620430614406775</c:v>
                </c:pt>
                <c:pt idx="50">
                  <c:v>26.683757384514905</c:v>
                </c:pt>
                <c:pt idx="51">
                  <c:v>25.716775352846437</c:v>
                </c:pt>
                <c:pt idx="52">
                  <c:v>24.886524389552601</c:v>
                </c:pt>
                <c:pt idx="53">
                  <c:v>26.071560624124853</c:v>
                </c:pt>
                <c:pt idx="54">
                  <c:v>26.920201829286579</c:v>
                </c:pt>
                <c:pt idx="55">
                  <c:v>28.361257944915252</c:v>
                </c:pt>
                <c:pt idx="56">
                  <c:v>25.295429025423726</c:v>
                </c:pt>
                <c:pt idx="57">
                  <c:v>25.898687168348754</c:v>
                </c:pt>
                <c:pt idx="58">
                  <c:v>26.279837040960444</c:v>
                </c:pt>
                <c:pt idx="59">
                  <c:v>25.595419138418077</c:v>
                </c:pt>
                <c:pt idx="60">
                  <c:v>24.383482527722929</c:v>
                </c:pt>
                <c:pt idx="61">
                  <c:v>24.083331997309738</c:v>
                </c:pt>
                <c:pt idx="62">
                  <c:v>24.572879164704972</c:v>
                </c:pt>
                <c:pt idx="63">
                  <c:v>26.176947269065945</c:v>
                </c:pt>
                <c:pt idx="64">
                  <c:v>25.63170281232912</c:v>
                </c:pt>
                <c:pt idx="65">
                  <c:v>21.242429803466162</c:v>
                </c:pt>
                <c:pt idx="66">
                  <c:v>22.915661686107139</c:v>
                </c:pt>
                <c:pt idx="67">
                  <c:v>25.625457551553385</c:v>
                </c:pt>
                <c:pt idx="68">
                  <c:v>25.225603408102547</c:v>
                </c:pt>
                <c:pt idx="69">
                  <c:v>24.056330789149641</c:v>
                </c:pt>
                <c:pt idx="70">
                  <c:v>24.935472021743113</c:v>
                </c:pt>
                <c:pt idx="71">
                  <c:v>25.633562206149829</c:v>
                </c:pt>
                <c:pt idx="72">
                  <c:v>23.915536470944307</c:v>
                </c:pt>
                <c:pt idx="73">
                  <c:v>26.282397497981687</c:v>
                </c:pt>
                <c:pt idx="74">
                  <c:v>25.156352797208019</c:v>
                </c:pt>
                <c:pt idx="75">
                  <c:v>23.911182017299819</c:v>
                </c:pt>
                <c:pt idx="76">
                  <c:v>25.343592258876839</c:v>
                </c:pt>
                <c:pt idx="77">
                  <c:v>27.397737953651184</c:v>
                </c:pt>
                <c:pt idx="78">
                  <c:v>27.533929822414759</c:v>
                </c:pt>
                <c:pt idx="79">
                  <c:v>27.791169668079096</c:v>
                </c:pt>
                <c:pt idx="80">
                  <c:v>23.167841101694908</c:v>
                </c:pt>
                <c:pt idx="90">
                  <c:v>18.88955632062147</c:v>
                </c:pt>
                <c:pt idx="91">
                  <c:v>19.86286725127864</c:v>
                </c:pt>
                <c:pt idx="92">
                  <c:v>16.574474752824852</c:v>
                </c:pt>
                <c:pt idx="93">
                  <c:v>14.355791313559328</c:v>
                </c:pt>
                <c:pt idx="94">
                  <c:v>15.773650600282481</c:v>
                </c:pt>
                <c:pt idx="95">
                  <c:v>16.468085275423725</c:v>
                </c:pt>
                <c:pt idx="96">
                  <c:v>15.369906491585203</c:v>
                </c:pt>
                <c:pt idx="97">
                  <c:v>16.791984096152792</c:v>
                </c:pt>
                <c:pt idx="98">
                  <c:v>18.179437676553679</c:v>
                </c:pt>
                <c:pt idx="99">
                  <c:v>18.320598870056497</c:v>
                </c:pt>
                <c:pt idx="100">
                  <c:v>19.001247175141241</c:v>
                </c:pt>
                <c:pt idx="101">
                  <c:v>19.36372369350282</c:v>
                </c:pt>
                <c:pt idx="102">
                  <c:v>19.828459216101702</c:v>
                </c:pt>
                <c:pt idx="103">
                  <c:v>18.819915783898313</c:v>
                </c:pt>
                <c:pt idx="104">
                  <c:v>17.209970630255931</c:v>
                </c:pt>
                <c:pt idx="105">
                  <c:v>14.602557838983053</c:v>
                </c:pt>
                <c:pt idx="106">
                  <c:v>13.631303848870068</c:v>
                </c:pt>
                <c:pt idx="107">
                  <c:v>13.746888947740112</c:v>
                </c:pt>
                <c:pt idx="108">
                  <c:v>13.650138771186436</c:v>
                </c:pt>
                <c:pt idx="109">
                  <c:v>12.621825211864405</c:v>
                </c:pt>
                <c:pt idx="110">
                  <c:v>12.757181497175134</c:v>
                </c:pt>
                <c:pt idx="111">
                  <c:v>13.202123587570625</c:v>
                </c:pt>
                <c:pt idx="112">
                  <c:v>13.159469096598841</c:v>
                </c:pt>
                <c:pt idx="113">
                  <c:v>12.680178319209041</c:v>
                </c:pt>
                <c:pt idx="114">
                  <c:v>14.136082274011299</c:v>
                </c:pt>
                <c:pt idx="115">
                  <c:v>13.560876544201223</c:v>
                </c:pt>
                <c:pt idx="116">
                  <c:v>13.517367055084753</c:v>
                </c:pt>
                <c:pt idx="117">
                  <c:v>11.977084216101696</c:v>
                </c:pt>
                <c:pt idx="118">
                  <c:v>13.892986228813561</c:v>
                </c:pt>
                <c:pt idx="119">
                  <c:v>14.147774187853107</c:v>
                </c:pt>
                <c:pt idx="120">
                  <c:v>13.888270656779655</c:v>
                </c:pt>
                <c:pt idx="121">
                  <c:v>12.531779343220338</c:v>
                </c:pt>
                <c:pt idx="122">
                  <c:v>12.312165783898303</c:v>
                </c:pt>
                <c:pt idx="123">
                  <c:v>10.865179201977398</c:v>
                </c:pt>
                <c:pt idx="124">
                  <c:v>13.843987288135596</c:v>
                </c:pt>
                <c:pt idx="125">
                  <c:v>16.471236052259869</c:v>
                </c:pt>
                <c:pt idx="126">
                  <c:v>19.312718573446329</c:v>
                </c:pt>
                <c:pt idx="127">
                  <c:v>16.501178319209036</c:v>
                </c:pt>
                <c:pt idx="128">
                  <c:v>17.838404661016952</c:v>
                </c:pt>
                <c:pt idx="129">
                  <c:v>15.648320499180672</c:v>
                </c:pt>
                <c:pt idx="130">
                  <c:v>16.568921433615824</c:v>
                </c:pt>
                <c:pt idx="131">
                  <c:v>15.972633094072672</c:v>
                </c:pt>
                <c:pt idx="132">
                  <c:v>15.839216454802271</c:v>
                </c:pt>
                <c:pt idx="133">
                  <c:v>14.910411899717511</c:v>
                </c:pt>
                <c:pt idx="134">
                  <c:v>14.951354343220338</c:v>
                </c:pt>
                <c:pt idx="135">
                  <c:v>14.31002839991929</c:v>
                </c:pt>
                <c:pt idx="136">
                  <c:v>14.122517659876898</c:v>
                </c:pt>
                <c:pt idx="137">
                  <c:v>13.727219111023606</c:v>
                </c:pt>
                <c:pt idx="138">
                  <c:v>12.856678142655362</c:v>
                </c:pt>
                <c:pt idx="139">
                  <c:v>13.146785091452216</c:v>
                </c:pt>
                <c:pt idx="140">
                  <c:v>14.612028338148164</c:v>
                </c:pt>
                <c:pt idx="141">
                  <c:v>15.885122129299235</c:v>
                </c:pt>
                <c:pt idx="142">
                  <c:v>14.951323708114154</c:v>
                </c:pt>
                <c:pt idx="143">
                  <c:v>14.795833628371176</c:v>
                </c:pt>
                <c:pt idx="144">
                  <c:v>15.207889485508181</c:v>
                </c:pt>
                <c:pt idx="145">
                  <c:v>14.817397953290964</c:v>
                </c:pt>
                <c:pt idx="146">
                  <c:v>15.029007667085979</c:v>
                </c:pt>
                <c:pt idx="147">
                  <c:v>14.590683182784391</c:v>
                </c:pt>
                <c:pt idx="148">
                  <c:v>14.607297115694875</c:v>
                </c:pt>
                <c:pt idx="149">
                  <c:v>13.955450969770373</c:v>
                </c:pt>
                <c:pt idx="150">
                  <c:v>14.031651574172564</c:v>
                </c:pt>
                <c:pt idx="151">
                  <c:v>16.965149860140592</c:v>
                </c:pt>
                <c:pt idx="152">
                  <c:v>17.344849040415301</c:v>
                </c:pt>
                <c:pt idx="153">
                  <c:v>18.08073044923518</c:v>
                </c:pt>
                <c:pt idx="154">
                  <c:v>19.68305171130952</c:v>
                </c:pt>
                <c:pt idx="155">
                  <c:v>22.923338983050851</c:v>
                </c:pt>
                <c:pt idx="156">
                  <c:v>19.910341865694466</c:v>
                </c:pt>
                <c:pt idx="157">
                  <c:v>21.035951806935508</c:v>
                </c:pt>
                <c:pt idx="158">
                  <c:v>20.535915413042176</c:v>
                </c:pt>
                <c:pt idx="159">
                  <c:v>19.894808214007398</c:v>
                </c:pt>
                <c:pt idx="160">
                  <c:v>19.75954043079096</c:v>
                </c:pt>
                <c:pt idx="161">
                  <c:v>20.509208619679672</c:v>
                </c:pt>
                <c:pt idx="162">
                  <c:v>20.755288135593215</c:v>
                </c:pt>
                <c:pt idx="163">
                  <c:v>21.708031956214679</c:v>
                </c:pt>
                <c:pt idx="164">
                  <c:v>20.851174843035945</c:v>
                </c:pt>
                <c:pt idx="165">
                  <c:v>21.295712217514126</c:v>
                </c:pt>
                <c:pt idx="166">
                  <c:v>20.36014923647441</c:v>
                </c:pt>
                <c:pt idx="167">
                  <c:v>20.175870495626341</c:v>
                </c:pt>
                <c:pt idx="168">
                  <c:v>19.906799837609416</c:v>
                </c:pt>
                <c:pt idx="169">
                  <c:v>19.995202447742422</c:v>
                </c:pt>
                <c:pt idx="170">
                  <c:v>19.633194562146894</c:v>
                </c:pt>
                <c:pt idx="171">
                  <c:v>19.673596398305079</c:v>
                </c:pt>
                <c:pt idx="172">
                  <c:v>19.433319209039556</c:v>
                </c:pt>
                <c:pt idx="173">
                  <c:v>19.084106461864398</c:v>
                </c:pt>
                <c:pt idx="174">
                  <c:v>21.835617074701826</c:v>
                </c:pt>
                <c:pt idx="175">
                  <c:v>22.061111052259893</c:v>
                </c:pt>
                <c:pt idx="176">
                  <c:v>23.9662199858757</c:v>
                </c:pt>
                <c:pt idx="177">
                  <c:v>23.859122704802264</c:v>
                </c:pt>
                <c:pt idx="178">
                  <c:v>23.256652895480226</c:v>
                </c:pt>
                <c:pt idx="179">
                  <c:v>23.24791649011301</c:v>
                </c:pt>
                <c:pt idx="180">
                  <c:v>23.983049788135599</c:v>
                </c:pt>
                <c:pt idx="181">
                  <c:v>23.05714918785311</c:v>
                </c:pt>
                <c:pt idx="182">
                  <c:v>21.028188735875709</c:v>
                </c:pt>
                <c:pt idx="183">
                  <c:v>20.664511475988704</c:v>
                </c:pt>
                <c:pt idx="184">
                  <c:v>20.088801906779661</c:v>
                </c:pt>
                <c:pt idx="185">
                  <c:v>18.762954625706211</c:v>
                </c:pt>
                <c:pt idx="186">
                  <c:v>19.552461687853111</c:v>
                </c:pt>
                <c:pt idx="187">
                  <c:v>20.245704449152537</c:v>
                </c:pt>
                <c:pt idx="188">
                  <c:v>17.919954625706225</c:v>
                </c:pt>
                <c:pt idx="189">
                  <c:v>20.897520555355221</c:v>
                </c:pt>
                <c:pt idx="190">
                  <c:v>22.253611758474573</c:v>
                </c:pt>
                <c:pt idx="191">
                  <c:v>23.191417725988703</c:v>
                </c:pt>
                <c:pt idx="192">
                  <c:v>24.988332627118648</c:v>
                </c:pt>
                <c:pt idx="193">
                  <c:v>27.318161899717513</c:v>
                </c:pt>
                <c:pt idx="194">
                  <c:v>27.041161016949147</c:v>
                </c:pt>
                <c:pt idx="195">
                  <c:v>25.494952507062148</c:v>
                </c:pt>
                <c:pt idx="196">
                  <c:v>23.866843043785305</c:v>
                </c:pt>
                <c:pt idx="197">
                  <c:v>24.057054025423728</c:v>
                </c:pt>
                <c:pt idx="198">
                  <c:v>24.23644120762712</c:v>
                </c:pt>
                <c:pt idx="199">
                  <c:v>24.457969103107345</c:v>
                </c:pt>
                <c:pt idx="200">
                  <c:v>24.577703389830504</c:v>
                </c:pt>
                <c:pt idx="201">
                  <c:v>23.768764300847455</c:v>
                </c:pt>
                <c:pt idx="202">
                  <c:v>24.315128531073452</c:v>
                </c:pt>
                <c:pt idx="203">
                  <c:v>25.230839336158187</c:v>
                </c:pt>
                <c:pt idx="204">
                  <c:v>24.464227401129936</c:v>
                </c:pt>
                <c:pt idx="205">
                  <c:v>23.93484992937853</c:v>
                </c:pt>
                <c:pt idx="206">
                  <c:v>21.929228460451977</c:v>
                </c:pt>
                <c:pt idx="207">
                  <c:v>22.568534427966103</c:v>
                </c:pt>
                <c:pt idx="208">
                  <c:v>24.789503707627119</c:v>
                </c:pt>
                <c:pt idx="209">
                  <c:v>25.663868997175143</c:v>
                </c:pt>
                <c:pt idx="210">
                  <c:v>25.786244879943499</c:v>
                </c:pt>
                <c:pt idx="211">
                  <c:v>26.054543785310731</c:v>
                </c:pt>
                <c:pt idx="212">
                  <c:v>26.045504237288132</c:v>
                </c:pt>
                <c:pt idx="213">
                  <c:v>24.814019067796607</c:v>
                </c:pt>
                <c:pt idx="214">
                  <c:v>24.227572740112986</c:v>
                </c:pt>
                <c:pt idx="215">
                  <c:v>24.865853283898314</c:v>
                </c:pt>
                <c:pt idx="216">
                  <c:v>25.623006002824852</c:v>
                </c:pt>
                <c:pt idx="217">
                  <c:v>25.872747351694912</c:v>
                </c:pt>
                <c:pt idx="218">
                  <c:v>26.331548375706205</c:v>
                </c:pt>
                <c:pt idx="219">
                  <c:v>25.772065677966108</c:v>
                </c:pt>
                <c:pt idx="220">
                  <c:v>27.074495409604509</c:v>
                </c:pt>
                <c:pt idx="221">
                  <c:v>28.020667725988705</c:v>
                </c:pt>
                <c:pt idx="222">
                  <c:v>28.438265713276834</c:v>
                </c:pt>
                <c:pt idx="223">
                  <c:v>28.285006355932207</c:v>
                </c:pt>
                <c:pt idx="224">
                  <c:v>26.318467867231632</c:v>
                </c:pt>
                <c:pt idx="225">
                  <c:v>24.847240642655365</c:v>
                </c:pt>
                <c:pt idx="226">
                  <c:v>24.797433792372875</c:v>
                </c:pt>
                <c:pt idx="227">
                  <c:v>26.203862817796605</c:v>
                </c:pt>
                <c:pt idx="228">
                  <c:v>27.177938912429386</c:v>
                </c:pt>
                <c:pt idx="229">
                  <c:v>27.566679025423721</c:v>
                </c:pt>
                <c:pt idx="230">
                  <c:v>24.954757238700569</c:v>
                </c:pt>
                <c:pt idx="231">
                  <c:v>26.496769420903959</c:v>
                </c:pt>
                <c:pt idx="232">
                  <c:v>27.07007838983051</c:v>
                </c:pt>
                <c:pt idx="233">
                  <c:v>25.498148305084751</c:v>
                </c:pt>
                <c:pt idx="234">
                  <c:v>24.200134004237288</c:v>
                </c:pt>
                <c:pt idx="235">
                  <c:v>24.295132415254244</c:v>
                </c:pt>
                <c:pt idx="236">
                  <c:v>25.038702153954798</c:v>
                </c:pt>
                <c:pt idx="237">
                  <c:v>25.661233933615822</c:v>
                </c:pt>
                <c:pt idx="238">
                  <c:v>24.636208686440682</c:v>
                </c:pt>
                <c:pt idx="239">
                  <c:v>21.329462747175139</c:v>
                </c:pt>
                <c:pt idx="240">
                  <c:v>24.242835628531068</c:v>
                </c:pt>
                <c:pt idx="241">
                  <c:v>25.798818149717516</c:v>
                </c:pt>
                <c:pt idx="242">
                  <c:v>24.319707274011304</c:v>
                </c:pt>
                <c:pt idx="243">
                  <c:v>22.477864936440668</c:v>
                </c:pt>
                <c:pt idx="244">
                  <c:v>23.778318679378533</c:v>
                </c:pt>
                <c:pt idx="245">
                  <c:v>24.410812499999995</c:v>
                </c:pt>
                <c:pt idx="246">
                  <c:v>24.07182680084745</c:v>
                </c:pt>
                <c:pt idx="247">
                  <c:v>24.720947033898298</c:v>
                </c:pt>
                <c:pt idx="248">
                  <c:v>23.897001765536725</c:v>
                </c:pt>
                <c:pt idx="249">
                  <c:v>23.696185911016954</c:v>
                </c:pt>
                <c:pt idx="250">
                  <c:v>25.808277718926551</c:v>
                </c:pt>
                <c:pt idx="251">
                  <c:v>27.86769844632768</c:v>
                </c:pt>
                <c:pt idx="252">
                  <c:v>27.468782485875703</c:v>
                </c:pt>
                <c:pt idx="253">
                  <c:v>26.755257768361584</c:v>
                </c:pt>
                <c:pt idx="254">
                  <c:v>22.586832803672319</c:v>
                </c:pt>
                <c:pt idx="264">
                  <c:v>18.240906073446329</c:v>
                </c:pt>
                <c:pt idx="265">
                  <c:v>18.265793961864397</c:v>
                </c:pt>
                <c:pt idx="266">
                  <c:v>15.601225635593217</c:v>
                </c:pt>
                <c:pt idx="267">
                  <c:v>13.586754237288128</c:v>
                </c:pt>
                <c:pt idx="268">
                  <c:v>14.02803831214689</c:v>
                </c:pt>
                <c:pt idx="269">
                  <c:v>15.337312500000003</c:v>
                </c:pt>
                <c:pt idx="270">
                  <c:v>14.606302789548026</c:v>
                </c:pt>
                <c:pt idx="271">
                  <c:v>15.209230579096037</c:v>
                </c:pt>
                <c:pt idx="272">
                  <c:v>16.855722281073447</c:v>
                </c:pt>
                <c:pt idx="273">
                  <c:v>18.719408898305076</c:v>
                </c:pt>
                <c:pt idx="274">
                  <c:v>19.70760734463278</c:v>
                </c:pt>
                <c:pt idx="275">
                  <c:v>20.170167725988708</c:v>
                </c:pt>
                <c:pt idx="276">
                  <c:v>19.845690854519777</c:v>
                </c:pt>
                <c:pt idx="277">
                  <c:v>18.311039194915249</c:v>
                </c:pt>
                <c:pt idx="278">
                  <c:v>16.091157662429385</c:v>
                </c:pt>
                <c:pt idx="279">
                  <c:v>13.96373481638417</c:v>
                </c:pt>
                <c:pt idx="280">
                  <c:v>13.495283015536716</c:v>
                </c:pt>
                <c:pt idx="281">
                  <c:v>13.724346045197743</c:v>
                </c:pt>
                <c:pt idx="282">
                  <c:v>13.081683615819209</c:v>
                </c:pt>
                <c:pt idx="283">
                  <c:v>12.419164548022593</c:v>
                </c:pt>
                <c:pt idx="284">
                  <c:v>12.578972104519771</c:v>
                </c:pt>
                <c:pt idx="285">
                  <c:v>12.864394244350281</c:v>
                </c:pt>
                <c:pt idx="286">
                  <c:v>12.141502471751414</c:v>
                </c:pt>
                <c:pt idx="287">
                  <c:v>12.480639477401132</c:v>
                </c:pt>
                <c:pt idx="288">
                  <c:v>12.697774187853106</c:v>
                </c:pt>
                <c:pt idx="289">
                  <c:v>12.378698547215498</c:v>
                </c:pt>
                <c:pt idx="290">
                  <c:v>12.206948446327678</c:v>
                </c:pt>
                <c:pt idx="291">
                  <c:v>10.816254413841806</c:v>
                </c:pt>
                <c:pt idx="292">
                  <c:v>11.951077683615821</c:v>
                </c:pt>
                <c:pt idx="293">
                  <c:v>12.763782838983053</c:v>
                </c:pt>
                <c:pt idx="294">
                  <c:v>12.21277083333333</c:v>
                </c:pt>
                <c:pt idx="295">
                  <c:v>11.400756179378531</c:v>
                </c:pt>
                <c:pt idx="296">
                  <c:v>11.110769244350282</c:v>
                </c:pt>
                <c:pt idx="297">
                  <c:v>10.312613170903957</c:v>
                </c:pt>
                <c:pt idx="298">
                  <c:v>11.663917196327681</c:v>
                </c:pt>
                <c:pt idx="299">
                  <c:v>12.879065148305079</c:v>
                </c:pt>
                <c:pt idx="300">
                  <c:v>14.209148128531067</c:v>
                </c:pt>
                <c:pt idx="301">
                  <c:v>14.510730579096046</c:v>
                </c:pt>
                <c:pt idx="302">
                  <c:v>16.546516419491521</c:v>
                </c:pt>
                <c:pt idx="303">
                  <c:v>15.031096927966106</c:v>
                </c:pt>
                <c:pt idx="304">
                  <c:v>15.649846221751412</c:v>
                </c:pt>
                <c:pt idx="305">
                  <c:v>14.666594456214689</c:v>
                </c:pt>
                <c:pt idx="306">
                  <c:v>14.995639124293794</c:v>
                </c:pt>
                <c:pt idx="307">
                  <c:v>14.05838788841808</c:v>
                </c:pt>
                <c:pt idx="308">
                  <c:v>14.167974223163839</c:v>
                </c:pt>
                <c:pt idx="309">
                  <c:v>13.604606461864408</c:v>
                </c:pt>
                <c:pt idx="310">
                  <c:v>13.130163665254237</c:v>
                </c:pt>
                <c:pt idx="311">
                  <c:v>12.750380120056493</c:v>
                </c:pt>
                <c:pt idx="312">
                  <c:v>12.512680967514115</c:v>
                </c:pt>
                <c:pt idx="313">
                  <c:v>12.722496715753808</c:v>
                </c:pt>
                <c:pt idx="314">
                  <c:v>14.161144724864071</c:v>
                </c:pt>
                <c:pt idx="315">
                  <c:v>15.583240995762708</c:v>
                </c:pt>
                <c:pt idx="316">
                  <c:v>14.492361581920905</c:v>
                </c:pt>
                <c:pt idx="317">
                  <c:v>14.711511148123401</c:v>
                </c:pt>
                <c:pt idx="318">
                  <c:v>14.552164228019061</c:v>
                </c:pt>
                <c:pt idx="319">
                  <c:v>13.922814261358992</c:v>
                </c:pt>
                <c:pt idx="320">
                  <c:v>14.36386919317272</c:v>
                </c:pt>
                <c:pt idx="321">
                  <c:v>14.036687239221726</c:v>
                </c:pt>
                <c:pt idx="322">
                  <c:v>13.951794835527659</c:v>
                </c:pt>
                <c:pt idx="323">
                  <c:v>13.441266178401451</c:v>
                </c:pt>
                <c:pt idx="324">
                  <c:v>12.746930434703286</c:v>
                </c:pt>
                <c:pt idx="325">
                  <c:v>14.871527542372876</c:v>
                </c:pt>
                <c:pt idx="326">
                  <c:v>15.955174435028242</c:v>
                </c:pt>
                <c:pt idx="327">
                  <c:v>16.306707097457625</c:v>
                </c:pt>
                <c:pt idx="328">
                  <c:v>17.900968043785308</c:v>
                </c:pt>
                <c:pt idx="329">
                  <c:v>20.261179201977399</c:v>
                </c:pt>
                <c:pt idx="330">
                  <c:v>19.11941507768362</c:v>
                </c:pt>
                <c:pt idx="331">
                  <c:v>19.908706391242927</c:v>
                </c:pt>
                <c:pt idx="332">
                  <c:v>19.547757363291954</c:v>
                </c:pt>
                <c:pt idx="333">
                  <c:v>19.215972457627107</c:v>
                </c:pt>
                <c:pt idx="334">
                  <c:v>19.437318679378524</c:v>
                </c:pt>
                <c:pt idx="335">
                  <c:v>20.62697351694915</c:v>
                </c:pt>
                <c:pt idx="336">
                  <c:v>20.301226518361588</c:v>
                </c:pt>
                <c:pt idx="337">
                  <c:v>21.049951800847452</c:v>
                </c:pt>
                <c:pt idx="338">
                  <c:v>20.116858580508474</c:v>
                </c:pt>
                <c:pt idx="339">
                  <c:v>20.815641596045204</c:v>
                </c:pt>
                <c:pt idx="340">
                  <c:v>19.729792978208234</c:v>
                </c:pt>
                <c:pt idx="341">
                  <c:v>19.565401659604522</c:v>
                </c:pt>
                <c:pt idx="342">
                  <c:v>19.599354166666661</c:v>
                </c:pt>
                <c:pt idx="343">
                  <c:v>19.745036899717515</c:v>
                </c:pt>
                <c:pt idx="344">
                  <c:v>19.09394209039548</c:v>
                </c:pt>
                <c:pt idx="345">
                  <c:v>19.441908015536729</c:v>
                </c:pt>
                <c:pt idx="346">
                  <c:v>19.25778001412429</c:v>
                </c:pt>
                <c:pt idx="347">
                  <c:v>18.539959569209042</c:v>
                </c:pt>
              </c:numCache>
            </c:numRef>
          </c:xVal>
          <c:yVal>
            <c:numRef>
              <c:f>FDOM_v_Sal!$D$3:$D$351</c:f>
              <c:numCache>
                <c:formatCode>0.00</c:formatCode>
                <c:ptCount val="349"/>
                <c:pt idx="0">
                  <c:v>16.978687696170738</c:v>
                </c:pt>
                <c:pt idx="1">
                  <c:v>15.944847457627118</c:v>
                </c:pt>
                <c:pt idx="2">
                  <c:v>15.062862994350285</c:v>
                </c:pt>
                <c:pt idx="3">
                  <c:v>15.602390713276831</c:v>
                </c:pt>
                <c:pt idx="4">
                  <c:v>15.079151836158189</c:v>
                </c:pt>
                <c:pt idx="5">
                  <c:v>15.636722281073453</c:v>
                </c:pt>
                <c:pt idx="6">
                  <c:v>15.205149011299442</c:v>
                </c:pt>
                <c:pt idx="7">
                  <c:v>16.300857168079094</c:v>
                </c:pt>
                <c:pt idx="8">
                  <c:v>17.121345692090397</c:v>
                </c:pt>
                <c:pt idx="9">
                  <c:v>18.510155543785316</c:v>
                </c:pt>
                <c:pt idx="10">
                  <c:v>20.474858050847459</c:v>
                </c:pt>
                <c:pt idx="11">
                  <c:v>25.134566913841809</c:v>
                </c:pt>
                <c:pt idx="12">
                  <c:v>22.97193396892655</c:v>
                </c:pt>
                <c:pt idx="13">
                  <c:v>19.657340042372891</c:v>
                </c:pt>
                <c:pt idx="14">
                  <c:v>26.885162782485882</c:v>
                </c:pt>
                <c:pt idx="15">
                  <c:v>22.038764514965738</c:v>
                </c:pt>
                <c:pt idx="16">
                  <c:v>19.078468749999995</c:v>
                </c:pt>
                <c:pt idx="17">
                  <c:v>16.897520480225989</c:v>
                </c:pt>
                <c:pt idx="18">
                  <c:v>15.743362111581925</c:v>
                </c:pt>
                <c:pt idx="19">
                  <c:v>13.048155896892657</c:v>
                </c:pt>
                <c:pt idx="20">
                  <c:v>13.375208686440685</c:v>
                </c:pt>
                <c:pt idx="21">
                  <c:v>16.665166313559322</c:v>
                </c:pt>
                <c:pt idx="22">
                  <c:v>19.635106638418076</c:v>
                </c:pt>
                <c:pt idx="23">
                  <c:v>19.428061440677961</c:v>
                </c:pt>
                <c:pt idx="24">
                  <c:v>18.527721751412439</c:v>
                </c:pt>
                <c:pt idx="25">
                  <c:v>17.452755296610167</c:v>
                </c:pt>
                <c:pt idx="26">
                  <c:v>16.66449556137874</c:v>
                </c:pt>
                <c:pt idx="27">
                  <c:v>17.105841820027386</c:v>
                </c:pt>
                <c:pt idx="28">
                  <c:v>16.716005826271186</c:v>
                </c:pt>
                <c:pt idx="29">
                  <c:v>15.739791666666662</c:v>
                </c:pt>
                <c:pt idx="30">
                  <c:v>14.572978460451976</c:v>
                </c:pt>
                <c:pt idx="31">
                  <c:v>16.131154484463281</c:v>
                </c:pt>
                <c:pt idx="32">
                  <c:v>18.063752648305087</c:v>
                </c:pt>
                <c:pt idx="33">
                  <c:v>16.060657988992794</c:v>
                </c:pt>
                <c:pt idx="34">
                  <c:v>14.80262199858757</c:v>
                </c:pt>
                <c:pt idx="35">
                  <c:v>14.083356059127501</c:v>
                </c:pt>
                <c:pt idx="36">
                  <c:v>12.097104862701306</c:v>
                </c:pt>
                <c:pt idx="37">
                  <c:v>11.308570380832814</c:v>
                </c:pt>
                <c:pt idx="38">
                  <c:v>10.496460318402949</c:v>
                </c:pt>
                <c:pt idx="39">
                  <c:v>11.035966440849938</c:v>
                </c:pt>
                <c:pt idx="40">
                  <c:v>11.514361405368449</c:v>
                </c:pt>
                <c:pt idx="41">
                  <c:v>11.786222442392138</c:v>
                </c:pt>
                <c:pt idx="42">
                  <c:v>11.773352048022602</c:v>
                </c:pt>
                <c:pt idx="43">
                  <c:v>11.658921061553629</c:v>
                </c:pt>
                <c:pt idx="44">
                  <c:v>11.239142133546409</c:v>
                </c:pt>
                <c:pt idx="45">
                  <c:v>11.779439977324438</c:v>
                </c:pt>
                <c:pt idx="46">
                  <c:v>10.500445373768537</c:v>
                </c:pt>
                <c:pt idx="47">
                  <c:v>10.008929201977397</c:v>
                </c:pt>
                <c:pt idx="48">
                  <c:v>10.023328213276836</c:v>
                </c:pt>
                <c:pt idx="49">
                  <c:v>10.406097281073448</c:v>
                </c:pt>
                <c:pt idx="50">
                  <c:v>11.332889120758439</c:v>
                </c:pt>
                <c:pt idx="51">
                  <c:v>11.865699278869569</c:v>
                </c:pt>
                <c:pt idx="52">
                  <c:v>11.990935739415336</c:v>
                </c:pt>
                <c:pt idx="53">
                  <c:v>11.477708018011723</c:v>
                </c:pt>
                <c:pt idx="54">
                  <c:v>10.698709930475333</c:v>
                </c:pt>
                <c:pt idx="55">
                  <c:v>9.345753884180791</c:v>
                </c:pt>
                <c:pt idx="56">
                  <c:v>11.74245374293786</c:v>
                </c:pt>
                <c:pt idx="57">
                  <c:v>11.425020955249749</c:v>
                </c:pt>
                <c:pt idx="58">
                  <c:v>11.17993467514124</c:v>
                </c:pt>
                <c:pt idx="59">
                  <c:v>11.681879766949153</c:v>
                </c:pt>
                <c:pt idx="60">
                  <c:v>12.021536821457282</c:v>
                </c:pt>
                <c:pt idx="61">
                  <c:v>11.822657097068998</c:v>
                </c:pt>
                <c:pt idx="62">
                  <c:v>11.561208585436098</c:v>
                </c:pt>
                <c:pt idx="63">
                  <c:v>10.538936719787104</c:v>
                </c:pt>
                <c:pt idx="64">
                  <c:v>10.822646888361446</c:v>
                </c:pt>
                <c:pt idx="65">
                  <c:v>14.081165953049888</c:v>
                </c:pt>
                <c:pt idx="66">
                  <c:v>12.733169167567114</c:v>
                </c:pt>
                <c:pt idx="67">
                  <c:v>10.775217056990407</c:v>
                </c:pt>
                <c:pt idx="68">
                  <c:v>10.940790385726658</c:v>
                </c:pt>
                <c:pt idx="69">
                  <c:v>12.730932444615172</c:v>
                </c:pt>
                <c:pt idx="70">
                  <c:v>12.605284458131019</c:v>
                </c:pt>
                <c:pt idx="71">
                  <c:v>12.460820733603896</c:v>
                </c:pt>
                <c:pt idx="72">
                  <c:v>14.055737325968522</c:v>
                </c:pt>
                <c:pt idx="73">
                  <c:v>11.702614184157669</c:v>
                </c:pt>
                <c:pt idx="74">
                  <c:v>12.16063594212403</c:v>
                </c:pt>
                <c:pt idx="75">
                  <c:v>13.189368975934622</c:v>
                </c:pt>
                <c:pt idx="76">
                  <c:v>11.76379731097258</c:v>
                </c:pt>
                <c:pt idx="77">
                  <c:v>10.064944360088587</c:v>
                </c:pt>
                <c:pt idx="78">
                  <c:v>10.226364432771385</c:v>
                </c:pt>
                <c:pt idx="79">
                  <c:v>10.262653425141247</c:v>
                </c:pt>
                <c:pt idx="80">
                  <c:v>14.518574329096031</c:v>
                </c:pt>
                <c:pt idx="90">
                  <c:v>22.328271362994343</c:v>
                </c:pt>
                <c:pt idx="91">
                  <c:v>19.004191161396786</c:v>
                </c:pt>
                <c:pt idx="92">
                  <c:v>27.250488877118645</c:v>
                </c:pt>
                <c:pt idx="93">
                  <c:v>35.201662782485869</c:v>
                </c:pt>
                <c:pt idx="94">
                  <c:v>34.118075741525409</c:v>
                </c:pt>
                <c:pt idx="95">
                  <c:v>34.049662782485875</c:v>
                </c:pt>
                <c:pt idx="96">
                  <c:v>37.346576998925897</c:v>
                </c:pt>
                <c:pt idx="97">
                  <c:v>31.747100910688477</c:v>
                </c:pt>
                <c:pt idx="98">
                  <c:v>32.42105826271186</c:v>
                </c:pt>
                <c:pt idx="99">
                  <c:v>33.427006002824875</c:v>
                </c:pt>
                <c:pt idx="100">
                  <c:v>31.584325035310737</c:v>
                </c:pt>
                <c:pt idx="101">
                  <c:v>31.162987641242946</c:v>
                </c:pt>
                <c:pt idx="102">
                  <c:v>28.491085451977412</c:v>
                </c:pt>
                <c:pt idx="103">
                  <c:v>31.498523128531058</c:v>
                </c:pt>
                <c:pt idx="104">
                  <c:v>33.382791588017561</c:v>
                </c:pt>
                <c:pt idx="105">
                  <c:v>37.423689936440688</c:v>
                </c:pt>
                <c:pt idx="106">
                  <c:v>40.457410134180797</c:v>
                </c:pt>
                <c:pt idx="107">
                  <c:v>37.647912429378543</c:v>
                </c:pt>
                <c:pt idx="108">
                  <c:v>37.308683615819227</c:v>
                </c:pt>
                <c:pt idx="109">
                  <c:v>38.403192620056508</c:v>
                </c:pt>
                <c:pt idx="110">
                  <c:v>38.521962747175138</c:v>
                </c:pt>
                <c:pt idx="111">
                  <c:v>37.054127295197738</c:v>
                </c:pt>
                <c:pt idx="112">
                  <c:v>37.024680595633846</c:v>
                </c:pt>
                <c:pt idx="113">
                  <c:v>37.89025052966101</c:v>
                </c:pt>
                <c:pt idx="114">
                  <c:v>33.550357168079088</c:v>
                </c:pt>
                <c:pt idx="115">
                  <c:v>34.212199096951124</c:v>
                </c:pt>
                <c:pt idx="116">
                  <c:v>35.087110875706202</c:v>
                </c:pt>
                <c:pt idx="117">
                  <c:v>38.693155896892662</c:v>
                </c:pt>
                <c:pt idx="118">
                  <c:v>36.907466984463284</c:v>
                </c:pt>
                <c:pt idx="119">
                  <c:v>35.311825211864409</c:v>
                </c:pt>
                <c:pt idx="120">
                  <c:v>35.791577153954798</c:v>
                </c:pt>
                <c:pt idx="121">
                  <c:v>37.483025343018575</c:v>
                </c:pt>
                <c:pt idx="122">
                  <c:v>37.958327860169497</c:v>
                </c:pt>
                <c:pt idx="123">
                  <c:v>44.18817673022599</c:v>
                </c:pt>
                <c:pt idx="124">
                  <c:v>37.443161899717502</c:v>
                </c:pt>
                <c:pt idx="125">
                  <c:v>33.739187146892661</c:v>
                </c:pt>
                <c:pt idx="126">
                  <c:v>31.176528601694915</c:v>
                </c:pt>
                <c:pt idx="127">
                  <c:v>36.99809498587571</c:v>
                </c:pt>
                <c:pt idx="128">
                  <c:v>34.346479519774014</c:v>
                </c:pt>
                <c:pt idx="129">
                  <c:v>36.306114860972464</c:v>
                </c:pt>
                <c:pt idx="130">
                  <c:v>33.520670550847463</c:v>
                </c:pt>
                <c:pt idx="131">
                  <c:v>34.366490186485905</c:v>
                </c:pt>
                <c:pt idx="132">
                  <c:v>31.835494173728822</c:v>
                </c:pt>
                <c:pt idx="133">
                  <c:v>35.673633121468917</c:v>
                </c:pt>
                <c:pt idx="134">
                  <c:v>35.580782662429378</c:v>
                </c:pt>
                <c:pt idx="135">
                  <c:v>38.422630019168686</c:v>
                </c:pt>
                <c:pt idx="136">
                  <c:v>40.591975638975477</c:v>
                </c:pt>
                <c:pt idx="137">
                  <c:v>41.979668580497787</c:v>
                </c:pt>
                <c:pt idx="138">
                  <c:v>42.452349223163843</c:v>
                </c:pt>
                <c:pt idx="139">
                  <c:v>42.431546644507854</c:v>
                </c:pt>
                <c:pt idx="140">
                  <c:v>40.919862626865203</c:v>
                </c:pt>
                <c:pt idx="141">
                  <c:v>38.887942181854235</c:v>
                </c:pt>
                <c:pt idx="142">
                  <c:v>39.207745720095467</c:v>
                </c:pt>
                <c:pt idx="143">
                  <c:v>39.330648617679479</c:v>
                </c:pt>
                <c:pt idx="144">
                  <c:v>38.259755916629139</c:v>
                </c:pt>
                <c:pt idx="145">
                  <c:v>36.534141778045104</c:v>
                </c:pt>
                <c:pt idx="146">
                  <c:v>33.89815834876056</c:v>
                </c:pt>
                <c:pt idx="147">
                  <c:v>33.199946284769197</c:v>
                </c:pt>
                <c:pt idx="148">
                  <c:v>33.180971896399882</c:v>
                </c:pt>
                <c:pt idx="149">
                  <c:v>33.615370960167461</c:v>
                </c:pt>
                <c:pt idx="150">
                  <c:v>35.248269601891046</c:v>
                </c:pt>
                <c:pt idx="151">
                  <c:v>30.49290893974359</c:v>
                </c:pt>
                <c:pt idx="152">
                  <c:v>29.845613822005699</c:v>
                </c:pt>
                <c:pt idx="153">
                  <c:v>28.248847128275738</c:v>
                </c:pt>
                <c:pt idx="154">
                  <c:v>25.45455311229561</c:v>
                </c:pt>
                <c:pt idx="155">
                  <c:v>20.526532309322036</c:v>
                </c:pt>
                <c:pt idx="156">
                  <c:v>25.156187004080355</c:v>
                </c:pt>
                <c:pt idx="157">
                  <c:v>22.721163324323001</c:v>
                </c:pt>
                <c:pt idx="158">
                  <c:v>22.945011857280576</c:v>
                </c:pt>
                <c:pt idx="159">
                  <c:v>25.426674617669974</c:v>
                </c:pt>
                <c:pt idx="160">
                  <c:v>25.825149364406794</c:v>
                </c:pt>
                <c:pt idx="161">
                  <c:v>23.130865661020589</c:v>
                </c:pt>
                <c:pt idx="162">
                  <c:v>23.214364406779662</c:v>
                </c:pt>
                <c:pt idx="163">
                  <c:v>21.734649011299449</c:v>
                </c:pt>
                <c:pt idx="164">
                  <c:v>22.791842298422612</c:v>
                </c:pt>
                <c:pt idx="165">
                  <c:v>22.183881002824865</c:v>
                </c:pt>
                <c:pt idx="166">
                  <c:v>22.186378973550219</c:v>
                </c:pt>
                <c:pt idx="167">
                  <c:v>22.556979667797851</c:v>
                </c:pt>
                <c:pt idx="168">
                  <c:v>23.111493399608865</c:v>
                </c:pt>
                <c:pt idx="169">
                  <c:v>23.034413702594222</c:v>
                </c:pt>
                <c:pt idx="170">
                  <c:v>24.845665783898308</c:v>
                </c:pt>
                <c:pt idx="171">
                  <c:v>24.5916804378531</c:v>
                </c:pt>
                <c:pt idx="172">
                  <c:v>24.840153778248578</c:v>
                </c:pt>
                <c:pt idx="173">
                  <c:v>27.467213983050854</c:v>
                </c:pt>
                <c:pt idx="174" formatCode="0.0">
                  <c:v>18.386161016949156</c:v>
                </c:pt>
                <c:pt idx="175" formatCode="0.0">
                  <c:v>17.517100988700559</c:v>
                </c:pt>
                <c:pt idx="176" formatCode="0.0">
                  <c:v>16.657668608757064</c:v>
                </c:pt>
                <c:pt idx="177" formatCode="0.0">
                  <c:v>16.733075918079098</c:v>
                </c:pt>
                <c:pt idx="178" formatCode="0.0">
                  <c:v>16.065516066384181</c:v>
                </c:pt>
                <c:pt idx="179" formatCode="0.0">
                  <c:v>15.825204978813559</c:v>
                </c:pt>
                <c:pt idx="180" formatCode="0.0">
                  <c:v>14.780415430790965</c:v>
                </c:pt>
                <c:pt idx="181" formatCode="0.0">
                  <c:v>17.564926730225988</c:v>
                </c:pt>
                <c:pt idx="182" formatCode="0.0">
                  <c:v>21.342870762711865</c:v>
                </c:pt>
                <c:pt idx="183" formatCode="0.0">
                  <c:v>21.994131355932208</c:v>
                </c:pt>
                <c:pt idx="184" formatCode="0.0">
                  <c:v>23.289865289548018</c:v>
                </c:pt>
                <c:pt idx="185" formatCode="0.0">
                  <c:v>28.164465218926555</c:v>
                </c:pt>
                <c:pt idx="186" formatCode="0.0">
                  <c:v>25.510856461864417</c:v>
                </c:pt>
                <c:pt idx="187" formatCode="0.0">
                  <c:v>24.260816737288135</c:v>
                </c:pt>
                <c:pt idx="188" formatCode="0.0">
                  <c:v>30.373960275423727</c:v>
                </c:pt>
                <c:pt idx="189" formatCode="0.0">
                  <c:v>24.270680310133429</c:v>
                </c:pt>
                <c:pt idx="190" formatCode="0.0">
                  <c:v>20.7034196680791</c:v>
                </c:pt>
                <c:pt idx="191" formatCode="0.0">
                  <c:v>18.255967514124297</c:v>
                </c:pt>
                <c:pt idx="192" formatCode="0.0">
                  <c:v>16.000549611581913</c:v>
                </c:pt>
                <c:pt idx="193" formatCode="0.0">
                  <c:v>14.301041313559322</c:v>
                </c:pt>
                <c:pt idx="194" formatCode="0.0">
                  <c:v>15.288169668079092</c:v>
                </c:pt>
                <c:pt idx="195" formatCode="0.0">
                  <c:v>18.181217867231641</c:v>
                </c:pt>
                <c:pt idx="196" formatCode="0.0">
                  <c:v>20.915137711864407</c:v>
                </c:pt>
                <c:pt idx="197" formatCode="0.0">
                  <c:v>20.283264477401133</c:v>
                </c:pt>
                <c:pt idx="198" formatCode="0.0">
                  <c:v>19.700601341807907</c:v>
                </c:pt>
                <c:pt idx="199" formatCode="0.0">
                  <c:v>19.306106638418083</c:v>
                </c:pt>
                <c:pt idx="200" formatCode="0.0">
                  <c:v>18.636876765536726</c:v>
                </c:pt>
                <c:pt idx="201" formatCode="0.0">
                  <c:v>18.019468926553674</c:v>
                </c:pt>
                <c:pt idx="202" formatCode="0.0">
                  <c:v>18.604976165254239</c:v>
                </c:pt>
                <c:pt idx="203" formatCode="0.0">
                  <c:v>17.102639300847457</c:v>
                </c:pt>
                <c:pt idx="204" formatCode="0.0">
                  <c:v>17.493833509887008</c:v>
                </c:pt>
                <c:pt idx="205" formatCode="0.0">
                  <c:v>17.630153601694925</c:v>
                </c:pt>
                <c:pt idx="206" formatCode="0.0">
                  <c:v>19.011587747175142</c:v>
                </c:pt>
                <c:pt idx="207" formatCode="0.0">
                  <c:v>17.307671433615813</c:v>
                </c:pt>
                <c:pt idx="208" formatCode="0.0">
                  <c:v>14.937471045197745</c:v>
                </c:pt>
                <c:pt idx="209" formatCode="0.0">
                  <c:v>13.345729343220334</c:v>
                </c:pt>
                <c:pt idx="210" formatCode="0.0">
                  <c:v>11.683431144067796</c:v>
                </c:pt>
                <c:pt idx="211" formatCode="0.0">
                  <c:v>11.119592337570625</c:v>
                </c:pt>
                <c:pt idx="212" formatCode="0.0">
                  <c:v>10.907237111581916</c:v>
                </c:pt>
                <c:pt idx="213" formatCode="0.0">
                  <c:v>10.762946327683608</c:v>
                </c:pt>
                <c:pt idx="214" formatCode="0.0">
                  <c:v>12.088289018361579</c:v>
                </c:pt>
                <c:pt idx="215" formatCode="0.0">
                  <c:v>11.924936970338983</c:v>
                </c:pt>
                <c:pt idx="216" formatCode="0.0">
                  <c:v>12.554750706214682</c:v>
                </c:pt>
                <c:pt idx="217" formatCode="0.0">
                  <c:v>11.91878478107345</c:v>
                </c:pt>
                <c:pt idx="218" formatCode="0.0">
                  <c:v>11.732908721751416</c:v>
                </c:pt>
                <c:pt idx="219" formatCode="0.0">
                  <c:v>11.875539548022596</c:v>
                </c:pt>
                <c:pt idx="220" formatCode="0.0">
                  <c:v>10.692089159604523</c:v>
                </c:pt>
                <c:pt idx="221" formatCode="0.0">
                  <c:v>9.8807168079096019</c:v>
                </c:pt>
                <c:pt idx="222" formatCode="0.0">
                  <c:v>9.5100958686440666</c:v>
                </c:pt>
                <c:pt idx="223" formatCode="0.0">
                  <c:v>9.451252295197742</c:v>
                </c:pt>
                <c:pt idx="224" formatCode="0.0">
                  <c:v>11.266550847457623</c:v>
                </c:pt>
                <c:pt idx="225" formatCode="0.0">
                  <c:v>12.399160310734468</c:v>
                </c:pt>
                <c:pt idx="226" formatCode="0.0">
                  <c:v>12.117394067796612</c:v>
                </c:pt>
                <c:pt idx="227" formatCode="0.0">
                  <c:v>11.652375882768368</c:v>
                </c:pt>
                <c:pt idx="228" formatCode="0.0">
                  <c:v>10.543114583333336</c:v>
                </c:pt>
                <c:pt idx="229" formatCode="0.0">
                  <c:v>10.147103813559323</c:v>
                </c:pt>
                <c:pt idx="230" formatCode="0.0">
                  <c:v>12.139741701977393</c:v>
                </c:pt>
                <c:pt idx="231" formatCode="0.0">
                  <c:v>11.031147598870058</c:v>
                </c:pt>
                <c:pt idx="232" formatCode="0.0">
                  <c:v>10.758058086158199</c:v>
                </c:pt>
                <c:pt idx="233" formatCode="0.0">
                  <c:v>12.209936087570618</c:v>
                </c:pt>
                <c:pt idx="234" formatCode="0.0">
                  <c:v>12.126614583333334</c:v>
                </c:pt>
                <c:pt idx="235" formatCode="0.0">
                  <c:v>11.414127471751415</c:v>
                </c:pt>
                <c:pt idx="236" formatCode="0.0">
                  <c:v>11.148335805084747</c:v>
                </c:pt>
                <c:pt idx="237" formatCode="0.0">
                  <c:v>10.674214159604517</c:v>
                </c:pt>
                <c:pt idx="238" formatCode="0.0">
                  <c:v>11.313085805084752</c:v>
                </c:pt>
                <c:pt idx="239" formatCode="0.0">
                  <c:v>14.428552789548029</c:v>
                </c:pt>
                <c:pt idx="240" formatCode="0.0">
                  <c:v>11.790251765536722</c:v>
                </c:pt>
                <c:pt idx="241" formatCode="0.0">
                  <c:v>10.555831391242934</c:v>
                </c:pt>
                <c:pt idx="242" formatCode="0.0">
                  <c:v>10.926110169491528</c:v>
                </c:pt>
                <c:pt idx="243" formatCode="0.0">
                  <c:v>12.878724752824866</c:v>
                </c:pt>
                <c:pt idx="244" formatCode="0.0">
                  <c:v>13.085451271186434</c:v>
                </c:pt>
                <c:pt idx="245" formatCode="0.0">
                  <c:v>12.637158898305087</c:v>
                </c:pt>
                <c:pt idx="246" formatCode="0.0">
                  <c:v>13.383877118644071</c:v>
                </c:pt>
                <c:pt idx="247" formatCode="0.0">
                  <c:v>11.305588629943502</c:v>
                </c:pt>
                <c:pt idx="248" formatCode="0.0">
                  <c:v>11.792236228813557</c:v>
                </c:pt>
                <c:pt idx="249" formatCode="0.0">
                  <c:v>12.65905896892655</c:v>
                </c:pt>
                <c:pt idx="250" formatCode="0.0">
                  <c:v>10.875216278248587</c:v>
                </c:pt>
                <c:pt idx="251" formatCode="0.0">
                  <c:v>9.4406599576271173</c:v>
                </c:pt>
                <c:pt idx="252" formatCode="0.0">
                  <c:v>10.461516419491524</c:v>
                </c:pt>
                <c:pt idx="253" formatCode="0.0">
                  <c:v>10.890973870056493</c:v>
                </c:pt>
                <c:pt idx="254" formatCode="0.0">
                  <c:v>15.118158015536727</c:v>
                </c:pt>
                <c:pt idx="264" formatCode="0.0">
                  <c:v>25.383553185202238</c:v>
                </c:pt>
                <c:pt idx="265" formatCode="0.0">
                  <c:v>23.15512276711998</c:v>
                </c:pt>
                <c:pt idx="266" formatCode="0.0">
                  <c:v>32.532443169923326</c:v>
                </c:pt>
                <c:pt idx="267" formatCode="0.0">
                  <c:v>41.370320442779992</c:v>
                </c:pt>
                <c:pt idx="268" formatCode="0.0">
                  <c:v>42.07394900983639</c:v>
                </c:pt>
                <c:pt idx="269" formatCode="0.0">
                  <c:v>40.431097033779672</c:v>
                </c:pt>
                <c:pt idx="270" formatCode="0.0">
                  <c:v>41.846872983017633</c:v>
                </c:pt>
                <c:pt idx="271" formatCode="0.0">
                  <c:v>38.080422525006185</c:v>
                </c:pt>
                <c:pt idx="272" formatCode="0.0">
                  <c:v>38.41416117139903</c:v>
                </c:pt>
                <c:pt idx="273" formatCode="0.0">
                  <c:v>33.318813497874245</c:v>
                </c:pt>
                <c:pt idx="274" formatCode="0.0">
                  <c:v>32.002689589225049</c:v>
                </c:pt>
                <c:pt idx="275" formatCode="0.0">
                  <c:v>31.010995139574259</c:v>
                </c:pt>
                <c:pt idx="276" formatCode="0.0">
                  <c:v>30.956279564574761</c:v>
                </c:pt>
                <c:pt idx="277" formatCode="0.0">
                  <c:v>34.67121802840358</c:v>
                </c:pt>
                <c:pt idx="278" formatCode="0.0">
                  <c:v>38.993881795082288</c:v>
                </c:pt>
                <c:pt idx="279" formatCode="0.0">
                  <c:v>43.096707931629247</c:v>
                </c:pt>
                <c:pt idx="280" formatCode="0.0">
                  <c:v>44.094990660290968</c:v>
                </c:pt>
                <c:pt idx="281" formatCode="0.0">
                  <c:v>41.303325908430914</c:v>
                </c:pt>
                <c:pt idx="282" formatCode="0.0">
                  <c:v>40.759811862034276</c:v>
                </c:pt>
                <c:pt idx="283" formatCode="0.0">
                  <c:v>42.208973934746709</c:v>
                </c:pt>
                <c:pt idx="284" formatCode="0.0">
                  <c:v>42.357470827955652</c:v>
                </c:pt>
                <c:pt idx="285" formatCode="0.0">
                  <c:v>40.632409997010647</c:v>
                </c:pt>
                <c:pt idx="286" formatCode="0.0">
                  <c:v>42.219966791737043</c:v>
                </c:pt>
                <c:pt idx="287" formatCode="0.0">
                  <c:v>41.544171618117353</c:v>
                </c:pt>
                <c:pt idx="288" formatCode="0.0">
                  <c:v>39.819876119464944</c:v>
                </c:pt>
                <c:pt idx="289" formatCode="0.0">
                  <c:v>42.293341507121568</c:v>
                </c:pt>
                <c:pt idx="290" formatCode="0.0">
                  <c:v>41.868663139389227</c:v>
                </c:pt>
                <c:pt idx="291" formatCode="0.0">
                  <c:v>46.202214072850026</c:v>
                </c:pt>
                <c:pt idx="292" formatCode="0.0">
                  <c:v>42.949289600850314</c:v>
                </c:pt>
                <c:pt idx="293" formatCode="0.0">
                  <c:v>41.195403762669166</c:v>
                </c:pt>
                <c:pt idx="294" formatCode="0.0">
                  <c:v>40.724687687664904</c:v>
                </c:pt>
                <c:pt idx="295" formatCode="0.0">
                  <c:v>41.931210235921561</c:v>
                </c:pt>
                <c:pt idx="296" formatCode="0.0">
                  <c:v>43.13013445702925</c:v>
                </c:pt>
                <c:pt idx="297" formatCode="0.0">
                  <c:v>49.074782682042056</c:v>
                </c:pt>
                <c:pt idx="298" formatCode="0.0">
                  <c:v>44.477329597078004</c:v>
                </c:pt>
                <c:pt idx="299" formatCode="0.0">
                  <c:v>39.165049545191408</c:v>
                </c:pt>
                <c:pt idx="300" formatCode="0.0">
                  <c:v>40.417466069310258</c:v>
                </c:pt>
                <c:pt idx="301" formatCode="0.0">
                  <c:v>44.762666736695031</c:v>
                </c:pt>
                <c:pt idx="302" formatCode="0.0">
                  <c:v>39.702310203062424</c:v>
                </c:pt>
                <c:pt idx="303" formatCode="0.0">
                  <c:v>40.53367137790157</c:v>
                </c:pt>
                <c:pt idx="304" formatCode="0.0">
                  <c:v>37.796355972180052</c:v>
                </c:pt>
                <c:pt idx="305" formatCode="0.0">
                  <c:v>41.129746946827503</c:v>
                </c:pt>
                <c:pt idx="306" formatCode="0.0">
                  <c:v>38.013235966296243</c:v>
                </c:pt>
                <c:pt idx="307" formatCode="0.0">
                  <c:v>41.8400742453072</c:v>
                </c:pt>
                <c:pt idx="308" formatCode="0.0">
                  <c:v>41.397899442343466</c:v>
                </c:pt>
                <c:pt idx="309" formatCode="0.0">
                  <c:v>45.626102278194821</c:v>
                </c:pt>
                <c:pt idx="310" formatCode="0.0">
                  <c:v>48.237340940602046</c:v>
                </c:pt>
                <c:pt idx="311" formatCode="0.0">
                  <c:v>49.171878494339218</c:v>
                </c:pt>
                <c:pt idx="312" formatCode="0.0">
                  <c:v>48.247841907989631</c:v>
                </c:pt>
                <c:pt idx="313" formatCode="0.0">
                  <c:v>48.484501270482873</c:v>
                </c:pt>
                <c:pt idx="314" formatCode="0.0">
                  <c:v>46.165948836708111</c:v>
                </c:pt>
                <c:pt idx="315" formatCode="0.0">
                  <c:v>43.992111688723007</c:v>
                </c:pt>
                <c:pt idx="316" formatCode="0.0">
                  <c:v>44.488899756106832</c:v>
                </c:pt>
                <c:pt idx="317" formatCode="0.0">
                  <c:v>43.205692935078126</c:v>
                </c:pt>
                <c:pt idx="318" formatCode="0.0">
                  <c:v>42.651850653957858</c:v>
                </c:pt>
                <c:pt idx="319" formatCode="0.0">
                  <c:v>42.001973252793938</c:v>
                </c:pt>
                <c:pt idx="320" formatCode="0.0">
                  <c:v>38.868233619390274</c:v>
                </c:pt>
                <c:pt idx="321" formatCode="0.0">
                  <c:v>38.889948149026878</c:v>
                </c:pt>
                <c:pt idx="322" formatCode="0.0">
                  <c:v>38.771095105459338</c:v>
                </c:pt>
                <c:pt idx="323" formatCode="0.0">
                  <c:v>38.448442826009391</c:v>
                </c:pt>
                <c:pt idx="324" formatCode="0.0">
                  <c:v>40.826576086316969</c:v>
                </c:pt>
                <c:pt idx="325" formatCode="0.0">
                  <c:v>37.037626398827037</c:v>
                </c:pt>
                <c:pt idx="326" formatCode="0.0">
                  <c:v>35.420235624062855</c:v>
                </c:pt>
                <c:pt idx="327" formatCode="0.0">
                  <c:v>33.908651808320847</c:v>
                </c:pt>
                <c:pt idx="328" formatCode="0.0">
                  <c:v>30.383701018159115</c:v>
                </c:pt>
                <c:pt idx="329" formatCode="0.0">
                  <c:v>27.068293969812292</c:v>
                </c:pt>
                <c:pt idx="330" formatCode="0.0">
                  <c:v>29.50627765411771</c:v>
                </c:pt>
                <c:pt idx="331" formatCode="0.0">
                  <c:v>27.448618494244311</c:v>
                </c:pt>
                <c:pt idx="332" formatCode="0.0">
                  <c:v>27.88493675663052</c:v>
                </c:pt>
                <c:pt idx="333" formatCode="0.0">
                  <c:v>29.66355758797237</c:v>
                </c:pt>
                <c:pt idx="334" formatCode="0.0">
                  <c:v>29.031840300619688</c:v>
                </c:pt>
                <c:pt idx="335" formatCode="0.0">
                  <c:v>26.111430742165993</c:v>
                </c:pt>
                <c:pt idx="336" formatCode="0.0">
                  <c:v>26.496005149752314</c:v>
                </c:pt>
                <c:pt idx="337" formatCode="0.0">
                  <c:v>25.445404078211883</c:v>
                </c:pt>
                <c:pt idx="338" formatCode="0.0">
                  <c:v>27.1186963704282</c:v>
                </c:pt>
                <c:pt idx="339" formatCode="0.0">
                  <c:v>25.660205754265768</c:v>
                </c:pt>
                <c:pt idx="340" formatCode="0.0">
                  <c:v>26.258678226127895</c:v>
                </c:pt>
                <c:pt idx="341" formatCode="0.0">
                  <c:v>26.417637242939428</c:v>
                </c:pt>
                <c:pt idx="342" formatCode="0.0">
                  <c:v>27.013443977760165</c:v>
                </c:pt>
                <c:pt idx="343" formatCode="0.0">
                  <c:v>26.948956974324787</c:v>
                </c:pt>
                <c:pt idx="344" formatCode="0.0">
                  <c:v>30.256710546126186</c:v>
                </c:pt>
                <c:pt idx="345" formatCode="0.0">
                  <c:v>28.117498947439589</c:v>
                </c:pt>
                <c:pt idx="346" formatCode="0.0">
                  <c:v>28.926075433337434</c:v>
                </c:pt>
                <c:pt idx="347" formatCode="0.0">
                  <c:v>33.102401121481577</c:v>
                </c:pt>
              </c:numCache>
            </c:numRef>
          </c:yVal>
          <c:smooth val="0"/>
          <c:extLst>
            <c:ext xmlns:c16="http://schemas.microsoft.com/office/drawing/2014/chart" uri="{C3380CC4-5D6E-409C-BE32-E72D297353CC}">
              <c16:uniqueId val="{00000004-E7B3-4224-999D-0B810AC278FF}"/>
            </c:ext>
          </c:extLst>
        </c:ser>
        <c:dLbls>
          <c:showLegendKey val="0"/>
          <c:showVal val="0"/>
          <c:showCatName val="0"/>
          <c:showSerName val="0"/>
          <c:showPercent val="0"/>
          <c:showBubbleSize val="0"/>
        </c:dLbls>
        <c:axId val="301808136"/>
        <c:axId val="301808528"/>
      </c:scatterChart>
      <c:valAx>
        <c:axId val="301808136"/>
        <c:scaling>
          <c:orientation val="minMax"/>
          <c:min val="10"/>
        </c:scaling>
        <c:delete val="0"/>
        <c:axPos val="b"/>
        <c:title>
          <c:tx>
            <c:rich>
              <a:bodyPr/>
              <a:lstStyle/>
              <a:p>
                <a:pPr>
                  <a:defRPr sz="1000" b="0" i="0" u="none" strike="noStrike" baseline="0">
                    <a:solidFill>
                      <a:srgbClr val="000000"/>
                    </a:solidFill>
                    <a:latin typeface="Arial"/>
                    <a:ea typeface="Arial"/>
                    <a:cs typeface="Arial"/>
                  </a:defRPr>
                </a:pPr>
                <a:r>
                  <a:rPr lang="en-US"/>
                  <a:t>Salinity</a:t>
                </a:r>
              </a:p>
            </c:rich>
          </c:tx>
          <c:layout>
            <c:manualLayout>
              <c:xMode val="edge"/>
              <c:yMode val="edge"/>
              <c:x val="0.44000021872265965"/>
              <c:y val="0.8694450423912838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808528"/>
        <c:crosses val="autoZero"/>
        <c:crossBetween val="midCat"/>
      </c:valAx>
      <c:valAx>
        <c:axId val="3018085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US"/>
                  <a:t>FDOM</a:t>
                </a:r>
              </a:p>
            </c:rich>
          </c:tx>
          <c:layout>
            <c:manualLayout>
              <c:xMode val="edge"/>
              <c:yMode val="edge"/>
              <c:x val="9.7357830271216101E-3"/>
              <c:y val="0.3157907060178628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808136"/>
        <c:crosses val="autoZero"/>
        <c:crossBetween val="midCat"/>
      </c:valAx>
      <c:spPr>
        <a:noFill/>
        <a:ln w="25400">
          <a:noFill/>
        </a:ln>
      </c:spPr>
    </c:plotArea>
    <c:legend>
      <c:legendPos val="r"/>
      <c:layout>
        <c:manualLayout>
          <c:xMode val="edge"/>
          <c:yMode val="edge"/>
          <c:x val="0.7"/>
          <c:y val="1.7985611510791366E-2"/>
          <c:w val="0.21041666666666667"/>
          <c:h val="0.4172661870503597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94449766184515"/>
          <c:y val="0.10091760072077598"/>
          <c:w val="0.80972249678632868"/>
          <c:h val="0.65596440468504613"/>
        </c:manualLayout>
      </c:layout>
      <c:scatterChart>
        <c:scatterStyle val="lineMarker"/>
        <c:varyColors val="0"/>
        <c:ser>
          <c:idx val="4"/>
          <c:order val="0"/>
          <c:tx>
            <c:v>Shoal</c:v>
          </c:tx>
          <c:spPr>
            <a:ln w="3175">
              <a:solidFill>
                <a:srgbClr val="000000"/>
              </a:solidFill>
              <a:prstDash val="solid"/>
            </a:ln>
          </c:spPr>
          <c:marker>
            <c:symbol val="circle"/>
            <c:size val="2"/>
            <c:spPr>
              <a:solidFill>
                <a:srgbClr val="FFFFFF"/>
              </a:solidFill>
              <a:ln>
                <a:solidFill>
                  <a:srgbClr val="000000"/>
                </a:solidFill>
                <a:prstDash val="solid"/>
              </a:ln>
            </c:spPr>
          </c:marker>
          <c:xVal>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'SP01'!$AE$3:$AE$176</c:f>
              <c:numCache>
                <c:formatCode>0.0</c:formatCode>
                <c:ptCount val="174"/>
                <c:pt idx="0">
                  <c:v>1.6057762711864401</c:v>
                </c:pt>
                <c:pt idx="1">
                  <c:v>1.70420550847458</c:v>
                </c:pt>
                <c:pt idx="2">
                  <c:v>1.7710557909604501</c:v>
                </c:pt>
                <c:pt idx="3">
                  <c:v>1.7631391242937899</c:v>
                </c:pt>
                <c:pt idx="4">
                  <c:v>1.7593008474576299</c:v>
                </c:pt>
                <c:pt idx="5">
                  <c:v>1.7691207627118599</c:v>
                </c:pt>
                <c:pt idx="6">
                  <c:v>1.83415607344633</c:v>
                </c:pt>
                <c:pt idx="7">
                  <c:v>1.7779449152542399</c:v>
                </c:pt>
                <c:pt idx="8">
                  <c:v>1.6931850282485901</c:v>
                </c:pt>
                <c:pt idx="9">
                  <c:v>1.77091101694915</c:v>
                </c:pt>
                <c:pt idx="10">
                  <c:v>1.78223870056497</c:v>
                </c:pt>
                <c:pt idx="11">
                  <c:v>1.80193502824859</c:v>
                </c:pt>
                <c:pt idx="12">
                  <c:v>1.7977153954802301</c:v>
                </c:pt>
                <c:pt idx="13">
                  <c:v>1.7956497175141199</c:v>
                </c:pt>
                <c:pt idx="14">
                  <c:v>1.7990395480226</c:v>
                </c:pt>
                <c:pt idx="15">
                  <c:v>1.7597528248587599</c:v>
                </c:pt>
                <c:pt idx="16">
                  <c:v>1.7881144067796599</c:v>
                </c:pt>
                <c:pt idx="17">
                  <c:v>1.8183474576271199</c:v>
                </c:pt>
                <c:pt idx="18">
                  <c:v>1.8618220338983</c:v>
                </c:pt>
                <c:pt idx="19">
                  <c:v>1.9496045197740099</c:v>
                </c:pt>
                <c:pt idx="20">
                  <c:v>1.9177436440678</c:v>
                </c:pt>
                <c:pt idx="21">
                  <c:v>1.8612711864406799</c:v>
                </c:pt>
                <c:pt idx="22">
                  <c:v>1.7409922316384201</c:v>
                </c:pt>
                <c:pt idx="23">
                  <c:v>1.6356038135593201</c:v>
                </c:pt>
                <c:pt idx="24">
                  <c:v>1.6452365819209001</c:v>
                </c:pt>
                <c:pt idx="25">
                  <c:v>1.6803714388748601</c:v>
                </c:pt>
                <c:pt idx="26">
                  <c:v>1.68589577757954</c:v>
                </c:pt>
                <c:pt idx="27">
                  <c:v>1.7497454379413599</c:v>
                </c:pt>
                <c:pt idx="28">
                  <c:v>1.7472563559322001</c:v>
                </c:pt>
                <c:pt idx="29">
                  <c:v>1.7759004237288101</c:v>
                </c:pt>
                <c:pt idx="30">
                  <c:v>1.7631461864406801</c:v>
                </c:pt>
                <c:pt idx="31">
                  <c:v>1.7522175141242899</c:v>
                </c:pt>
                <c:pt idx="32">
                  <c:v>1.72386652542373</c:v>
                </c:pt>
                <c:pt idx="33">
                  <c:v>1.88402005162673</c:v>
                </c:pt>
                <c:pt idx="34">
                  <c:v>1.9924435028248599</c:v>
                </c:pt>
                <c:pt idx="35">
                  <c:v>2.0105512865922899</c:v>
                </c:pt>
                <c:pt idx="36">
                  <c:v>2.03660451877909</c:v>
                </c:pt>
                <c:pt idx="37">
                  <c:v>2.01555737527277</c:v>
                </c:pt>
                <c:pt idx="38">
                  <c:v>2.0250171441343801</c:v>
                </c:pt>
                <c:pt idx="39">
                  <c:v>2.0182672407556401</c:v>
                </c:pt>
                <c:pt idx="40">
                  <c:v>2.0267444247037201</c:v>
                </c:pt>
                <c:pt idx="41">
                  <c:v>1.9868451665817199</c:v>
                </c:pt>
                <c:pt idx="42">
                  <c:v>1.9520586158192099</c:v>
                </c:pt>
                <c:pt idx="43">
                  <c:v>2.0230187592092901</c:v>
                </c:pt>
                <c:pt idx="44">
                  <c:v>2.0593706033203998</c:v>
                </c:pt>
                <c:pt idx="45">
                  <c:v>2.07432540528835</c:v>
                </c:pt>
                <c:pt idx="46">
                  <c:v>2.11196158889233</c:v>
                </c:pt>
                <c:pt idx="47">
                  <c:v>2.1812676553672299</c:v>
                </c:pt>
                <c:pt idx="48">
                  <c:v>2.2210593220338999</c:v>
                </c:pt>
                <c:pt idx="49">
                  <c:v>2.1853142655367201</c:v>
                </c:pt>
                <c:pt idx="50">
                  <c:v>2.1448991511490201</c:v>
                </c:pt>
                <c:pt idx="51">
                  <c:v>2.0504799107142899</c:v>
                </c:pt>
                <c:pt idx="52">
                  <c:v>2.0121500948645101</c:v>
                </c:pt>
                <c:pt idx="53">
                  <c:v>2.0327404213413298</c:v>
                </c:pt>
                <c:pt idx="54">
                  <c:v>2.0698295748685598</c:v>
                </c:pt>
                <c:pt idx="55">
                  <c:v>2.1307450564971799</c:v>
                </c:pt>
                <c:pt idx="56">
                  <c:v>2.0342443502824898</c:v>
                </c:pt>
                <c:pt idx="57">
                  <c:v>2.0388966373836199</c:v>
                </c:pt>
                <c:pt idx="58">
                  <c:v>2.1051483050847501</c:v>
                </c:pt>
                <c:pt idx="59">
                  <c:v>2.0477365819208999</c:v>
                </c:pt>
                <c:pt idx="60">
                  <c:v>2.04699205662184</c:v>
                </c:pt>
                <c:pt idx="61">
                  <c:v>2.0165963503775002</c:v>
                </c:pt>
                <c:pt idx="62">
                  <c:v>1.9831933015163099</c:v>
                </c:pt>
                <c:pt idx="63">
                  <c:v>1.9643474828708001</c:v>
                </c:pt>
                <c:pt idx="64">
                  <c:v>2.0648612696269901</c:v>
                </c:pt>
                <c:pt idx="65">
                  <c:v>2.0590268630250499</c:v>
                </c:pt>
                <c:pt idx="66">
                  <c:v>2.0425254104786399</c:v>
                </c:pt>
                <c:pt idx="67">
                  <c:v>1.97833228342462</c:v>
                </c:pt>
                <c:pt idx="68">
                  <c:v>1.9674062742216301</c:v>
                </c:pt>
                <c:pt idx="69">
                  <c:v>1.95728338869229</c:v>
                </c:pt>
                <c:pt idx="70">
                  <c:v>2.0079529733436901</c:v>
                </c:pt>
                <c:pt idx="71">
                  <c:v>2.0637585291018898</c:v>
                </c:pt>
                <c:pt idx="72">
                  <c:v>2.1128427663438298</c:v>
                </c:pt>
                <c:pt idx="73">
                  <c:v>2.09601367683995</c:v>
                </c:pt>
                <c:pt idx="74">
                  <c:v>2.0845664533076298</c:v>
                </c:pt>
                <c:pt idx="75">
                  <c:v>2.1064440047851498</c:v>
                </c:pt>
                <c:pt idx="76">
                  <c:v>2.0694387938249998</c:v>
                </c:pt>
                <c:pt idx="77">
                  <c:v>2.0425514035045498</c:v>
                </c:pt>
                <c:pt idx="78">
                  <c:v>2.0485212968295898</c:v>
                </c:pt>
                <c:pt idx="79">
                  <c:v>2.0577436440677999</c:v>
                </c:pt>
                <c:pt idx="80">
                  <c:v>2.1230261299434998</c:v>
                </c:pt>
                <c:pt idx="81">
                  <c:v>2.2892009685230001</c:v>
                </c:pt>
                <c:pt idx="89">
                  <c:v>1.7987217514124301</c:v>
                </c:pt>
                <c:pt idx="90">
                  <c:v>1.8996327683615799</c:v>
                </c:pt>
                <c:pt idx="91">
                  <c:v>1.9108596234521</c:v>
                </c:pt>
                <c:pt idx="92">
                  <c:v>1.90338276836158</c:v>
                </c:pt>
                <c:pt idx="93">
                  <c:v>1.97124293785311</c:v>
                </c:pt>
                <c:pt idx="94">
                  <c:v>2.02437146892655</c:v>
                </c:pt>
                <c:pt idx="95">
                  <c:v>2.0815889830508501</c:v>
                </c:pt>
                <c:pt idx="96">
                  <c:v>2.0430649621260302</c:v>
                </c:pt>
                <c:pt idx="97">
                  <c:v>2.0264331415170398</c:v>
                </c:pt>
                <c:pt idx="98">
                  <c:v>2.0392943618125199</c:v>
                </c:pt>
                <c:pt idx="99">
                  <c:v>2.03819209039548</c:v>
                </c:pt>
                <c:pt idx="100">
                  <c:v>1.97445974576271</c:v>
                </c:pt>
                <c:pt idx="101">
                  <c:v>1.93475282485876</c:v>
                </c:pt>
                <c:pt idx="102">
                  <c:v>1.8614406779660999</c:v>
                </c:pt>
                <c:pt idx="103">
                  <c:v>1.82468220338983</c:v>
                </c:pt>
                <c:pt idx="104">
                  <c:v>1.8161373826230001</c:v>
                </c:pt>
                <c:pt idx="105">
                  <c:v>1.8455325500770401</c:v>
                </c:pt>
                <c:pt idx="106">
                  <c:v>1.7989795197740099</c:v>
                </c:pt>
                <c:pt idx="107">
                  <c:v>1.8289689265536699</c:v>
                </c:pt>
                <c:pt idx="108">
                  <c:v>1.84735169491525</c:v>
                </c:pt>
                <c:pt idx="109">
                  <c:v>1.8469173728813599</c:v>
                </c:pt>
                <c:pt idx="110">
                  <c:v>1.84594985875706</c:v>
                </c:pt>
                <c:pt idx="111">
                  <c:v>1.8258792372881401</c:v>
                </c:pt>
                <c:pt idx="112">
                  <c:v>1.8367724150411999</c:v>
                </c:pt>
                <c:pt idx="113">
                  <c:v>1.8172387005649699</c:v>
                </c:pt>
                <c:pt idx="114">
                  <c:v>1.7942655367231599</c:v>
                </c:pt>
                <c:pt idx="115">
                  <c:v>1.7566148986077501</c:v>
                </c:pt>
                <c:pt idx="116">
                  <c:v>1.78408898305085</c:v>
                </c:pt>
                <c:pt idx="117">
                  <c:v>1.79954802259887</c:v>
                </c:pt>
                <c:pt idx="118">
                  <c:v>1.8959427966101701</c:v>
                </c:pt>
                <c:pt idx="119">
                  <c:v>1.9726306497175099</c:v>
                </c:pt>
                <c:pt idx="120">
                  <c:v>1.9686793785310699</c:v>
                </c:pt>
                <c:pt idx="121">
                  <c:v>1.9538606739305899</c:v>
                </c:pt>
                <c:pt idx="122">
                  <c:v>1.93735875706215</c:v>
                </c:pt>
                <c:pt idx="123">
                  <c:v>1.8526235875706201</c:v>
                </c:pt>
                <c:pt idx="124">
                  <c:v>1.8439512711864401</c:v>
                </c:pt>
                <c:pt idx="125">
                  <c:v>1.84671257062147</c:v>
                </c:pt>
                <c:pt idx="126">
                  <c:v>1.91997528248588</c:v>
                </c:pt>
                <c:pt idx="127">
                  <c:v>1.9493961864406799</c:v>
                </c:pt>
                <c:pt idx="128">
                  <c:v>2.0406709039547999</c:v>
                </c:pt>
                <c:pt idx="129">
                  <c:v>2.0137781405311399</c:v>
                </c:pt>
                <c:pt idx="130">
                  <c:v>2.02795903954802</c:v>
                </c:pt>
                <c:pt idx="131">
                  <c:v>2.0135152357991699</c:v>
                </c:pt>
                <c:pt idx="132">
                  <c:v>2.01821327683616</c:v>
                </c:pt>
                <c:pt idx="133">
                  <c:v>2.0559039548022602</c:v>
                </c:pt>
                <c:pt idx="134">
                  <c:v>2.0534427966101698</c:v>
                </c:pt>
                <c:pt idx="135">
                  <c:v>2.0808430437853098</c:v>
                </c:pt>
                <c:pt idx="136">
                  <c:v>2.0685999158495099</c:v>
                </c:pt>
                <c:pt idx="137">
                  <c:v>2.02585730011387</c:v>
                </c:pt>
                <c:pt idx="138">
                  <c:v>2.00083686440678</c:v>
                </c:pt>
                <c:pt idx="139">
                  <c:v>1.95750278646506</c:v>
                </c:pt>
                <c:pt idx="140">
                  <c:v>1.87391965113674</c:v>
                </c:pt>
                <c:pt idx="141">
                  <c:v>1.8738422730877</c:v>
                </c:pt>
                <c:pt idx="142">
                  <c:v>1.8865162916423099</c:v>
                </c:pt>
                <c:pt idx="143">
                  <c:v>1.8878016907208099</c:v>
                </c:pt>
                <c:pt idx="144">
                  <c:v>1.8913018938580699</c:v>
                </c:pt>
                <c:pt idx="145">
                  <c:v>1.90728440539914</c:v>
                </c:pt>
                <c:pt idx="146">
                  <c:v>1.9228872685683001</c:v>
                </c:pt>
                <c:pt idx="147">
                  <c:v>1.8986490019014799</c:v>
                </c:pt>
                <c:pt idx="148">
                  <c:v>1.9324803772082999</c:v>
                </c:pt>
                <c:pt idx="149">
                  <c:v>1.93005633564088</c:v>
                </c:pt>
                <c:pt idx="150">
                  <c:v>1.9069795868122399</c:v>
                </c:pt>
                <c:pt idx="151">
                  <c:v>1.9504331438828699</c:v>
                </c:pt>
                <c:pt idx="152">
                  <c:v>1.9604683969994601</c:v>
                </c:pt>
                <c:pt idx="153">
                  <c:v>1.9441687151917699</c:v>
                </c:pt>
                <c:pt idx="154">
                  <c:v>1.92325086922324</c:v>
                </c:pt>
                <c:pt idx="155">
                  <c:v>1.91595692090395</c:v>
                </c:pt>
                <c:pt idx="156">
                  <c:v>1.92711180907657</c:v>
                </c:pt>
                <c:pt idx="157">
                  <c:v>1.9977284239236299</c:v>
                </c:pt>
                <c:pt idx="158">
                  <c:v>1.99302401599686</c:v>
                </c:pt>
                <c:pt idx="159">
                  <c:v>2.0674894067796599</c:v>
                </c:pt>
                <c:pt idx="160">
                  <c:v>2.08939265536723</c:v>
                </c:pt>
                <c:pt idx="161">
                  <c:v>2.0365895427494198</c:v>
                </c:pt>
                <c:pt idx="162">
                  <c:v>2.0115572033898301</c:v>
                </c:pt>
                <c:pt idx="163">
                  <c:v>1.99917372881356</c:v>
                </c:pt>
                <c:pt idx="164">
                  <c:v>2.0012105919340999</c:v>
                </c:pt>
                <c:pt idx="165">
                  <c:v>2.0192443502824902</c:v>
                </c:pt>
                <c:pt idx="166">
                  <c:v>1.9493693149259299</c:v>
                </c:pt>
                <c:pt idx="167">
                  <c:v>1.95710571468828</c:v>
                </c:pt>
                <c:pt idx="168">
                  <c:v>1.94661748385795</c:v>
                </c:pt>
                <c:pt idx="169">
                  <c:v>1.97481115755975</c:v>
                </c:pt>
                <c:pt idx="170">
                  <c:v>1.95591807909605</c:v>
                </c:pt>
                <c:pt idx="171">
                  <c:v>1.96013418079096</c:v>
                </c:pt>
                <c:pt idx="172">
                  <c:v>2.0106744350282502</c:v>
                </c:pt>
                <c:pt idx="173">
                  <c:v>2.0533731592108899</c:v>
                </c:pt>
              </c:numCache>
            </c:numRef>
          </c:yVal>
          <c:smooth val="0"/>
          <c:extLst>
            <c:ext xmlns:c16="http://schemas.microsoft.com/office/drawing/2014/chart" uri="{C3380CC4-5D6E-409C-BE32-E72D297353CC}">
              <c16:uniqueId val="{00000000-227F-4652-BB47-26D5D5012328}"/>
            </c:ext>
          </c:extLst>
        </c:ser>
        <c:dLbls>
          <c:showLegendKey val="0"/>
          <c:showVal val="0"/>
          <c:showCatName val="0"/>
          <c:showSerName val="0"/>
          <c:showPercent val="0"/>
          <c:showBubbleSize val="0"/>
        </c:dLbls>
        <c:axId val="301980704"/>
        <c:axId val="301981096"/>
      </c:scatterChart>
      <c:valAx>
        <c:axId val="301980704"/>
        <c:scaling>
          <c:orientation val="minMax"/>
          <c:max val="41549"/>
          <c:min val="41365"/>
        </c:scaling>
        <c:delete val="0"/>
        <c:axPos val="b"/>
        <c:numFmt formatCode="mmm" sourceLinked="0"/>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1096"/>
        <c:crossesAt val="-700"/>
        <c:crossBetween val="midCat"/>
        <c:majorUnit val="30.6"/>
      </c:valAx>
      <c:valAx>
        <c:axId val="301981096"/>
        <c:scaling>
          <c:orientation val="minMax"/>
          <c:min val="1.5"/>
        </c:scaling>
        <c:delete val="0"/>
        <c:axPos val="l"/>
        <c:title>
          <c:tx>
            <c:rich>
              <a:bodyPr/>
              <a:lstStyle/>
              <a:p>
                <a:pPr>
                  <a:defRPr sz="1000" b="0" i="0" u="none" strike="noStrike" baseline="0">
                    <a:solidFill>
                      <a:srgbClr val="000000"/>
                    </a:solidFill>
                    <a:latin typeface="Arial"/>
                    <a:ea typeface="Arial"/>
                    <a:cs typeface="Arial"/>
                  </a:defRPr>
                </a:pPr>
                <a:r>
                  <a:rPr lang="en-US"/>
                  <a:t>Mean Depth</a:t>
                </a:r>
              </a:p>
            </c:rich>
          </c:tx>
          <c:layout>
            <c:manualLayout>
              <c:xMode val="edge"/>
              <c:yMode val="edge"/>
              <c:x val="9.7222222222222224E-3"/>
              <c:y val="0.24105048999052633"/>
            </c:manualLayout>
          </c:layout>
          <c:overlay val="0"/>
          <c:spPr>
            <a:noFill/>
            <a:ln w="25400">
              <a:noFill/>
            </a:ln>
          </c:spPr>
        </c:title>
        <c:numFmt formatCode="#,##0.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0704"/>
        <c:crosses val="autoZero"/>
        <c:crossBetween val="midCat"/>
        <c:majorUnit val="0.2"/>
      </c:valAx>
      <c:spPr>
        <a:no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94449766184515"/>
          <c:y val="5.238098282934766E-2"/>
          <c:w val="0.80972249678632868"/>
          <c:h val="0.8214290489147652"/>
        </c:manualLayout>
      </c:layout>
      <c:scatterChart>
        <c:scatterStyle val="lineMarker"/>
        <c:varyColors val="0"/>
        <c:ser>
          <c:idx val="0"/>
          <c:order val="0"/>
          <c:tx>
            <c:v>Channel</c:v>
          </c:tx>
          <c:spPr>
            <a:ln w="28575">
              <a:noFill/>
            </a:ln>
          </c:spPr>
          <c:marker>
            <c:symbol val="circle"/>
            <c:size val="6"/>
            <c:spPr>
              <a:solidFill>
                <a:srgbClr val="000000"/>
              </a:solidFill>
              <a:ln>
                <a:solidFill>
                  <a:srgbClr val="000000"/>
                </a:solidFill>
                <a:prstDash val="solid"/>
              </a:ln>
            </c:spPr>
          </c:marker>
          <c:xVal>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'SP02'!$X$3:$X$176</c:f>
              <c:numCache>
                <c:formatCode>0</c:formatCode>
                <c:ptCount val="174"/>
                <c:pt idx="3">
                  <c:v>58.153573129389841</c:v>
                </c:pt>
                <c:pt idx="4">
                  <c:v>51.923709020338165</c:v>
                </c:pt>
                <c:pt idx="5">
                  <c:v>77.293128023344025</c:v>
                </c:pt>
                <c:pt idx="6">
                  <c:v>133.74873112486415</c:v>
                </c:pt>
                <c:pt idx="7">
                  <c:v>145.57638362822786</c:v>
                </c:pt>
                <c:pt idx="8">
                  <c:v>152.64930689753609</c:v>
                </c:pt>
                <c:pt idx="9">
                  <c:v>140.93598300024678</c:v>
                </c:pt>
                <c:pt idx="10">
                  <c:v>147.43952306592428</c:v>
                </c:pt>
                <c:pt idx="11">
                  <c:v>155.81799486668152</c:v>
                </c:pt>
                <c:pt idx="12">
                  <c:v>111.51367558655606</c:v>
                </c:pt>
                <c:pt idx="13">
                  <c:v>71.602049261278282</c:v>
                </c:pt>
                <c:pt idx="14">
                  <c:v>50.103687872771779</c:v>
                </c:pt>
                <c:pt idx="15">
                  <c:v>29.604032745957284</c:v>
                </c:pt>
                <c:pt idx="16">
                  <c:v>32.904020552085967</c:v>
                </c:pt>
                <c:pt idx="17">
                  <c:v>37.904167484129971</c:v>
                </c:pt>
                <c:pt idx="18">
                  <c:v>42.556643358874453</c:v>
                </c:pt>
                <c:pt idx="19">
                  <c:v>71.379094450971692</c:v>
                </c:pt>
                <c:pt idx="20">
                  <c:v>82.532638773179272</c:v>
                </c:pt>
                <c:pt idx="21">
                  <c:v>94.640039904071187</c:v>
                </c:pt>
                <c:pt idx="22">
                  <c:v>96.364068660707034</c:v>
                </c:pt>
                <c:pt idx="23">
                  <c:v>79.212146736237983</c:v>
                </c:pt>
                <c:pt idx="24">
                  <c:v>60.495430291008695</c:v>
                </c:pt>
                <c:pt idx="25">
                  <c:v>65.657043384959763</c:v>
                </c:pt>
                <c:pt idx="26">
                  <c:v>62.413284061864225</c:v>
                </c:pt>
                <c:pt idx="27">
                  <c:v>72.139807120636249</c:v>
                </c:pt>
                <c:pt idx="28">
                  <c:v>67.594430840306302</c:v>
                </c:pt>
                <c:pt idx="29">
                  <c:v>71.424788005881553</c:v>
                </c:pt>
                <c:pt idx="30">
                  <c:v>92.78455626424433</c:v>
                </c:pt>
                <c:pt idx="31">
                  <c:v>94.485639168107156</c:v>
                </c:pt>
                <c:pt idx="32">
                  <c:v>77.5086937834227</c:v>
                </c:pt>
                <c:pt idx="33">
                  <c:v>64.979255388549703</c:v>
                </c:pt>
                <c:pt idx="34">
                  <c:v>54.851893169690371</c:v>
                </c:pt>
                <c:pt idx="35">
                  <c:v>60.249658949841482</c:v>
                </c:pt>
                <c:pt idx="36">
                  <c:v>69.576426494823224</c:v>
                </c:pt>
                <c:pt idx="37">
                  <c:v>68.092701361472606</c:v>
                </c:pt>
                <c:pt idx="38">
                  <c:v>73.486434531920509</c:v>
                </c:pt>
                <c:pt idx="39">
                  <c:v>80.203880271676212</c:v>
                </c:pt>
                <c:pt idx="40">
                  <c:v>82.74359978865445</c:v>
                </c:pt>
                <c:pt idx="41">
                  <c:v>73.393500543646809</c:v>
                </c:pt>
                <c:pt idx="42">
                  <c:v>84.267353464978854</c:v>
                </c:pt>
                <c:pt idx="43">
                  <c:v>88.808276347632997</c:v>
                </c:pt>
                <c:pt idx="44">
                  <c:v>104.0915221838428</c:v>
                </c:pt>
                <c:pt idx="45">
                  <c:v>119.88136934226405</c:v>
                </c:pt>
                <c:pt idx="46">
                  <c:v>124.48741859115289</c:v>
                </c:pt>
                <c:pt idx="47">
                  <c:v>139.05631564354292</c:v>
                </c:pt>
                <c:pt idx="48">
                  <c:v>148.87488459106075</c:v>
                </c:pt>
                <c:pt idx="49">
                  <c:v>137.81417200611628</c:v>
                </c:pt>
                <c:pt idx="50">
                  <c:v>112.08831691688668</c:v>
                </c:pt>
                <c:pt idx="51">
                  <c:v>97.078049421081616</c:v>
                </c:pt>
                <c:pt idx="52">
                  <c:v>83.806221149128277</c:v>
                </c:pt>
                <c:pt idx="53">
                  <c:v>81.064372720399206</c:v>
                </c:pt>
                <c:pt idx="54">
                  <c:v>65.50690214092414</c:v>
                </c:pt>
                <c:pt idx="55">
                  <c:v>59.761448778220071</c:v>
                </c:pt>
                <c:pt idx="56">
                  <c:v>60.679682370996474</c:v>
                </c:pt>
                <c:pt idx="57">
                  <c:v>85.704814074020618</c:v>
                </c:pt>
                <c:pt idx="58">
                  <c:v>93.623460667852754</c:v>
                </c:pt>
                <c:pt idx="59">
                  <c:v>103.78279458428418</c:v>
                </c:pt>
                <c:pt idx="60">
                  <c:v>105.06312887380707</c:v>
                </c:pt>
                <c:pt idx="61">
                  <c:v>141.68082966314222</c:v>
                </c:pt>
                <c:pt idx="62">
                  <c:v>149.39152870506589</c:v>
                </c:pt>
                <c:pt idx="63">
                  <c:v>149.78032215272771</c:v>
                </c:pt>
                <c:pt idx="64">
                  <c:v>150.81818977669712</c:v>
                </c:pt>
                <c:pt idx="65">
                  <c:v>191.67707649313022</c:v>
                </c:pt>
                <c:pt idx="66">
                  <c:v>226.07437167898303</c:v>
                </c:pt>
                <c:pt idx="67">
                  <c:v>243.86434693367758</c:v>
                </c:pt>
                <c:pt idx="68">
                  <c:v>225.02769944427669</c:v>
                </c:pt>
                <c:pt idx="69">
                  <c:v>216.79562092070654</c:v>
                </c:pt>
                <c:pt idx="70">
                  <c:v>218.66745827362408</c:v>
                </c:pt>
                <c:pt idx="71">
                  <c:v>226.15665753367784</c:v>
                </c:pt>
                <c:pt idx="72">
                  <c:v>194.05698894261249</c:v>
                </c:pt>
                <c:pt idx="73">
                  <c:v>156.62377127782159</c:v>
                </c:pt>
                <c:pt idx="74">
                  <c:v>141.49738812502741</c:v>
                </c:pt>
                <c:pt idx="75">
                  <c:v>148.73281136459704</c:v>
                </c:pt>
                <c:pt idx="76">
                  <c:v>179.97971042369724</c:v>
                </c:pt>
                <c:pt idx="77">
                  <c:v>184.46679898890156</c:v>
                </c:pt>
                <c:pt idx="93">
                  <c:v>216.27285732493829</c:v>
                </c:pt>
                <c:pt idx="94">
                  <c:v>230.14149189452183</c:v>
                </c:pt>
                <c:pt idx="95">
                  <c:v>200.16141294632311</c:v>
                </c:pt>
                <c:pt idx="96">
                  <c:v>211.57931673390922</c:v>
                </c:pt>
                <c:pt idx="97">
                  <c:v>205.98405507457375</c:v>
                </c:pt>
                <c:pt idx="98">
                  <c:v>175.3081396885878</c:v>
                </c:pt>
                <c:pt idx="99">
                  <c:v>181.69852966103943</c:v>
                </c:pt>
                <c:pt idx="100">
                  <c:v>179.51357484686579</c:v>
                </c:pt>
                <c:pt idx="101">
                  <c:v>193.47553342772443</c:v>
                </c:pt>
                <c:pt idx="102">
                  <c:v>236.03255624732711</c:v>
                </c:pt>
                <c:pt idx="103">
                  <c:v>228.41208469018065</c:v>
                </c:pt>
                <c:pt idx="104">
                  <c:v>238.57174677344983</c:v>
                </c:pt>
                <c:pt idx="105">
                  <c:v>282.53637929162034</c:v>
                </c:pt>
                <c:pt idx="106">
                  <c:v>280.38813821411412</c:v>
                </c:pt>
                <c:pt idx="107">
                  <c:v>264.14720069789325</c:v>
                </c:pt>
                <c:pt idx="108">
                  <c:v>238.17300082474216</c:v>
                </c:pt>
                <c:pt idx="109">
                  <c:v>229.04575661883342</c:v>
                </c:pt>
                <c:pt idx="110">
                  <c:v>246.54455853752629</c:v>
                </c:pt>
                <c:pt idx="111">
                  <c:v>247.54517007828443</c:v>
                </c:pt>
                <c:pt idx="112">
                  <c:v>237.17134261489863</c:v>
                </c:pt>
                <c:pt idx="113">
                  <c:v>233.45388623588931</c:v>
                </c:pt>
                <c:pt idx="114">
                  <c:v>222.68369105205193</c:v>
                </c:pt>
                <c:pt idx="115">
                  <c:v>215.90807584324168</c:v>
                </c:pt>
                <c:pt idx="116">
                  <c:v>219.73175234069504</c:v>
                </c:pt>
                <c:pt idx="117">
                  <c:v>221.74713139908505</c:v>
                </c:pt>
                <c:pt idx="118">
                  <c:v>209.85942368064698</c:v>
                </c:pt>
                <c:pt idx="119">
                  <c:v>209.29208427592357</c:v>
                </c:pt>
                <c:pt idx="120">
                  <c:v>209.20557247445794</c:v>
                </c:pt>
                <c:pt idx="121">
                  <c:v>217.73001556086822</c:v>
                </c:pt>
                <c:pt idx="122">
                  <c:v>248.88281851078847</c:v>
                </c:pt>
                <c:pt idx="123">
                  <c:v>246.54731089178421</c:v>
                </c:pt>
                <c:pt idx="124">
                  <c:v>236.47559271545111</c:v>
                </c:pt>
                <c:pt idx="125">
                  <c:v>244.09260784553203</c:v>
                </c:pt>
                <c:pt idx="126">
                  <c:v>259.48731962485402</c:v>
                </c:pt>
                <c:pt idx="127">
                  <c:v>250.05472295608547</c:v>
                </c:pt>
                <c:pt idx="128">
                  <c:v>262.91825347861277</c:v>
                </c:pt>
                <c:pt idx="129">
                  <c:v>241.09137223047099</c:v>
                </c:pt>
                <c:pt idx="130">
                  <c:v>221.53449019794638</c:v>
                </c:pt>
                <c:pt idx="131">
                  <c:v>241.64278737456149</c:v>
                </c:pt>
                <c:pt idx="132">
                  <c:v>265.29649981640506</c:v>
                </c:pt>
                <c:pt idx="133">
                  <c:v>270.37738879421215</c:v>
                </c:pt>
                <c:pt idx="134">
                  <c:v>313.08004925830301</c:v>
                </c:pt>
                <c:pt idx="135">
                  <c:v>335.75309080953173</c:v>
                </c:pt>
                <c:pt idx="136">
                  <c:v>400.64676774513561</c:v>
                </c:pt>
                <c:pt idx="137">
                  <c:v>456.65808823802502</c:v>
                </c:pt>
                <c:pt idx="138">
                  <c:v>448.18590956950442</c:v>
                </c:pt>
                <c:pt idx="139">
                  <c:v>448.17006236414142</c:v>
                </c:pt>
                <c:pt idx="140">
                  <c:v>480.99736996015497</c:v>
                </c:pt>
                <c:pt idx="141">
                  <c:v>494.98755140683943</c:v>
                </c:pt>
                <c:pt idx="142">
                  <c:v>517.04469191041767</c:v>
                </c:pt>
                <c:pt idx="143">
                  <c:v>490.86953053922343</c:v>
                </c:pt>
                <c:pt idx="144">
                  <c:v>465.74519929196418</c:v>
                </c:pt>
                <c:pt idx="145">
                  <c:v>473.69545286337274</c:v>
                </c:pt>
                <c:pt idx="146">
                  <c:v>481.45499716426446</c:v>
                </c:pt>
                <c:pt idx="147">
                  <c:v>496.0531360605425</c:v>
                </c:pt>
                <c:pt idx="148">
                  <c:v>451.94945660144731</c:v>
                </c:pt>
                <c:pt idx="149">
                  <c:v>473.30291883779608</c:v>
                </c:pt>
                <c:pt idx="150">
                  <c:v>449.62072539508165</c:v>
                </c:pt>
                <c:pt idx="151">
                  <c:v>478.24121136590139</c:v>
                </c:pt>
                <c:pt idx="152">
                  <c:v>493.13019025209906</c:v>
                </c:pt>
                <c:pt idx="153">
                  <c:v>476.65624018800366</c:v>
                </c:pt>
                <c:pt idx="154">
                  <c:v>401.16494895324473</c:v>
                </c:pt>
                <c:pt idx="155">
                  <c:v>416.38202788039797</c:v>
                </c:pt>
                <c:pt idx="156">
                  <c:v>332.02279980670602</c:v>
                </c:pt>
                <c:pt idx="157">
                  <c:v>297.03049554533169</c:v>
                </c:pt>
                <c:pt idx="158">
                  <c:v>257.28217291047866</c:v>
                </c:pt>
                <c:pt idx="159">
                  <c:v>238.53451757733896</c:v>
                </c:pt>
                <c:pt idx="160">
                  <c:v>219.46324999988059</c:v>
                </c:pt>
                <c:pt idx="161">
                  <c:v>219.53906735200499</c:v>
                </c:pt>
                <c:pt idx="162">
                  <c:v>184.98029788145968</c:v>
                </c:pt>
                <c:pt idx="163">
                  <c:v>194.79453385002898</c:v>
                </c:pt>
                <c:pt idx="164">
                  <c:v>213.77424395378551</c:v>
                </c:pt>
                <c:pt idx="165">
                  <c:v>216.64056521782348</c:v>
                </c:pt>
                <c:pt idx="166">
                  <c:v>204.45435567895589</c:v>
                </c:pt>
                <c:pt idx="167">
                  <c:v>199.84521208924022</c:v>
                </c:pt>
                <c:pt idx="168">
                  <c:v>197.31038456373011</c:v>
                </c:pt>
                <c:pt idx="169">
                  <c:v>208.18521850268812</c:v>
                </c:pt>
                <c:pt idx="170">
                  <c:v>184.69015083278777</c:v>
                </c:pt>
              </c:numCache>
            </c:numRef>
          </c:yVal>
          <c:smooth val="0"/>
          <c:extLst>
            <c:ext xmlns:c16="http://schemas.microsoft.com/office/drawing/2014/chart" uri="{C3380CC4-5D6E-409C-BE32-E72D297353CC}">
              <c16:uniqueId val="{00000000-82B6-4DA3-BA99-77ECA3E27684}"/>
            </c:ext>
          </c:extLst>
        </c:ser>
        <c:ser>
          <c:idx val="3"/>
          <c:order val="1"/>
          <c:tx>
            <c:v>Channel_R</c:v>
          </c:tx>
          <c:spPr>
            <a:ln w="28575">
              <a:noFill/>
            </a:ln>
          </c:spPr>
          <c:marker>
            <c:symbol val="circle"/>
            <c:size val="6"/>
            <c:spPr>
              <a:solidFill>
                <a:srgbClr val="000000"/>
              </a:solidFill>
              <a:ln>
                <a:solidFill>
                  <a:srgbClr val="000000"/>
                </a:solidFill>
                <a:prstDash val="solid"/>
              </a:ln>
            </c:spPr>
          </c:marker>
          <c:xVal>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'SP02'!$Y$3:$Y$176</c:f>
              <c:numCache>
                <c:formatCode>0</c:formatCode>
                <c:ptCount val="174"/>
                <c:pt idx="3">
                  <c:v>-65.595675098904039</c:v>
                </c:pt>
                <c:pt idx="4">
                  <c:v>-60.777171987962014</c:v>
                </c:pt>
                <c:pt idx="5">
                  <c:v>-78.80581948185862</c:v>
                </c:pt>
                <c:pt idx="6">
                  <c:v>-110.58066216130408</c:v>
                </c:pt>
                <c:pt idx="7">
                  <c:v>-128.54600708952853</c:v>
                </c:pt>
                <c:pt idx="8">
                  <c:v>-136.05204734249904</c:v>
                </c:pt>
                <c:pt idx="9">
                  <c:v>-138.96631721149407</c:v>
                </c:pt>
                <c:pt idx="10">
                  <c:v>-132.2554428556428</c:v>
                </c:pt>
                <c:pt idx="11">
                  <c:v>-137.46513465049506</c:v>
                </c:pt>
                <c:pt idx="12">
                  <c:v>-107.3179130768829</c:v>
                </c:pt>
                <c:pt idx="13">
                  <c:v>-84.425674237419273</c:v>
                </c:pt>
                <c:pt idx="14">
                  <c:v>-64.109382611477983</c:v>
                </c:pt>
                <c:pt idx="15">
                  <c:v>-57.344151547424424</c:v>
                </c:pt>
                <c:pt idx="16">
                  <c:v>-54.76598551181803</c:v>
                </c:pt>
                <c:pt idx="17">
                  <c:v>-66.121909797625804</c:v>
                </c:pt>
                <c:pt idx="18">
                  <c:v>-70.360351934217164</c:v>
                </c:pt>
                <c:pt idx="19">
                  <c:v>-84.762990543245138</c:v>
                </c:pt>
                <c:pt idx="20">
                  <c:v>-93.123946355994661</c:v>
                </c:pt>
                <c:pt idx="21">
                  <c:v>-108.60719860036193</c:v>
                </c:pt>
                <c:pt idx="22">
                  <c:v>-96.516036676140601</c:v>
                </c:pt>
                <c:pt idx="23">
                  <c:v>-63.344379015930222</c:v>
                </c:pt>
                <c:pt idx="24">
                  <c:v>-55.005383374095437</c:v>
                </c:pt>
                <c:pt idx="25">
                  <c:v>-71.882057469254619</c:v>
                </c:pt>
                <c:pt idx="26">
                  <c:v>-72.161559157957299</c:v>
                </c:pt>
                <c:pt idx="27">
                  <c:v>-76.826437642482801</c:v>
                </c:pt>
                <c:pt idx="28">
                  <c:v>-58.362083147797343</c:v>
                </c:pt>
                <c:pt idx="29">
                  <c:v>-62.256777824782382</c:v>
                </c:pt>
                <c:pt idx="30">
                  <c:v>-98.378555256868779</c:v>
                </c:pt>
                <c:pt idx="31">
                  <c:v>-96.446863928541347</c:v>
                </c:pt>
                <c:pt idx="32">
                  <c:v>-73.178422515400285</c:v>
                </c:pt>
                <c:pt idx="33">
                  <c:v>-69.380487690942161</c:v>
                </c:pt>
                <c:pt idx="34">
                  <c:v>-65.211493462184777</c:v>
                </c:pt>
                <c:pt idx="35">
                  <c:v>-76.822191219612407</c:v>
                </c:pt>
                <c:pt idx="36">
                  <c:v>-92.200011205332501</c:v>
                </c:pt>
                <c:pt idx="37">
                  <c:v>-82.592672072112563</c:v>
                </c:pt>
                <c:pt idx="38">
                  <c:v>-87.325964258102204</c:v>
                </c:pt>
                <c:pt idx="39">
                  <c:v>-93.59055993437849</c:v>
                </c:pt>
                <c:pt idx="40">
                  <c:v>-86.930712708047153</c:v>
                </c:pt>
                <c:pt idx="41">
                  <c:v>-71.153388677437391</c:v>
                </c:pt>
                <c:pt idx="42">
                  <c:v>-91.015412201741682</c:v>
                </c:pt>
                <c:pt idx="43">
                  <c:v>-98.177866523578942</c:v>
                </c:pt>
                <c:pt idx="44">
                  <c:v>-116.31475555749249</c:v>
                </c:pt>
                <c:pt idx="45">
                  <c:v>-124.60355422632713</c:v>
                </c:pt>
                <c:pt idx="46">
                  <c:v>-122.84461972700667</c:v>
                </c:pt>
                <c:pt idx="47">
                  <c:v>-139.00770532415802</c:v>
                </c:pt>
                <c:pt idx="48">
                  <c:v>-154.26512330959335</c:v>
                </c:pt>
                <c:pt idx="49">
                  <c:v>-137.80810102148274</c:v>
                </c:pt>
                <c:pt idx="50">
                  <c:v>-110.38068423559537</c:v>
                </c:pt>
                <c:pt idx="51">
                  <c:v>-97.751386718505202</c:v>
                </c:pt>
                <c:pt idx="52">
                  <c:v>-81.553929791091988</c:v>
                </c:pt>
                <c:pt idx="53">
                  <c:v>-86.139992827774435</c:v>
                </c:pt>
                <c:pt idx="54">
                  <c:v>-74.5807067513107</c:v>
                </c:pt>
                <c:pt idx="55">
                  <c:v>-73.0578827918267</c:v>
                </c:pt>
                <c:pt idx="56">
                  <c:v>-63.738599975793996</c:v>
                </c:pt>
                <c:pt idx="57">
                  <c:v>-81.83055568005804</c:v>
                </c:pt>
                <c:pt idx="58">
                  <c:v>-88.9593922270072</c:v>
                </c:pt>
                <c:pt idx="59">
                  <c:v>-111.75858096633546</c:v>
                </c:pt>
                <c:pt idx="60">
                  <c:v>-104.12874022108385</c:v>
                </c:pt>
                <c:pt idx="61">
                  <c:v>-137.77682073760539</c:v>
                </c:pt>
                <c:pt idx="62">
                  <c:v>-141.15324115017054</c:v>
                </c:pt>
                <c:pt idx="63">
                  <c:v>-152.29336189641799</c:v>
                </c:pt>
                <c:pt idx="64">
                  <c:v>-158.87821886169104</c:v>
                </c:pt>
                <c:pt idx="65">
                  <c:v>-193.13317764159265</c:v>
                </c:pt>
                <c:pt idx="66">
                  <c:v>-225.92416175191684</c:v>
                </c:pt>
                <c:pt idx="67">
                  <c:v>-239.05841704855604</c:v>
                </c:pt>
                <c:pt idx="68">
                  <c:v>-220.42270880736595</c:v>
                </c:pt>
                <c:pt idx="69">
                  <c:v>-215.95806605798589</c:v>
                </c:pt>
                <c:pt idx="70">
                  <c:v>-211.68227810266234</c:v>
                </c:pt>
                <c:pt idx="71">
                  <c:v>-216.9905785768085</c:v>
                </c:pt>
                <c:pt idx="72">
                  <c:v>-192.67026135935836</c:v>
                </c:pt>
                <c:pt idx="73">
                  <c:v>-157.91324928195496</c:v>
                </c:pt>
                <c:pt idx="74">
                  <c:v>-151.48160643294185</c:v>
                </c:pt>
                <c:pt idx="75">
                  <c:v>-169.22437485077347</c:v>
                </c:pt>
                <c:pt idx="76">
                  <c:v>-179.96856836109646</c:v>
                </c:pt>
                <c:pt idx="77">
                  <c:v>-190.53706157063218</c:v>
                </c:pt>
                <c:pt idx="93">
                  <c:v>-217.94051340726486</c:v>
                </c:pt>
                <c:pt idx="94">
                  <c:v>-226.23354688040757</c:v>
                </c:pt>
                <c:pt idx="95">
                  <c:v>-213.58319056669006</c:v>
                </c:pt>
                <c:pt idx="96">
                  <c:v>-231.92010521341837</c:v>
                </c:pt>
                <c:pt idx="97">
                  <c:v>-236.49451339896314</c:v>
                </c:pt>
                <c:pt idx="98">
                  <c:v>-194.60652096866059</c:v>
                </c:pt>
                <c:pt idx="99">
                  <c:v>-198.39757520978631</c:v>
                </c:pt>
                <c:pt idx="100">
                  <c:v>-188.50516145598846</c:v>
                </c:pt>
                <c:pt idx="101">
                  <c:v>-200.94628415754161</c:v>
                </c:pt>
                <c:pt idx="102">
                  <c:v>-221.12209533523446</c:v>
                </c:pt>
                <c:pt idx="103">
                  <c:v>-214.6583760174006</c:v>
                </c:pt>
                <c:pt idx="104">
                  <c:v>-217.18018003162391</c:v>
                </c:pt>
                <c:pt idx="105">
                  <c:v>-255.35236175677042</c:v>
                </c:pt>
                <c:pt idx="106">
                  <c:v>-253.08591258869268</c:v>
                </c:pt>
                <c:pt idx="107">
                  <c:v>-257.644058403023</c:v>
                </c:pt>
                <c:pt idx="108">
                  <c:v>-237.12355039388802</c:v>
                </c:pt>
                <c:pt idx="109">
                  <c:v>-233.38971578071087</c:v>
                </c:pt>
                <c:pt idx="110">
                  <c:v>-252.01639673032909</c:v>
                </c:pt>
                <c:pt idx="111">
                  <c:v>-253.56038862274292</c:v>
                </c:pt>
                <c:pt idx="112">
                  <c:v>-253.20702021312738</c:v>
                </c:pt>
                <c:pt idx="113">
                  <c:v>-246.35302752925631</c:v>
                </c:pt>
                <c:pt idx="114">
                  <c:v>-224.57075546395919</c:v>
                </c:pt>
                <c:pt idx="115">
                  <c:v>-216.05260783840598</c:v>
                </c:pt>
                <c:pt idx="116">
                  <c:v>-228.19010099718258</c:v>
                </c:pt>
                <c:pt idx="117">
                  <c:v>-209.44159245115833</c:v>
                </c:pt>
                <c:pt idx="118">
                  <c:v>-201.27437371173167</c:v>
                </c:pt>
                <c:pt idx="119">
                  <c:v>-199.57862076197603</c:v>
                </c:pt>
                <c:pt idx="120">
                  <c:v>-212.64628830091868</c:v>
                </c:pt>
                <c:pt idx="121">
                  <c:v>-222.45223350215659</c:v>
                </c:pt>
                <c:pt idx="122">
                  <c:v>-259.15386239984326</c:v>
                </c:pt>
                <c:pt idx="123">
                  <c:v>-248.76948209873322</c:v>
                </c:pt>
                <c:pt idx="124">
                  <c:v>-243.90695014417057</c:v>
                </c:pt>
                <c:pt idx="125">
                  <c:v>-242.94156951519179</c:v>
                </c:pt>
                <c:pt idx="126">
                  <c:v>-233.61587836815639</c:v>
                </c:pt>
                <c:pt idx="127">
                  <c:v>-223.83856188574802</c:v>
                </c:pt>
                <c:pt idx="128">
                  <c:v>-247.9121120676422</c:v>
                </c:pt>
                <c:pt idx="129">
                  <c:v>-219.68859412925713</c:v>
                </c:pt>
                <c:pt idx="130">
                  <c:v>-219.71363729070282</c:v>
                </c:pt>
                <c:pt idx="131">
                  <c:v>-251.93187531407281</c:v>
                </c:pt>
                <c:pt idx="132">
                  <c:v>-266.59548973749128</c:v>
                </c:pt>
                <c:pt idx="133">
                  <c:v>-283.15831758761612</c:v>
                </c:pt>
                <c:pt idx="134">
                  <c:v>-304.81235159456116</c:v>
                </c:pt>
                <c:pt idx="135">
                  <c:v>-320.42708998177852</c:v>
                </c:pt>
                <c:pt idx="136">
                  <c:v>-388.81161829302215</c:v>
                </c:pt>
                <c:pt idx="137">
                  <c:v>-445.43921098337006</c:v>
                </c:pt>
                <c:pt idx="138">
                  <c:v>-398.03876913216743</c:v>
                </c:pt>
                <c:pt idx="139">
                  <c:v>-418.51176840956958</c:v>
                </c:pt>
                <c:pt idx="140">
                  <c:v>-463.8519663688453</c:v>
                </c:pt>
                <c:pt idx="141">
                  <c:v>-481.45029293301889</c:v>
                </c:pt>
                <c:pt idx="142">
                  <c:v>-484.06781075886238</c:v>
                </c:pt>
                <c:pt idx="143">
                  <c:v>-444.19003093625003</c:v>
                </c:pt>
                <c:pt idx="144">
                  <c:v>-400.02971900846944</c:v>
                </c:pt>
                <c:pt idx="145">
                  <c:v>-444.96950430095637</c:v>
                </c:pt>
                <c:pt idx="146">
                  <c:v>-463.80569438714127</c:v>
                </c:pt>
                <c:pt idx="147">
                  <c:v>-470.77904777382281</c:v>
                </c:pt>
                <c:pt idx="148">
                  <c:v>-466.36044182896711</c:v>
                </c:pt>
                <c:pt idx="149">
                  <c:v>-508.70811174237605</c:v>
                </c:pt>
                <c:pt idx="150">
                  <c:v>-504.87511737507583</c:v>
                </c:pt>
                <c:pt idx="151">
                  <c:v>-563.26449945276261</c:v>
                </c:pt>
                <c:pt idx="152">
                  <c:v>-553.82541740178624</c:v>
                </c:pt>
                <c:pt idx="153">
                  <c:v>-505.94502134265042</c:v>
                </c:pt>
                <c:pt idx="154">
                  <c:v>-445.22163138034085</c:v>
                </c:pt>
                <c:pt idx="155">
                  <c:v>-432.09215826964754</c:v>
                </c:pt>
                <c:pt idx="156">
                  <c:v>-346.32361886425969</c:v>
                </c:pt>
                <c:pt idx="157">
                  <c:v>-299.62792778641176</c:v>
                </c:pt>
                <c:pt idx="158">
                  <c:v>-245.47155414168986</c:v>
                </c:pt>
                <c:pt idx="159">
                  <c:v>-238.50130904946192</c:v>
                </c:pt>
                <c:pt idx="160">
                  <c:v>-242.91344509837614</c:v>
                </c:pt>
                <c:pt idx="161">
                  <c:v>-235.8528869429706</c:v>
                </c:pt>
                <c:pt idx="162">
                  <c:v>-203.14170382541212</c:v>
                </c:pt>
                <c:pt idx="163">
                  <c:v>-201.79827648049286</c:v>
                </c:pt>
                <c:pt idx="164">
                  <c:v>-226.66405294799742</c:v>
                </c:pt>
                <c:pt idx="165">
                  <c:v>-209.41655505841118</c:v>
                </c:pt>
                <c:pt idx="166">
                  <c:v>-204.16035135989475</c:v>
                </c:pt>
                <c:pt idx="167">
                  <c:v>-188.06273938697572</c:v>
                </c:pt>
                <c:pt idx="168">
                  <c:v>-186.56338368402365</c:v>
                </c:pt>
                <c:pt idx="169">
                  <c:v>-191.08584740316127</c:v>
                </c:pt>
                <c:pt idx="170">
                  <c:v>-177.29782924134477</c:v>
                </c:pt>
              </c:numCache>
            </c:numRef>
          </c:yVal>
          <c:smooth val="0"/>
          <c:extLst>
            <c:ext xmlns:c16="http://schemas.microsoft.com/office/drawing/2014/chart" uri="{C3380CC4-5D6E-409C-BE32-E72D297353CC}">
              <c16:uniqueId val="{00000001-82B6-4DA3-BA99-77ECA3E27684}"/>
            </c:ext>
          </c:extLst>
        </c:ser>
        <c:ser>
          <c:idx val="2"/>
          <c:order val="2"/>
          <c:tx>
            <c:v>Zero</c:v>
          </c:tx>
          <c:spPr>
            <a:ln w="12700">
              <a:solidFill>
                <a:srgbClr val="000000"/>
              </a:solidFill>
              <a:prstDash val="solid"/>
            </a:ln>
          </c:spPr>
          <c:marker>
            <c:symbol val="none"/>
          </c:marker>
          <c:xVal>
            <c:numLit>
              <c:formatCode>General</c:formatCode>
              <c:ptCount val="2"/>
              <c:pt idx="0">
                <c:v>41365</c:v>
              </c:pt>
              <c:pt idx="1">
                <c:v>41549</c:v>
              </c:pt>
            </c:numLit>
          </c:xVal>
          <c:yVal>
            <c:numLit>
              <c:formatCode>General</c:formatCode>
              <c:ptCount val="2"/>
              <c:pt idx="0">
                <c:v>0</c:v>
              </c:pt>
              <c:pt idx="1">
                <c:v>0</c:v>
              </c:pt>
            </c:numLit>
          </c:yVal>
          <c:smooth val="0"/>
          <c:extLst>
            <c:ext xmlns:c16="http://schemas.microsoft.com/office/drawing/2014/chart" uri="{C3380CC4-5D6E-409C-BE32-E72D297353CC}">
              <c16:uniqueId val="{00000002-82B6-4DA3-BA99-77ECA3E27684}"/>
            </c:ext>
          </c:extLst>
        </c:ser>
        <c:dLbls>
          <c:showLegendKey val="0"/>
          <c:showVal val="0"/>
          <c:showCatName val="0"/>
          <c:showSerName val="0"/>
          <c:showPercent val="0"/>
          <c:showBubbleSize val="0"/>
        </c:dLbls>
        <c:axId val="301981880"/>
        <c:axId val="301982272"/>
      </c:scatterChart>
      <c:valAx>
        <c:axId val="301981880"/>
        <c:scaling>
          <c:orientation val="minMax"/>
          <c:max val="41549"/>
          <c:min val="41365"/>
        </c:scaling>
        <c:delete val="0"/>
        <c:axPos val="b"/>
        <c:numFmt formatCode="mmm" sourceLinked="0"/>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2272"/>
        <c:crossesAt val="-700"/>
        <c:crossBetween val="midCat"/>
        <c:majorUnit val="30.6"/>
      </c:valAx>
      <c:valAx>
        <c:axId val="301982272"/>
        <c:scaling>
          <c:orientation val="minMax"/>
          <c:max val="550"/>
          <c:min val="-700"/>
        </c:scaling>
        <c:delete val="0"/>
        <c:axPos val="l"/>
        <c:title>
          <c:tx>
            <c:rich>
              <a:bodyPr/>
              <a:lstStyle/>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Ecosystem P and R </a:t>
                </a:r>
              </a:p>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 (mmol O</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 m</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d</a:t>
                </a:r>
                <a:r>
                  <a:rPr lang="en-US" sz="1000" b="0" i="0" u="none" strike="noStrike" baseline="30000">
                    <a:solidFill>
                      <a:srgbClr val="000000"/>
                    </a:solidFill>
                    <a:latin typeface="Arial"/>
                    <a:cs typeface="Arial"/>
                  </a:rPr>
                  <a:t>-1</a:t>
                </a:r>
                <a:r>
                  <a:rPr lang="en-US" sz="1000" b="0" i="0" u="none" strike="noStrike" baseline="0">
                    <a:solidFill>
                      <a:srgbClr val="000000"/>
                    </a:solidFill>
                    <a:latin typeface="Arial"/>
                    <a:cs typeface="Arial"/>
                  </a:rPr>
                  <a:t>)</a:t>
                </a:r>
              </a:p>
            </c:rich>
          </c:tx>
          <c:layout>
            <c:manualLayout>
              <c:xMode val="edge"/>
              <c:yMode val="edge"/>
              <c:x val="9.7222222222222224E-3"/>
              <c:y val="0.24105019180294771"/>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1880"/>
        <c:crosses val="autoZero"/>
        <c:crossBetween val="midCat"/>
      </c:valAx>
      <c:spPr>
        <a:noFill/>
        <a:ln w="3175">
          <a:solidFill>
            <a:srgbClr val="000000"/>
          </a:solidFill>
          <a:prstDash val="solid"/>
        </a:ln>
      </c:spPr>
    </c:plotArea>
    <c:legend>
      <c:legendPos val="r"/>
      <c:legendEntry>
        <c:idx val="1"/>
        <c:delete val="1"/>
      </c:legendEntry>
      <c:legendEntry>
        <c:idx val="2"/>
        <c:delete val="1"/>
      </c:legendEntry>
      <c:layout>
        <c:manualLayout>
          <c:xMode val="edge"/>
          <c:yMode val="edge"/>
          <c:x val="0.5052091898756067"/>
          <c:y val="8.0000120192488269E-2"/>
          <c:w val="0.11979186976431913"/>
          <c:h val="5.230777089508848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91561520189794"/>
          <c:y val="0.1197604790419162"/>
          <c:w val="0.82633989134463404"/>
          <c:h val="0.622754491017964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'SP01'!$B$3:$B$174</c:f>
              <c:numCache>
                <c:formatCode>0.00</c:formatCode>
                <c:ptCount val="172"/>
                <c:pt idx="0">
                  <c:v>21.745903389830506</c:v>
                </c:pt>
                <c:pt idx="1">
                  <c:v>22.249104272598881</c:v>
                </c:pt>
                <c:pt idx="2">
                  <c:v>20.969072951977402</c:v>
                </c:pt>
                <c:pt idx="3">
                  <c:v>21.468564389124285</c:v>
                </c:pt>
                <c:pt idx="4">
                  <c:v>22.626431638418083</c:v>
                </c:pt>
                <c:pt idx="5">
                  <c:v>23.171923234463275</c:v>
                </c:pt>
                <c:pt idx="6">
                  <c:v>23.266759145480233</c:v>
                </c:pt>
                <c:pt idx="7">
                  <c:v>21.579070409604512</c:v>
                </c:pt>
                <c:pt idx="8">
                  <c:v>20.543324593926553</c:v>
                </c:pt>
                <c:pt idx="9">
                  <c:v>20.789761970338983</c:v>
                </c:pt>
                <c:pt idx="10">
                  <c:v>20.930042461158184</c:v>
                </c:pt>
                <c:pt idx="11">
                  <c:v>21.118255579096047</c:v>
                </c:pt>
                <c:pt idx="12">
                  <c:v>21.649027454096039</c:v>
                </c:pt>
                <c:pt idx="13">
                  <c:v>22.183285469632764</c:v>
                </c:pt>
                <c:pt idx="14">
                  <c:v>21.983638541666661</c:v>
                </c:pt>
                <c:pt idx="15">
                  <c:v>23.171909880995301</c:v>
                </c:pt>
                <c:pt idx="16">
                  <c:v>23.834342037429391</c:v>
                </c:pt>
                <c:pt idx="17">
                  <c:v>24.004416560734466</c:v>
                </c:pt>
                <c:pt idx="18">
                  <c:v>23.949641525423733</c:v>
                </c:pt>
                <c:pt idx="19">
                  <c:v>23.099892266949158</c:v>
                </c:pt>
                <c:pt idx="20">
                  <c:v>22.697491013418073</c:v>
                </c:pt>
                <c:pt idx="21">
                  <c:v>22.116829466807911</c:v>
                </c:pt>
                <c:pt idx="22">
                  <c:v>20.50980065324859</c:v>
                </c:pt>
                <c:pt idx="23">
                  <c:v>20.347735293079097</c:v>
                </c:pt>
                <c:pt idx="24">
                  <c:v>20.327039124293787</c:v>
                </c:pt>
                <c:pt idx="25">
                  <c:v>20.683611405367234</c:v>
                </c:pt>
                <c:pt idx="26">
                  <c:v>22.319241829281889</c:v>
                </c:pt>
                <c:pt idx="27">
                  <c:v>23.421039153898647</c:v>
                </c:pt>
                <c:pt idx="28">
                  <c:v>22.640874982344627</c:v>
                </c:pt>
                <c:pt idx="29">
                  <c:v>22.437352701271184</c:v>
                </c:pt>
                <c:pt idx="30">
                  <c:v>22.449385610875709</c:v>
                </c:pt>
                <c:pt idx="31">
                  <c:v>22.231191013418073</c:v>
                </c:pt>
                <c:pt idx="32">
                  <c:v>22.833517443502814</c:v>
                </c:pt>
                <c:pt idx="33">
                  <c:v>24.002721816311134</c:v>
                </c:pt>
                <c:pt idx="34">
                  <c:v>23.923408333333331</c:v>
                </c:pt>
                <c:pt idx="35">
                  <c:v>24.835263642777452</c:v>
                </c:pt>
                <c:pt idx="36">
                  <c:v>25.859305930836189</c:v>
                </c:pt>
                <c:pt idx="37">
                  <c:v>26.164655310040867</c:v>
                </c:pt>
                <c:pt idx="38">
                  <c:v>26.774455261232347</c:v>
                </c:pt>
                <c:pt idx="39">
                  <c:v>27.647702437266616</c:v>
                </c:pt>
                <c:pt idx="40">
                  <c:v>27.48360989991534</c:v>
                </c:pt>
                <c:pt idx="41">
                  <c:v>27.776943644554819</c:v>
                </c:pt>
                <c:pt idx="42">
                  <c:v>26.592456497175149</c:v>
                </c:pt>
                <c:pt idx="43">
                  <c:v>26.262927318144346</c:v>
                </c:pt>
                <c:pt idx="44">
                  <c:v>26.46308676998046</c:v>
                </c:pt>
                <c:pt idx="45">
                  <c:v>26.684519513566595</c:v>
                </c:pt>
                <c:pt idx="46">
                  <c:v>26.688329463334142</c:v>
                </c:pt>
                <c:pt idx="47">
                  <c:v>26.792171592514126</c:v>
                </c:pt>
                <c:pt idx="48">
                  <c:v>26.815929184322034</c:v>
                </c:pt>
                <c:pt idx="49">
                  <c:v>27.017933527542372</c:v>
                </c:pt>
                <c:pt idx="50">
                  <c:v>27.496006436579094</c:v>
                </c:pt>
                <c:pt idx="51">
                  <c:v>28.333096175373456</c:v>
                </c:pt>
                <c:pt idx="52">
                  <c:v>28.771773812522046</c:v>
                </c:pt>
                <c:pt idx="53">
                  <c:v>29.004998176353556</c:v>
                </c:pt>
                <c:pt idx="54">
                  <c:v>28.686640453444195</c:v>
                </c:pt>
                <c:pt idx="55">
                  <c:v>28.347459816384184</c:v>
                </c:pt>
                <c:pt idx="56">
                  <c:v>28.163643008474576</c:v>
                </c:pt>
                <c:pt idx="57">
                  <c:v>28.874400563479096</c:v>
                </c:pt>
                <c:pt idx="58">
                  <c:v>26.605946927966105</c:v>
                </c:pt>
                <c:pt idx="59">
                  <c:v>26.601044668079098</c:v>
                </c:pt>
                <c:pt idx="60">
                  <c:v>28.293217551444382</c:v>
                </c:pt>
                <c:pt idx="61">
                  <c:v>29.21309856233049</c:v>
                </c:pt>
                <c:pt idx="62">
                  <c:v>29.337222779952004</c:v>
                </c:pt>
                <c:pt idx="63">
                  <c:v>29.411847894377701</c:v>
                </c:pt>
                <c:pt idx="64">
                  <c:v>29.762760259248438</c:v>
                </c:pt>
                <c:pt idx="65">
                  <c:v>29.907552823542826</c:v>
                </c:pt>
                <c:pt idx="66">
                  <c:v>29.834080910899672</c:v>
                </c:pt>
                <c:pt idx="67">
                  <c:v>29.383329056058567</c:v>
                </c:pt>
                <c:pt idx="68">
                  <c:v>29.419344773002095</c:v>
                </c:pt>
                <c:pt idx="69">
                  <c:v>30.256285353288437</c:v>
                </c:pt>
                <c:pt idx="70">
                  <c:v>29.749102352822618</c:v>
                </c:pt>
                <c:pt idx="71">
                  <c:v>29.671063145291061</c:v>
                </c:pt>
                <c:pt idx="72">
                  <c:v>29.070553481890631</c:v>
                </c:pt>
                <c:pt idx="73">
                  <c:v>29.468863494630202</c:v>
                </c:pt>
                <c:pt idx="74">
                  <c:v>29.892338866983149</c:v>
                </c:pt>
                <c:pt idx="75">
                  <c:v>30.120457564489616</c:v>
                </c:pt>
                <c:pt idx="76">
                  <c:v>30.205101582444019</c:v>
                </c:pt>
                <c:pt idx="77">
                  <c:v>30.398766211386331</c:v>
                </c:pt>
                <c:pt idx="78">
                  <c:v>29.539425650422103</c:v>
                </c:pt>
                <c:pt idx="79">
                  <c:v>29.460799964689262</c:v>
                </c:pt>
                <c:pt idx="80">
                  <c:v>29.757969668079099</c:v>
                </c:pt>
                <c:pt idx="90">
                  <c:v>28.085914406779661</c:v>
                </c:pt>
                <c:pt idx="91">
                  <c:v>29.298775986540253</c:v>
                </c:pt>
                <c:pt idx="92">
                  <c:v>29.255679113700555</c:v>
                </c:pt>
                <c:pt idx="93">
                  <c:v>28.978771274717506</c:v>
                </c:pt>
                <c:pt idx="94">
                  <c:v>29.06420280720339</c:v>
                </c:pt>
                <c:pt idx="95">
                  <c:v>28.914040766242945</c:v>
                </c:pt>
                <c:pt idx="96">
                  <c:v>29.437872960179437</c:v>
                </c:pt>
                <c:pt idx="97">
                  <c:v>30.235559447971749</c:v>
                </c:pt>
                <c:pt idx="98">
                  <c:v>29.469419879943501</c:v>
                </c:pt>
                <c:pt idx="99">
                  <c:v>28.85401980932204</c:v>
                </c:pt>
                <c:pt idx="100">
                  <c:v>28.38844171963278</c:v>
                </c:pt>
                <c:pt idx="101">
                  <c:v>27.902214442090397</c:v>
                </c:pt>
                <c:pt idx="102">
                  <c:v>28.598181585451979</c:v>
                </c:pt>
                <c:pt idx="103">
                  <c:v>28.668427736581915</c:v>
                </c:pt>
                <c:pt idx="104">
                  <c:v>29.486765033124826</c:v>
                </c:pt>
                <c:pt idx="105">
                  <c:v>30.122208431882385</c:v>
                </c:pt>
                <c:pt idx="106">
                  <c:v>29.32682323446328</c:v>
                </c:pt>
                <c:pt idx="107">
                  <c:v>28.89575180084746</c:v>
                </c:pt>
                <c:pt idx="108">
                  <c:v>29.731886758474587</c:v>
                </c:pt>
                <c:pt idx="109">
                  <c:v>30.958150123587561</c:v>
                </c:pt>
                <c:pt idx="110">
                  <c:v>30.107479625706219</c:v>
                </c:pt>
                <c:pt idx="111">
                  <c:v>29.233248234463279</c:v>
                </c:pt>
                <c:pt idx="112">
                  <c:v>30.558465316617603</c:v>
                </c:pt>
                <c:pt idx="113">
                  <c:v>30.962105049435038</c:v>
                </c:pt>
                <c:pt idx="114">
                  <c:v>31.367620215395473</c:v>
                </c:pt>
                <c:pt idx="115">
                  <c:v>31.415034742056616</c:v>
                </c:pt>
                <c:pt idx="116">
                  <c:v>31.3003413841808</c:v>
                </c:pt>
                <c:pt idx="117">
                  <c:v>31.853659604519773</c:v>
                </c:pt>
                <c:pt idx="118">
                  <c:v>31.229505826271193</c:v>
                </c:pt>
                <c:pt idx="119">
                  <c:v>30.992667937853113</c:v>
                </c:pt>
                <c:pt idx="120">
                  <c:v>31.115248923022605</c:v>
                </c:pt>
                <c:pt idx="121">
                  <c:v>31.511643137610971</c:v>
                </c:pt>
                <c:pt idx="122">
                  <c:v>31.660936511299436</c:v>
                </c:pt>
                <c:pt idx="123">
                  <c:v>30.401914830508492</c:v>
                </c:pt>
                <c:pt idx="124">
                  <c:v>30.255830632062146</c:v>
                </c:pt>
                <c:pt idx="125">
                  <c:v>30.31727847810733</c:v>
                </c:pt>
                <c:pt idx="126">
                  <c:v>29.48326889124294</c:v>
                </c:pt>
                <c:pt idx="127">
                  <c:v>27.795588576977405</c:v>
                </c:pt>
                <c:pt idx="128">
                  <c:v>27.33702616525423</c:v>
                </c:pt>
                <c:pt idx="129">
                  <c:v>28.450853261719057</c:v>
                </c:pt>
                <c:pt idx="130">
                  <c:v>28.447857997881357</c:v>
                </c:pt>
                <c:pt idx="131">
                  <c:v>28.817751032012751</c:v>
                </c:pt>
                <c:pt idx="132">
                  <c:v>29.298981744350272</c:v>
                </c:pt>
                <c:pt idx="133">
                  <c:v>28.30307895480226</c:v>
                </c:pt>
                <c:pt idx="134">
                  <c:v>27.696774399717512</c:v>
                </c:pt>
                <c:pt idx="135">
                  <c:v>27.69119381305488</c:v>
                </c:pt>
                <c:pt idx="136">
                  <c:v>27.835576512228439</c:v>
                </c:pt>
                <c:pt idx="137">
                  <c:v>28.078502274822259</c:v>
                </c:pt>
                <c:pt idx="138">
                  <c:v>28.956539618644076</c:v>
                </c:pt>
                <c:pt idx="139">
                  <c:v>29.12504844459859</c:v>
                </c:pt>
                <c:pt idx="140">
                  <c:v>29.000899334541728</c:v>
                </c:pt>
                <c:pt idx="141">
                  <c:v>28.738497983289644</c:v>
                </c:pt>
                <c:pt idx="142">
                  <c:v>29.435614428087863</c:v>
                </c:pt>
                <c:pt idx="143">
                  <c:v>29.563886108030982</c:v>
                </c:pt>
                <c:pt idx="144">
                  <c:v>29.505306782673973</c:v>
                </c:pt>
                <c:pt idx="145">
                  <c:v>30.405850729899509</c:v>
                </c:pt>
                <c:pt idx="146">
                  <c:v>30.819568002376808</c:v>
                </c:pt>
                <c:pt idx="147">
                  <c:v>30.935859200162682</c:v>
                </c:pt>
                <c:pt idx="148">
                  <c:v>30.67144571270347</c:v>
                </c:pt>
                <c:pt idx="149">
                  <c:v>30.900293484184306</c:v>
                </c:pt>
                <c:pt idx="150">
                  <c:v>30.474637690181169</c:v>
                </c:pt>
                <c:pt idx="151">
                  <c:v>30.588797872070703</c:v>
                </c:pt>
                <c:pt idx="152">
                  <c:v>30.087987344540903</c:v>
                </c:pt>
                <c:pt idx="153">
                  <c:v>30.361935533463349</c:v>
                </c:pt>
                <c:pt idx="154">
                  <c:v>30.342180916369617</c:v>
                </c:pt>
                <c:pt idx="155">
                  <c:v>29.842478372175147</c:v>
                </c:pt>
                <c:pt idx="156">
                  <c:v>29.882754575697771</c:v>
                </c:pt>
                <c:pt idx="157">
                  <c:v>30.142534329948365</c:v>
                </c:pt>
                <c:pt idx="158">
                  <c:v>29.970528290151758</c:v>
                </c:pt>
                <c:pt idx="159">
                  <c:v>29.311102855907858</c:v>
                </c:pt>
                <c:pt idx="160">
                  <c:v>28.81323612288136</c:v>
                </c:pt>
                <c:pt idx="161">
                  <c:v>29.358156849663185</c:v>
                </c:pt>
                <c:pt idx="162">
                  <c:v>28.085792425847441</c:v>
                </c:pt>
                <c:pt idx="163">
                  <c:v>27.779166419491531</c:v>
                </c:pt>
                <c:pt idx="164">
                  <c:v>27.935416046047461</c:v>
                </c:pt>
                <c:pt idx="165">
                  <c:v>27.857905737994344</c:v>
                </c:pt>
                <c:pt idx="166">
                  <c:v>28.22399304048389</c:v>
                </c:pt>
                <c:pt idx="167">
                  <c:v>28.509750279568873</c:v>
                </c:pt>
                <c:pt idx="168">
                  <c:v>27.860859875558763</c:v>
                </c:pt>
                <c:pt idx="169">
                  <c:v>27.523825403257643</c:v>
                </c:pt>
                <c:pt idx="170">
                  <c:v>27.120178778248587</c:v>
                </c:pt>
                <c:pt idx="171">
                  <c:v>26.978298322740102</c:v>
                </c:pt>
              </c:numCache>
            </c:numRef>
          </c:yVal>
          <c:smooth val="0"/>
          <c:extLst>
            <c:ext xmlns:c16="http://schemas.microsoft.com/office/drawing/2014/chart" uri="{C3380CC4-5D6E-409C-BE32-E72D297353CC}">
              <c16:uniqueId val="{00000000-403D-4241-8DF5-3114C4690F8E}"/>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'SP02'!$B$3:$B$174</c:f>
              <c:numCache>
                <c:formatCode>0.00</c:formatCode>
                <c:ptCount val="172"/>
                <c:pt idx="0">
                  <c:v>21.687118424356555</c:v>
                </c:pt>
                <c:pt idx="1">
                  <c:v>21.905344085451986</c:v>
                </c:pt>
                <c:pt idx="2">
                  <c:v>21.01797777189266</c:v>
                </c:pt>
                <c:pt idx="3">
                  <c:v>21.248409057203396</c:v>
                </c:pt>
                <c:pt idx="4">
                  <c:v>22.225744615113001</c:v>
                </c:pt>
                <c:pt idx="5">
                  <c:v>22.751019738700553</c:v>
                </c:pt>
                <c:pt idx="6">
                  <c:v>23.041467920197736</c:v>
                </c:pt>
                <c:pt idx="7">
                  <c:v>21.947222228107346</c:v>
                </c:pt>
                <c:pt idx="8">
                  <c:v>20.332426553672317</c:v>
                </c:pt>
                <c:pt idx="9">
                  <c:v>20.514525547316389</c:v>
                </c:pt>
                <c:pt idx="10">
                  <c:v>20.720554131355929</c:v>
                </c:pt>
                <c:pt idx="11">
                  <c:v>21.015471663135596</c:v>
                </c:pt>
                <c:pt idx="12">
                  <c:v>21.620579590395483</c:v>
                </c:pt>
                <c:pt idx="13">
                  <c:v>22.118788435734462</c:v>
                </c:pt>
                <c:pt idx="14">
                  <c:v>21.794715060028256</c:v>
                </c:pt>
                <c:pt idx="15">
                  <c:v>22.830235034258926</c:v>
                </c:pt>
                <c:pt idx="16">
                  <c:v>23.624326694915254</c:v>
                </c:pt>
                <c:pt idx="17">
                  <c:v>23.976714424435027</c:v>
                </c:pt>
                <c:pt idx="18">
                  <c:v>23.829813400423721</c:v>
                </c:pt>
                <c:pt idx="19">
                  <c:v>23.137908898305085</c:v>
                </c:pt>
                <c:pt idx="20">
                  <c:v>22.683335293079097</c:v>
                </c:pt>
                <c:pt idx="21">
                  <c:v>22.356956903248587</c:v>
                </c:pt>
                <c:pt idx="22">
                  <c:v>20.76457630649718</c:v>
                </c:pt>
                <c:pt idx="23">
                  <c:v>20.742444456214695</c:v>
                </c:pt>
                <c:pt idx="24">
                  <c:v>20.326332079802263</c:v>
                </c:pt>
                <c:pt idx="25">
                  <c:v>20.574010240112987</c:v>
                </c:pt>
                <c:pt idx="26">
                  <c:v>21.554425794491532</c:v>
                </c:pt>
                <c:pt idx="27">
                  <c:v>22.689996027542367</c:v>
                </c:pt>
                <c:pt idx="28">
                  <c:v>22.351680225988698</c:v>
                </c:pt>
                <c:pt idx="29">
                  <c:v>22.243410240112997</c:v>
                </c:pt>
                <c:pt idx="30">
                  <c:v>22.578456338276837</c:v>
                </c:pt>
                <c:pt idx="31">
                  <c:v>22.213755084745756</c:v>
                </c:pt>
                <c:pt idx="32">
                  <c:v>22.68577123940678</c:v>
                </c:pt>
                <c:pt idx="33" formatCode="0.0">
                  <c:v>23.448145409604518</c:v>
                </c:pt>
                <c:pt idx="34" formatCode="0.0">
                  <c:v>23.748115360169489</c:v>
                </c:pt>
                <c:pt idx="35" formatCode="0.0">
                  <c:v>24.463947899011291</c:v>
                </c:pt>
                <c:pt idx="36" formatCode="0.0">
                  <c:v>25.278140448446326</c:v>
                </c:pt>
                <c:pt idx="37" formatCode="0.0">
                  <c:v>25.718528689971748</c:v>
                </c:pt>
                <c:pt idx="38" formatCode="0.0">
                  <c:v>26.158668820621461</c:v>
                </c:pt>
                <c:pt idx="39" formatCode="0.0">
                  <c:v>27.104288771186457</c:v>
                </c:pt>
                <c:pt idx="40" formatCode="0.0">
                  <c:v>27.026956267655365</c:v>
                </c:pt>
                <c:pt idx="41" formatCode="0.0">
                  <c:v>27.413123322740123</c:v>
                </c:pt>
                <c:pt idx="42" formatCode="0.0">
                  <c:v>26.944505137711857</c:v>
                </c:pt>
                <c:pt idx="43" formatCode="0.0">
                  <c:v>26.019584163135594</c:v>
                </c:pt>
                <c:pt idx="44" formatCode="0.0">
                  <c:v>26.229774523305085</c:v>
                </c:pt>
                <c:pt idx="45" formatCode="0.0">
                  <c:v>26.564507574152554</c:v>
                </c:pt>
                <c:pt idx="46" formatCode="0.0">
                  <c:v>26.47003513418079</c:v>
                </c:pt>
                <c:pt idx="47" formatCode="0.0">
                  <c:v>26.497540960451971</c:v>
                </c:pt>
                <c:pt idx="48" formatCode="0.0">
                  <c:v>26.591202966101694</c:v>
                </c:pt>
                <c:pt idx="49" formatCode="0.0">
                  <c:v>26.859329749293781</c:v>
                </c:pt>
                <c:pt idx="50" formatCode="0.0">
                  <c:v>27.075861935028247</c:v>
                </c:pt>
                <c:pt idx="51" formatCode="0.0">
                  <c:v>27.950672387005643</c:v>
                </c:pt>
                <c:pt idx="52" formatCode="0.0">
                  <c:v>28.41610951624293</c:v>
                </c:pt>
                <c:pt idx="53" formatCode="0.0">
                  <c:v>28.492439636299427</c:v>
                </c:pt>
                <c:pt idx="54" formatCode="0.0">
                  <c:v>28.609664724576266</c:v>
                </c:pt>
                <c:pt idx="55" formatCode="0.0">
                  <c:v>28.423466543079098</c:v>
                </c:pt>
                <c:pt idx="56" formatCode="0.0">
                  <c:v>28.257603672316382</c:v>
                </c:pt>
                <c:pt idx="57" formatCode="0.0">
                  <c:v>28.606059004237295</c:v>
                </c:pt>
                <c:pt idx="58" formatCode="0.0">
                  <c:v>27.474293538135598</c:v>
                </c:pt>
                <c:pt idx="59" formatCode="0.0">
                  <c:v>26.84693479872881</c:v>
                </c:pt>
                <c:pt idx="60" formatCode="0.0">
                  <c:v>27.9538480579096</c:v>
                </c:pt>
                <c:pt idx="61" formatCode="0.0">
                  <c:v>28.91715790960453</c:v>
                </c:pt>
                <c:pt idx="62" formatCode="0.0">
                  <c:v>29.134934427966101</c:v>
                </c:pt>
                <c:pt idx="63" formatCode="0.0">
                  <c:v>29.3817543608757</c:v>
                </c:pt>
                <c:pt idx="64" formatCode="0.0">
                  <c:v>29.364823587570616</c:v>
                </c:pt>
                <c:pt idx="65" formatCode="0.0">
                  <c:v>29.779257856638413</c:v>
                </c:pt>
                <c:pt idx="66" formatCode="0.0">
                  <c:v>29.561699205508464</c:v>
                </c:pt>
                <c:pt idx="67" formatCode="0.0">
                  <c:v>29.034083192090392</c:v>
                </c:pt>
                <c:pt idx="68" formatCode="0.0">
                  <c:v>29.262782874293787</c:v>
                </c:pt>
                <c:pt idx="69" formatCode="0.0">
                  <c:v>29.826120586158197</c:v>
                </c:pt>
                <c:pt idx="70" formatCode="0.0">
                  <c:v>29.39187886652542</c:v>
                </c:pt>
                <c:pt idx="71" formatCode="0.0">
                  <c:v>29.261304502118652</c:v>
                </c:pt>
                <c:pt idx="72" formatCode="0.0">
                  <c:v>29.104384427966096</c:v>
                </c:pt>
                <c:pt idx="73" formatCode="0.0">
                  <c:v>29.496274346751406</c:v>
                </c:pt>
                <c:pt idx="74" formatCode="0.0">
                  <c:v>29.953375494350283</c:v>
                </c:pt>
                <c:pt idx="75" formatCode="0.0">
                  <c:v>30.118736882062151</c:v>
                </c:pt>
                <c:pt idx="76" formatCode="0.0">
                  <c:v>30.08386117584746</c:v>
                </c:pt>
                <c:pt idx="77" formatCode="0.0">
                  <c:v>30.07716627824858</c:v>
                </c:pt>
                <c:pt idx="78" formatCode="0.0">
                  <c:v>29.486704078389838</c:v>
                </c:pt>
                <c:pt idx="79" formatCode="0.0">
                  <c:v>29.18293052612994</c:v>
                </c:pt>
                <c:pt idx="80" formatCode="0.0">
                  <c:v>29.408458509887001</c:v>
                </c:pt>
                <c:pt idx="90" formatCode="0.0">
                  <c:v>27.917702771892646</c:v>
                </c:pt>
                <c:pt idx="91" formatCode="0.0">
                  <c:v>28.804793255649709</c:v>
                </c:pt>
                <c:pt idx="92" formatCode="0.0">
                  <c:v>28.983020727401126</c:v>
                </c:pt>
                <c:pt idx="93" formatCode="0.0">
                  <c:v>28.900838418079108</c:v>
                </c:pt>
                <c:pt idx="94" formatCode="0.0">
                  <c:v>28.681478142655376</c:v>
                </c:pt>
                <c:pt idx="95" formatCode="0.0">
                  <c:v>28.476218555790968</c:v>
                </c:pt>
                <c:pt idx="96" formatCode="0.0">
                  <c:v>29.174818273305089</c:v>
                </c:pt>
                <c:pt idx="97" formatCode="0.0">
                  <c:v>29.728270709745754</c:v>
                </c:pt>
                <c:pt idx="98" formatCode="0.0">
                  <c:v>29.364201182909596</c:v>
                </c:pt>
                <c:pt idx="99" formatCode="0.0">
                  <c:v>28.969193326271199</c:v>
                </c:pt>
                <c:pt idx="100" formatCode="0.0">
                  <c:v>28.496781744350276</c:v>
                </c:pt>
                <c:pt idx="101" formatCode="0.0">
                  <c:v>28.076736475988699</c:v>
                </c:pt>
                <c:pt idx="102" formatCode="0.0">
                  <c:v>28.441084887005655</c:v>
                </c:pt>
                <c:pt idx="103" formatCode="0.0">
                  <c:v>28.669546557203393</c:v>
                </c:pt>
                <c:pt idx="104" formatCode="0.0">
                  <c:v>29.232839971751417</c:v>
                </c:pt>
                <c:pt idx="105" formatCode="0.0">
                  <c:v>29.91510653248589</c:v>
                </c:pt>
                <c:pt idx="106" formatCode="0.0">
                  <c:v>29.290113930084754</c:v>
                </c:pt>
                <c:pt idx="107" formatCode="0.0">
                  <c:v>28.951728213276827</c:v>
                </c:pt>
                <c:pt idx="108" formatCode="0.0">
                  <c:v>29.75676502471752</c:v>
                </c:pt>
                <c:pt idx="109" formatCode="0.0">
                  <c:v>30.638260540254233</c:v>
                </c:pt>
                <c:pt idx="110" formatCode="0.0">
                  <c:v>30.199753495762707</c:v>
                </c:pt>
                <c:pt idx="111" formatCode="0.0">
                  <c:v>29.364632556497174</c:v>
                </c:pt>
                <c:pt idx="112" formatCode="0.0">
                  <c:v>30.133132044491518</c:v>
                </c:pt>
                <c:pt idx="113" formatCode="0.0">
                  <c:v>30.845555367231626</c:v>
                </c:pt>
                <c:pt idx="114" formatCode="0.0">
                  <c:v>31.208506762005641</c:v>
                </c:pt>
                <c:pt idx="115" formatCode="0.0">
                  <c:v>31.016070304392954</c:v>
                </c:pt>
                <c:pt idx="116" formatCode="0.0">
                  <c:v>31.204350865113</c:v>
                </c:pt>
                <c:pt idx="117" formatCode="0.0">
                  <c:v>31.485812252824857</c:v>
                </c:pt>
                <c:pt idx="118" formatCode="0.0">
                  <c:v>31.347273446327691</c:v>
                </c:pt>
                <c:pt idx="119" formatCode="0.0">
                  <c:v>30.83613257415254</c:v>
                </c:pt>
                <c:pt idx="120" formatCode="0.0">
                  <c:v>31.046675723870067</c:v>
                </c:pt>
                <c:pt idx="121" formatCode="0.0">
                  <c:v>31.318062817796616</c:v>
                </c:pt>
                <c:pt idx="122" formatCode="0.0">
                  <c:v>31.492366860875705</c:v>
                </c:pt>
                <c:pt idx="123" formatCode="0.0">
                  <c:v>30.28947957274011</c:v>
                </c:pt>
                <c:pt idx="124" formatCode="0.0">
                  <c:v>29.978338294491522</c:v>
                </c:pt>
                <c:pt idx="125" formatCode="0.0">
                  <c:v>29.867481320621476</c:v>
                </c:pt>
                <c:pt idx="126" formatCode="0.0">
                  <c:v>29.081465360169485</c:v>
                </c:pt>
                <c:pt idx="127" formatCode="0.0">
                  <c:v>27.591621168785309</c:v>
                </c:pt>
                <c:pt idx="128" formatCode="0.0">
                  <c:v>27.151522122175148</c:v>
                </c:pt>
                <c:pt idx="129" formatCode="0.0">
                  <c:v>28.270281373587576</c:v>
                </c:pt>
                <c:pt idx="130" formatCode="0.0">
                  <c:v>28.388860540254239</c:v>
                </c:pt>
                <c:pt idx="131" formatCode="0.0">
                  <c:v>28.639444120762722</c:v>
                </c:pt>
                <c:pt idx="132" formatCode="0.0">
                  <c:v>28.80523096751412</c:v>
                </c:pt>
                <c:pt idx="133" formatCode="0.0">
                  <c:v>28.098648287429373</c:v>
                </c:pt>
                <c:pt idx="134" formatCode="0.0">
                  <c:v>27.54423185028249</c:v>
                </c:pt>
                <c:pt idx="135" formatCode="0.0">
                  <c:v>27.310160822740126</c:v>
                </c:pt>
                <c:pt idx="136" formatCode="0.0">
                  <c:v>27.521582274011291</c:v>
                </c:pt>
                <c:pt idx="137" formatCode="0.0">
                  <c:v>28.046515766242933</c:v>
                </c:pt>
                <c:pt idx="138" formatCode="0.0">
                  <c:v>28.701362040960451</c:v>
                </c:pt>
                <c:pt idx="139" formatCode="0.0">
                  <c:v>29.020922994924305</c:v>
                </c:pt>
                <c:pt idx="140" formatCode="0.0">
                  <c:v>28.847406763178981</c:v>
                </c:pt>
                <c:pt idx="141" formatCode="0.0">
                  <c:v>28.690124187853119</c:v>
                </c:pt>
                <c:pt idx="142" formatCode="0.0">
                  <c:v>29.459023463983048</c:v>
                </c:pt>
                <c:pt idx="143" formatCode="0.0">
                  <c:v>29.394489383817227</c:v>
                </c:pt>
                <c:pt idx="144" formatCode="0.0">
                  <c:v>29.420035372528247</c:v>
                </c:pt>
                <c:pt idx="145" formatCode="0.0">
                  <c:v>30.002858598386368</c:v>
                </c:pt>
                <c:pt idx="146" formatCode="0.0">
                  <c:v>30.748704933238944</c:v>
                </c:pt>
                <c:pt idx="147" formatCode="0.0">
                  <c:v>30.648181216133768</c:v>
                </c:pt>
                <c:pt idx="148" formatCode="0.0">
                  <c:v>30.329195710298208</c:v>
                </c:pt>
                <c:pt idx="149" formatCode="0.0">
                  <c:v>30.597447587364044</c:v>
                </c:pt>
                <c:pt idx="150" formatCode="0.0">
                  <c:v>30.27266307038116</c:v>
                </c:pt>
                <c:pt idx="151" formatCode="0.0">
                  <c:v>29.960070974576279</c:v>
                </c:pt>
                <c:pt idx="152" formatCode="0.0">
                  <c:v>29.773425017655367</c:v>
                </c:pt>
                <c:pt idx="153" formatCode="0.0">
                  <c:v>29.975013418079097</c:v>
                </c:pt>
                <c:pt idx="154" formatCode="0.0">
                  <c:v>30.168020162429382</c:v>
                </c:pt>
                <c:pt idx="155" formatCode="0.0">
                  <c:v>29.562965589689259</c:v>
                </c:pt>
                <c:pt idx="156" formatCode="0.0">
                  <c:v>29.433320444915257</c:v>
                </c:pt>
                <c:pt idx="157" formatCode="0.0">
                  <c:v>29.772042778954802</c:v>
                </c:pt>
                <c:pt idx="158" formatCode="0.0">
                  <c:v>29.673319913778041</c:v>
                </c:pt>
                <c:pt idx="159" formatCode="0.0">
                  <c:v>29.11028167372881</c:v>
                </c:pt>
                <c:pt idx="160" formatCode="0.0">
                  <c:v>28.588288435734459</c:v>
                </c:pt>
                <c:pt idx="161" formatCode="0.0">
                  <c:v>28.864991225282484</c:v>
                </c:pt>
                <c:pt idx="162" formatCode="0.0">
                  <c:v>28.123880508474571</c:v>
                </c:pt>
                <c:pt idx="163" formatCode="0.0">
                  <c:v>27.45569500353108</c:v>
                </c:pt>
                <c:pt idx="164" formatCode="0.0">
                  <c:v>27.617700353107363</c:v>
                </c:pt>
                <c:pt idx="165" formatCode="0.0">
                  <c:v>27.604770639124293</c:v>
                </c:pt>
                <c:pt idx="166" formatCode="0.0">
                  <c:v>28.029073313732276</c:v>
                </c:pt>
                <c:pt idx="167" formatCode="0.0">
                  <c:v>28.25094664548023</c:v>
                </c:pt>
                <c:pt idx="168" formatCode="0.0">
                  <c:v>27.722236370056493</c:v>
                </c:pt>
                <c:pt idx="169" formatCode="0.0">
                  <c:v>27.272453460451985</c:v>
                </c:pt>
                <c:pt idx="170" formatCode="0.0">
                  <c:v>26.894583668785312</c:v>
                </c:pt>
                <c:pt idx="171" formatCode="0.0">
                  <c:v>26.890722687146901</c:v>
                </c:pt>
              </c:numCache>
            </c:numRef>
          </c:yVal>
          <c:smooth val="0"/>
          <c:extLst>
            <c:ext xmlns:c16="http://schemas.microsoft.com/office/drawing/2014/chart" uri="{C3380CC4-5D6E-409C-BE32-E72D297353CC}">
              <c16:uniqueId val="{00000001-403D-4241-8DF5-3114C4690F8E}"/>
            </c:ext>
          </c:extLst>
        </c:ser>
        <c:ser>
          <c:idx val="2"/>
          <c:order val="2"/>
          <c:spPr>
            <a:ln w="28575">
              <a:noFill/>
            </a:ln>
          </c:spPr>
          <c:marker>
            <c:symbol val="triangle"/>
            <c:size val="5"/>
          </c:marker>
          <c:xVal>
            <c:numRef>
              <c:f>F_3!$L$2:$L$41</c:f>
              <c:numCache>
                <c:formatCode>[$-409]d\-mmm;@</c:formatCode>
                <c:ptCount val="4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pt idx="20">
                  <c:v>41381</c:v>
                </c:pt>
                <c:pt idx="21">
                  <c:v>41388</c:v>
                </c:pt>
                <c:pt idx="22">
                  <c:v>41395</c:v>
                </c:pt>
                <c:pt idx="23">
                  <c:v>41403</c:v>
                </c:pt>
                <c:pt idx="24">
                  <c:v>41409</c:v>
                </c:pt>
                <c:pt idx="25">
                  <c:v>41416</c:v>
                </c:pt>
                <c:pt idx="26">
                  <c:v>41423</c:v>
                </c:pt>
                <c:pt idx="27">
                  <c:v>41430</c:v>
                </c:pt>
                <c:pt idx="28">
                  <c:v>41437</c:v>
                </c:pt>
                <c:pt idx="29">
                  <c:v>41444</c:v>
                </c:pt>
                <c:pt idx="30">
                  <c:v>41451</c:v>
                </c:pt>
                <c:pt idx="31">
                  <c:v>41472</c:v>
                </c:pt>
                <c:pt idx="32">
                  <c:v>41479</c:v>
                </c:pt>
                <c:pt idx="33">
                  <c:v>41486</c:v>
                </c:pt>
                <c:pt idx="34">
                  <c:v>41493</c:v>
                </c:pt>
                <c:pt idx="35">
                  <c:v>41500</c:v>
                </c:pt>
                <c:pt idx="36">
                  <c:v>41507</c:v>
                </c:pt>
                <c:pt idx="37">
                  <c:v>41521</c:v>
                </c:pt>
                <c:pt idx="38">
                  <c:v>41528</c:v>
                </c:pt>
                <c:pt idx="39">
                  <c:v>41542</c:v>
                </c:pt>
              </c:numCache>
            </c:numRef>
          </c:xVal>
          <c:yVal>
            <c:numRef>
              <c:f>F_3!$M$2:$M$41</c:f>
              <c:numCache>
                <c:formatCode>General</c:formatCode>
                <c:ptCount val="40"/>
                <c:pt idx="0">
                  <c:v>32.5</c:v>
                </c:pt>
                <c:pt idx="1">
                  <c:v>32.5</c:v>
                </c:pt>
                <c:pt idx="2">
                  <c:v>32.5</c:v>
                </c:pt>
                <c:pt idx="3">
                  <c:v>32.5</c:v>
                </c:pt>
                <c:pt idx="4">
                  <c:v>32.5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pt idx="19">
                  <c:v>32.5</c:v>
                </c:pt>
                <c:pt idx="20">
                  <c:v>32.5</c:v>
                </c:pt>
                <c:pt idx="21">
                  <c:v>32.5</c:v>
                </c:pt>
                <c:pt idx="22">
                  <c:v>32.5</c:v>
                </c:pt>
                <c:pt idx="23">
                  <c:v>32.5</c:v>
                </c:pt>
                <c:pt idx="24">
                  <c:v>32.5</c:v>
                </c:pt>
                <c:pt idx="25">
                  <c:v>32.5</c:v>
                </c:pt>
                <c:pt idx="26">
                  <c:v>32.5</c:v>
                </c:pt>
                <c:pt idx="27">
                  <c:v>32.5</c:v>
                </c:pt>
                <c:pt idx="28">
                  <c:v>32.5</c:v>
                </c:pt>
                <c:pt idx="29">
                  <c:v>32.5</c:v>
                </c:pt>
                <c:pt idx="30">
                  <c:v>32.5</c:v>
                </c:pt>
                <c:pt idx="31">
                  <c:v>32.5</c:v>
                </c:pt>
                <c:pt idx="32">
                  <c:v>32.5</c:v>
                </c:pt>
                <c:pt idx="33">
                  <c:v>32.5</c:v>
                </c:pt>
                <c:pt idx="34">
                  <c:v>32.5</c:v>
                </c:pt>
                <c:pt idx="35">
                  <c:v>32.5</c:v>
                </c:pt>
                <c:pt idx="36">
                  <c:v>32.5</c:v>
                </c:pt>
                <c:pt idx="37">
                  <c:v>32.5</c:v>
                </c:pt>
                <c:pt idx="38">
                  <c:v>32.5</c:v>
                </c:pt>
                <c:pt idx="39">
                  <c:v>32.5</c:v>
                </c:pt>
              </c:numCache>
            </c:numRef>
          </c:yVal>
          <c:smooth val="0"/>
          <c:extLst>
            <c:ext xmlns:c16="http://schemas.microsoft.com/office/drawing/2014/chart" uri="{C3380CC4-5D6E-409C-BE32-E72D297353CC}">
              <c16:uniqueId val="{00000002-403D-4241-8DF5-3114C4690F8E}"/>
            </c:ext>
          </c:extLst>
        </c:ser>
        <c:dLbls>
          <c:showLegendKey val="0"/>
          <c:showVal val="0"/>
          <c:showCatName val="0"/>
          <c:showSerName val="0"/>
          <c:showPercent val="0"/>
          <c:showBubbleSize val="0"/>
        </c:dLbls>
        <c:axId val="266297096"/>
        <c:axId val="263335128"/>
      </c:scatterChart>
      <c:valAx>
        <c:axId val="266297096"/>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5128"/>
        <c:crosses val="autoZero"/>
        <c:crossBetween val="midCat"/>
        <c:majorUnit val="30.6"/>
      </c:valAx>
      <c:valAx>
        <c:axId val="263335128"/>
        <c:scaling>
          <c:orientation val="minMax"/>
          <c:max val="32.5"/>
          <c:min val="20"/>
        </c:scaling>
        <c:delete val="0"/>
        <c:axPos val="l"/>
        <c:title>
          <c:tx>
            <c:rich>
              <a:bodyPr/>
              <a:lstStyle/>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Temperature</a:t>
                </a:r>
              </a:p>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(°C)</a:t>
                </a:r>
              </a:p>
            </c:rich>
          </c:tx>
          <c:layout>
            <c:manualLayout>
              <c:xMode val="edge"/>
              <c:yMode val="edge"/>
              <c:x val="9.7357830271216101E-3"/>
              <c:y val="0.2324566614801892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6297096"/>
        <c:crosses val="autoZero"/>
        <c:crossBetween val="midCat"/>
        <c:majorUnit val="5"/>
      </c:valAx>
      <c:spPr>
        <a:noFill/>
        <a:ln w="25400">
          <a:noFill/>
        </a:ln>
      </c:spPr>
    </c:plotArea>
    <c:legend>
      <c:legendPos val="r"/>
      <c:legendEntry>
        <c:idx val="2"/>
        <c:delete val="1"/>
      </c:legendEntry>
      <c:layout>
        <c:manualLayout>
          <c:xMode val="edge"/>
          <c:yMode val="edge"/>
          <c:x val="0.80158846810815321"/>
          <c:y val="0.42514970059880242"/>
          <c:w val="0.13809540474107407"/>
          <c:h val="0.28742514970059885"/>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94449766184515"/>
          <c:y val="0.10091760072077598"/>
          <c:w val="0.80972249678632868"/>
          <c:h val="0.65596440468504613"/>
        </c:manualLayout>
      </c:layout>
      <c:scatterChart>
        <c:scatterStyle val="lineMarker"/>
        <c:varyColors val="0"/>
        <c:ser>
          <c:idx val="4"/>
          <c:order val="0"/>
          <c:tx>
            <c:v>Shoal</c:v>
          </c:tx>
          <c:spPr>
            <a:ln w="3175">
              <a:solidFill>
                <a:srgbClr val="000000"/>
              </a:solidFill>
              <a:prstDash val="solid"/>
            </a:ln>
          </c:spPr>
          <c:marker>
            <c:symbol val="circle"/>
            <c:size val="2"/>
            <c:spPr>
              <a:solidFill>
                <a:srgbClr val="FFFFFF"/>
              </a:solidFill>
              <a:ln>
                <a:solidFill>
                  <a:srgbClr val="000000"/>
                </a:solidFill>
                <a:prstDash val="solid"/>
              </a:ln>
            </c:spPr>
          </c:marker>
          <c:xVal>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'SP01'!$AD$3:$AD$176</c:f>
              <c:numCache>
                <c:formatCode>0.00</c:formatCode>
                <c:ptCount val="174"/>
                <c:pt idx="0">
                  <c:v>0.23069999999999999</c:v>
                </c:pt>
                <c:pt idx="1">
                  <c:v>0.39219999999999999</c:v>
                </c:pt>
                <c:pt idx="2">
                  <c:v>0.40710000000000002</c:v>
                </c:pt>
                <c:pt idx="3">
                  <c:v>0.3881</c:v>
                </c:pt>
                <c:pt idx="4">
                  <c:v>0.37219999999999998</c:v>
                </c:pt>
                <c:pt idx="5">
                  <c:v>0.29360000000000003</c:v>
                </c:pt>
                <c:pt idx="6">
                  <c:v>0.26979999999999998</c:v>
                </c:pt>
                <c:pt idx="7">
                  <c:v>0.29420000000000002</c:v>
                </c:pt>
                <c:pt idx="8">
                  <c:v>0.14710000000000001</c:v>
                </c:pt>
                <c:pt idx="9">
                  <c:v>0.14019999999999999</c:v>
                </c:pt>
                <c:pt idx="10">
                  <c:v>0.1605</c:v>
                </c:pt>
                <c:pt idx="11">
                  <c:v>0.2702</c:v>
                </c:pt>
                <c:pt idx="12">
                  <c:v>0.38529999999999998</c:v>
                </c:pt>
                <c:pt idx="13">
                  <c:v>0.37269999999999998</c:v>
                </c:pt>
                <c:pt idx="14">
                  <c:v>0.51439999999999997</c:v>
                </c:pt>
                <c:pt idx="15">
                  <c:v>0.54079999999999995</c:v>
                </c:pt>
                <c:pt idx="16">
                  <c:v>0.50580000000000003</c:v>
                </c:pt>
                <c:pt idx="17">
                  <c:v>0.48709999999999998</c:v>
                </c:pt>
                <c:pt idx="18">
                  <c:v>0.43540000000000001</c:v>
                </c:pt>
                <c:pt idx="19">
                  <c:v>0.36080000000000001</c:v>
                </c:pt>
                <c:pt idx="20">
                  <c:v>0.29709999999999998</c:v>
                </c:pt>
                <c:pt idx="21">
                  <c:v>0.30709999999999998</c:v>
                </c:pt>
                <c:pt idx="22">
                  <c:v>0.1076</c:v>
                </c:pt>
                <c:pt idx="23">
                  <c:v>0.2137</c:v>
                </c:pt>
                <c:pt idx="24">
                  <c:v>0.28320000000000001</c:v>
                </c:pt>
                <c:pt idx="25">
                  <c:v>0.30880000000000002</c:v>
                </c:pt>
                <c:pt idx="26">
                  <c:v>0.42020000000000002</c:v>
                </c:pt>
                <c:pt idx="27">
                  <c:v>0.34889999999999999</c:v>
                </c:pt>
                <c:pt idx="28">
                  <c:v>0.57369999999999999</c:v>
                </c:pt>
                <c:pt idx="29">
                  <c:v>0.51170000000000004</c:v>
                </c:pt>
                <c:pt idx="30">
                  <c:v>0.44419999999999998</c:v>
                </c:pt>
                <c:pt idx="31">
                  <c:v>0.47020000000000001</c:v>
                </c:pt>
                <c:pt idx="32">
                  <c:v>0.42559999999999998</c:v>
                </c:pt>
                <c:pt idx="33">
                  <c:v>0.46739999999999998</c:v>
                </c:pt>
                <c:pt idx="34">
                  <c:v>0.26469999999999999</c:v>
                </c:pt>
                <c:pt idx="35">
                  <c:v>0.24809999999999999</c:v>
                </c:pt>
                <c:pt idx="36">
                  <c:v>0.1678</c:v>
                </c:pt>
                <c:pt idx="37">
                  <c:v>0.13109999999999999</c:v>
                </c:pt>
                <c:pt idx="38">
                  <c:v>0.2424</c:v>
                </c:pt>
                <c:pt idx="39">
                  <c:v>0.31319999999999998</c:v>
                </c:pt>
                <c:pt idx="40">
                  <c:v>0.42680000000000001</c:v>
                </c:pt>
                <c:pt idx="41">
                  <c:v>0.52100000000000002</c:v>
                </c:pt>
                <c:pt idx="42">
                  <c:v>0.55030000000000001</c:v>
                </c:pt>
                <c:pt idx="43">
                  <c:v>0.56559999999999999</c:v>
                </c:pt>
                <c:pt idx="44">
                  <c:v>0.58150000000000002</c:v>
                </c:pt>
                <c:pt idx="45">
                  <c:v>0.57389999999999997</c:v>
                </c:pt>
                <c:pt idx="46">
                  <c:v>0.46360000000000001</c:v>
                </c:pt>
                <c:pt idx="47">
                  <c:v>0.3705</c:v>
                </c:pt>
                <c:pt idx="48">
                  <c:v>0.30470000000000003</c:v>
                </c:pt>
                <c:pt idx="49">
                  <c:v>0.14760000000000001</c:v>
                </c:pt>
                <c:pt idx="50">
                  <c:v>0.1734</c:v>
                </c:pt>
                <c:pt idx="51">
                  <c:v>0.21529999999999999</c:v>
                </c:pt>
                <c:pt idx="52">
                  <c:v>0.35799999999999998</c:v>
                </c:pt>
                <c:pt idx="53">
                  <c:v>0.36320000000000002</c:v>
                </c:pt>
                <c:pt idx="54">
                  <c:v>0.39860000000000001</c:v>
                </c:pt>
                <c:pt idx="55">
                  <c:v>0.42099999999999999</c:v>
                </c:pt>
                <c:pt idx="56">
                  <c:v>0.52949999999999997</c:v>
                </c:pt>
                <c:pt idx="57">
                  <c:v>0.49120000000000003</c:v>
                </c:pt>
                <c:pt idx="58">
                  <c:v>0.49559999999999998</c:v>
                </c:pt>
                <c:pt idx="59">
                  <c:v>0.49409999999999998</c:v>
                </c:pt>
                <c:pt idx="60">
                  <c:v>0.42420000000000002</c:v>
                </c:pt>
                <c:pt idx="61">
                  <c:v>0.39529999999999998</c:v>
                </c:pt>
                <c:pt idx="62">
                  <c:v>0.3352</c:v>
                </c:pt>
                <c:pt idx="63">
                  <c:v>0.25309999999999999</c:v>
                </c:pt>
                <c:pt idx="64">
                  <c:v>0.1452</c:v>
                </c:pt>
                <c:pt idx="65">
                  <c:v>0.2225</c:v>
                </c:pt>
                <c:pt idx="66">
                  <c:v>0.20760000000000001</c:v>
                </c:pt>
                <c:pt idx="67">
                  <c:v>0.40039999999999998</c:v>
                </c:pt>
                <c:pt idx="68">
                  <c:v>0.42720000000000002</c:v>
                </c:pt>
                <c:pt idx="69">
                  <c:v>0.50880000000000003</c:v>
                </c:pt>
                <c:pt idx="70">
                  <c:v>0.5141</c:v>
                </c:pt>
                <c:pt idx="71">
                  <c:v>0.57850000000000001</c:v>
                </c:pt>
                <c:pt idx="72">
                  <c:v>0.62860000000000005</c:v>
                </c:pt>
                <c:pt idx="73">
                  <c:v>0.5706</c:v>
                </c:pt>
                <c:pt idx="74">
                  <c:v>0.53090000000000004</c:v>
                </c:pt>
                <c:pt idx="75">
                  <c:v>0.4103</c:v>
                </c:pt>
                <c:pt idx="76">
                  <c:v>0.24540000000000001</c:v>
                </c:pt>
                <c:pt idx="77">
                  <c:v>0.1971</c:v>
                </c:pt>
                <c:pt idx="78">
                  <c:v>0.13420000000000001</c:v>
                </c:pt>
                <c:pt idx="79">
                  <c:v>0.27689999999999998</c:v>
                </c:pt>
                <c:pt idx="80">
                  <c:v>0.29509999999999997</c:v>
                </c:pt>
                <c:pt idx="89">
                  <c:v>0.21290000000000001</c:v>
                </c:pt>
                <c:pt idx="90">
                  <c:v>0.36149999999999999</c:v>
                </c:pt>
                <c:pt idx="91">
                  <c:v>0.26200000000000001</c:v>
                </c:pt>
                <c:pt idx="92">
                  <c:v>0.1988</c:v>
                </c:pt>
                <c:pt idx="93">
                  <c:v>0.1968</c:v>
                </c:pt>
                <c:pt idx="94">
                  <c:v>0.19320000000000001</c:v>
                </c:pt>
                <c:pt idx="95">
                  <c:v>0.2273</c:v>
                </c:pt>
                <c:pt idx="96">
                  <c:v>0.373</c:v>
                </c:pt>
                <c:pt idx="97">
                  <c:v>0.4546</c:v>
                </c:pt>
                <c:pt idx="98">
                  <c:v>0.53139999999999998</c:v>
                </c:pt>
                <c:pt idx="99">
                  <c:v>0.56679999999999997</c:v>
                </c:pt>
                <c:pt idx="100">
                  <c:v>0.57630000000000003</c:v>
                </c:pt>
                <c:pt idx="101">
                  <c:v>0.63139999999999996</c:v>
                </c:pt>
                <c:pt idx="102">
                  <c:v>0.51029999999999998</c:v>
                </c:pt>
                <c:pt idx="103">
                  <c:v>0.39140000000000003</c:v>
                </c:pt>
                <c:pt idx="104">
                  <c:v>0.2447</c:v>
                </c:pt>
                <c:pt idx="105">
                  <c:v>0.14199999999999999</c:v>
                </c:pt>
                <c:pt idx="106">
                  <c:v>0.1953</c:v>
                </c:pt>
                <c:pt idx="107">
                  <c:v>0.22409999999999999</c:v>
                </c:pt>
                <c:pt idx="108">
                  <c:v>0.311</c:v>
                </c:pt>
                <c:pt idx="109">
                  <c:v>0.36809999999999998</c:v>
                </c:pt>
                <c:pt idx="110">
                  <c:v>0.39589999999999997</c:v>
                </c:pt>
                <c:pt idx="111">
                  <c:v>0.42509999999999998</c:v>
                </c:pt>
                <c:pt idx="112">
                  <c:v>0.4</c:v>
                </c:pt>
                <c:pt idx="113">
                  <c:v>0.44629999999999997</c:v>
                </c:pt>
                <c:pt idx="114">
                  <c:v>0.38119999999999998</c:v>
                </c:pt>
                <c:pt idx="115">
                  <c:v>0.42980000000000002</c:v>
                </c:pt>
                <c:pt idx="116">
                  <c:v>0.36799999999999999</c:v>
                </c:pt>
                <c:pt idx="117">
                  <c:v>0.28149999999999997</c:v>
                </c:pt>
                <c:pt idx="118">
                  <c:v>0.21440000000000001</c:v>
                </c:pt>
                <c:pt idx="119">
                  <c:v>0.14760000000000001</c:v>
                </c:pt>
                <c:pt idx="120">
                  <c:v>0.15690000000000001</c:v>
                </c:pt>
                <c:pt idx="121">
                  <c:v>0.15490000000000001</c:v>
                </c:pt>
                <c:pt idx="122">
                  <c:v>0.17319999999999999</c:v>
                </c:pt>
                <c:pt idx="123">
                  <c:v>0.33250000000000002</c:v>
                </c:pt>
                <c:pt idx="124">
                  <c:v>0.39800000000000002</c:v>
                </c:pt>
                <c:pt idx="125">
                  <c:v>0.46829999999999999</c:v>
                </c:pt>
                <c:pt idx="126">
                  <c:v>0.47899999999999998</c:v>
                </c:pt>
                <c:pt idx="127">
                  <c:v>0.49220000000000003</c:v>
                </c:pt>
                <c:pt idx="128">
                  <c:v>0.51359999999999995</c:v>
                </c:pt>
                <c:pt idx="129">
                  <c:v>0.45529999999999998</c:v>
                </c:pt>
                <c:pt idx="130">
                  <c:v>0.41249999999999998</c:v>
                </c:pt>
                <c:pt idx="131">
                  <c:v>0.31809999999999999</c:v>
                </c:pt>
                <c:pt idx="132">
                  <c:v>0.16689999999999999</c:v>
                </c:pt>
                <c:pt idx="133">
                  <c:v>0.14949999999999999</c:v>
                </c:pt>
                <c:pt idx="134">
                  <c:v>0.14369999999999999</c:v>
                </c:pt>
                <c:pt idx="135">
                  <c:v>0.2273</c:v>
                </c:pt>
                <c:pt idx="136">
                  <c:v>0.21859999999999999</c:v>
                </c:pt>
                <c:pt idx="137">
                  <c:v>0.27460000000000001</c:v>
                </c:pt>
                <c:pt idx="138">
                  <c:v>0.34200000000000003</c:v>
                </c:pt>
                <c:pt idx="139">
                  <c:v>0.39900000000000002</c:v>
                </c:pt>
                <c:pt idx="140">
                  <c:v>0.40560000000000002</c:v>
                </c:pt>
                <c:pt idx="141">
                  <c:v>0.378</c:v>
                </c:pt>
                <c:pt idx="142">
                  <c:v>0.34289999999999998</c:v>
                </c:pt>
                <c:pt idx="143">
                  <c:v>0.33850000000000002</c:v>
                </c:pt>
                <c:pt idx="144">
                  <c:v>0.33119999999999999</c:v>
                </c:pt>
                <c:pt idx="145">
                  <c:v>0.26119999999999999</c:v>
                </c:pt>
                <c:pt idx="146">
                  <c:v>0.1913</c:v>
                </c:pt>
                <c:pt idx="147">
                  <c:v>0.1356</c:v>
                </c:pt>
                <c:pt idx="148">
                  <c:v>0.1525</c:v>
                </c:pt>
                <c:pt idx="149">
                  <c:v>0.23680000000000001</c:v>
                </c:pt>
                <c:pt idx="150">
                  <c:v>0.28689999999999999</c:v>
                </c:pt>
                <c:pt idx="151">
                  <c:v>0.3453</c:v>
                </c:pt>
                <c:pt idx="152">
                  <c:v>0.36849999999999999</c:v>
                </c:pt>
                <c:pt idx="153">
                  <c:v>0.44090000000000001</c:v>
                </c:pt>
                <c:pt idx="154">
                  <c:v>0.46</c:v>
                </c:pt>
                <c:pt idx="155">
                  <c:v>0.42980000000000002</c:v>
                </c:pt>
                <c:pt idx="156">
                  <c:v>0.41020000000000001</c:v>
                </c:pt>
                <c:pt idx="157">
                  <c:v>0.3427</c:v>
                </c:pt>
                <c:pt idx="158">
                  <c:v>0.29759999999999998</c:v>
                </c:pt>
                <c:pt idx="159">
                  <c:v>0.16900000000000001</c:v>
                </c:pt>
                <c:pt idx="160">
                  <c:v>0.27679999999999999</c:v>
                </c:pt>
                <c:pt idx="161">
                  <c:v>0.25030000000000002</c:v>
                </c:pt>
                <c:pt idx="162">
                  <c:v>0.19750000000000001</c:v>
                </c:pt>
                <c:pt idx="163">
                  <c:v>0.36</c:v>
                </c:pt>
                <c:pt idx="164">
                  <c:v>0.38679999999999998</c:v>
                </c:pt>
                <c:pt idx="165">
                  <c:v>0.30199999999999999</c:v>
                </c:pt>
                <c:pt idx="166">
                  <c:v>0.35470000000000002</c:v>
                </c:pt>
                <c:pt idx="167">
                  <c:v>0.34649999999999997</c:v>
                </c:pt>
                <c:pt idx="168">
                  <c:v>0.34589999999999999</c:v>
                </c:pt>
                <c:pt idx="169">
                  <c:v>0.28870000000000001</c:v>
                </c:pt>
                <c:pt idx="170">
                  <c:v>0.29459999999999997</c:v>
                </c:pt>
                <c:pt idx="171">
                  <c:v>0.23730000000000001</c:v>
                </c:pt>
                <c:pt idx="172">
                  <c:v>0.16250000000000001</c:v>
                </c:pt>
                <c:pt idx="173">
                  <c:v>0.11509999999999999</c:v>
                </c:pt>
              </c:numCache>
            </c:numRef>
          </c:yVal>
          <c:smooth val="0"/>
          <c:extLst>
            <c:ext xmlns:c16="http://schemas.microsoft.com/office/drawing/2014/chart" uri="{C3380CC4-5D6E-409C-BE32-E72D297353CC}">
              <c16:uniqueId val="{00000000-227F-4652-BB47-26D5D5012328}"/>
            </c:ext>
          </c:extLst>
        </c:ser>
        <c:dLbls>
          <c:showLegendKey val="0"/>
          <c:showVal val="0"/>
          <c:showCatName val="0"/>
          <c:showSerName val="0"/>
          <c:showPercent val="0"/>
          <c:showBubbleSize val="0"/>
        </c:dLbls>
        <c:axId val="301983056"/>
        <c:axId val="301983448"/>
      </c:scatterChart>
      <c:valAx>
        <c:axId val="301983056"/>
        <c:scaling>
          <c:orientation val="minMax"/>
          <c:max val="41549"/>
          <c:min val="41365"/>
        </c:scaling>
        <c:delete val="0"/>
        <c:axPos val="b"/>
        <c:numFmt formatCode="mmm" sourceLinked="0"/>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3448"/>
        <c:crossesAt val="-700"/>
        <c:crossBetween val="midCat"/>
        <c:majorUnit val="30.6"/>
      </c:valAx>
      <c:valAx>
        <c:axId val="301983448"/>
        <c:scaling>
          <c:orientation val="minMax"/>
          <c:max val="0.60000000000000064"/>
          <c:min val="0.1"/>
        </c:scaling>
        <c:delete val="0"/>
        <c:axPos val="l"/>
        <c:title>
          <c:tx>
            <c:rich>
              <a:bodyPr/>
              <a:lstStyle/>
              <a:p>
                <a:pPr>
                  <a:defRPr sz="1000" b="0" i="0" u="none" strike="noStrike" baseline="0">
                    <a:solidFill>
                      <a:srgbClr val="000000"/>
                    </a:solidFill>
                    <a:latin typeface="Arial"/>
                    <a:ea typeface="Arial"/>
                    <a:cs typeface="Arial"/>
                  </a:defRPr>
                </a:pPr>
                <a:r>
                  <a:rPr lang="en-US"/>
                  <a:t>Tide range</a:t>
                </a:r>
              </a:p>
            </c:rich>
          </c:tx>
          <c:layout>
            <c:manualLayout>
              <c:xMode val="edge"/>
              <c:yMode val="edge"/>
              <c:x val="9.7222222222222224E-3"/>
              <c:y val="0.24105048999052633"/>
            </c:manualLayout>
          </c:layout>
          <c:overlay val="0"/>
          <c:spPr>
            <a:noFill/>
            <a:ln w="25400">
              <a:noFill/>
            </a:ln>
          </c:spPr>
        </c:title>
        <c:numFmt formatCode="#,##0.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3056"/>
        <c:crosses val="autoZero"/>
        <c:crossBetween val="midCat"/>
        <c:majorUnit val="0.2"/>
      </c:valAx>
      <c:spPr>
        <a:no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94449766184515"/>
          <c:y val="5.238098282934766E-2"/>
          <c:w val="0.80972249678632868"/>
          <c:h val="0.8214290489147652"/>
        </c:manualLayout>
      </c:layout>
      <c:scatterChart>
        <c:scatterStyle val="lineMarker"/>
        <c:varyColors val="0"/>
        <c:ser>
          <c:idx val="4"/>
          <c:order val="0"/>
          <c:tx>
            <c:v>Shoal</c:v>
          </c:tx>
          <c:spPr>
            <a:ln w="28575">
              <a:noFill/>
            </a:ln>
          </c:spPr>
          <c:marker>
            <c:symbol val="circle"/>
            <c:size val="6"/>
            <c:spPr>
              <a:solidFill>
                <a:srgbClr val="FFFFFF"/>
              </a:solidFill>
              <a:ln>
                <a:solidFill>
                  <a:srgbClr val="000000"/>
                </a:solidFill>
                <a:prstDash val="solid"/>
              </a:ln>
            </c:spPr>
          </c:marker>
          <c:xVal>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'SP01'!$X$3:$X$176</c:f>
              <c:numCache>
                <c:formatCode>0.0</c:formatCode>
                <c:ptCount val="174"/>
                <c:pt idx="3">
                  <c:v>126.31215746112559</c:v>
                </c:pt>
                <c:pt idx="4">
                  <c:v>117.68961892901143</c:v>
                </c:pt>
                <c:pt idx="5">
                  <c:v>113.43083951958474</c:v>
                </c:pt>
                <c:pt idx="6">
                  <c:v>121.61486838907675</c:v>
                </c:pt>
                <c:pt idx="7">
                  <c:v>117.0512105583483</c:v>
                </c:pt>
                <c:pt idx="8">
                  <c:v>107.31894010080757</c:v>
                </c:pt>
                <c:pt idx="9">
                  <c:v>85.018233302798834</c:v>
                </c:pt>
                <c:pt idx="10">
                  <c:v>73.840177056197987</c:v>
                </c:pt>
                <c:pt idx="11">
                  <c:v>72.486481370002053</c:v>
                </c:pt>
                <c:pt idx="12">
                  <c:v>73.580545887627778</c:v>
                </c:pt>
                <c:pt idx="13">
                  <c:v>61.511095133586743</c:v>
                </c:pt>
                <c:pt idx="14">
                  <c:v>49.050469073314844</c:v>
                </c:pt>
                <c:pt idx="15">
                  <c:v>50.806978710317445</c:v>
                </c:pt>
                <c:pt idx="16">
                  <c:v>62.378500976595255</c:v>
                </c:pt>
                <c:pt idx="17">
                  <c:v>67.692442625149923</c:v>
                </c:pt>
                <c:pt idx="18">
                  <c:v>70.657319798061252</c:v>
                </c:pt>
                <c:pt idx="19">
                  <c:v>76.101658739475099</c:v>
                </c:pt>
                <c:pt idx="20">
                  <c:v>91.606386692990867</c:v>
                </c:pt>
                <c:pt idx="21">
                  <c:v>106.66171136544837</c:v>
                </c:pt>
                <c:pt idx="22">
                  <c:v>119.58466325492255</c:v>
                </c:pt>
                <c:pt idx="23">
                  <c:v>125.25839263849674</c:v>
                </c:pt>
                <c:pt idx="24">
                  <c:v>144.43936998898238</c:v>
                </c:pt>
                <c:pt idx="25">
                  <c:v>152.72110588720417</c:v>
                </c:pt>
                <c:pt idx="26">
                  <c:v>153.93377804573544</c:v>
                </c:pt>
                <c:pt idx="27">
                  <c:v>163.52974270324381</c:v>
                </c:pt>
                <c:pt idx="28">
                  <c:v>164.51170482813581</c:v>
                </c:pt>
                <c:pt idx="29">
                  <c:v>150.43547409257863</c:v>
                </c:pt>
                <c:pt idx="30">
                  <c:v>147.61006516143169</c:v>
                </c:pt>
                <c:pt idx="31">
                  <c:v>135.66067547688871</c:v>
                </c:pt>
                <c:pt idx="32">
                  <c:v>155.00686465610164</c:v>
                </c:pt>
                <c:pt idx="33">
                  <c:v>187.9731081622802</c:v>
                </c:pt>
                <c:pt idx="34">
                  <c:v>201.50366585388591</c:v>
                </c:pt>
                <c:pt idx="35">
                  <c:v>239.31275277791977</c:v>
                </c:pt>
                <c:pt idx="36">
                  <c:v>287.77023413357159</c:v>
                </c:pt>
                <c:pt idx="37">
                  <c:v>334.10952095522424</c:v>
                </c:pt>
                <c:pt idx="38">
                  <c:v>344.03255150041241</c:v>
                </c:pt>
                <c:pt idx="39">
                  <c:v>332.34921418960738</c:v>
                </c:pt>
                <c:pt idx="40">
                  <c:v>314.35065658894695</c:v>
                </c:pt>
                <c:pt idx="41">
                  <c:v>299.51075365769896</c:v>
                </c:pt>
                <c:pt idx="42">
                  <c:v>263.10817290789868</c:v>
                </c:pt>
                <c:pt idx="43">
                  <c:v>245.0318946148935</c:v>
                </c:pt>
                <c:pt idx="44">
                  <c:v>228.39620969665037</c:v>
                </c:pt>
                <c:pt idx="45">
                  <c:v>229.7298735430775</c:v>
                </c:pt>
                <c:pt idx="46">
                  <c:v>248.30396077339944</c:v>
                </c:pt>
                <c:pt idx="47">
                  <c:v>276.80567440194358</c:v>
                </c:pt>
                <c:pt idx="48">
                  <c:v>284.24544414310736</c:v>
                </c:pt>
                <c:pt idx="49">
                  <c:v>317.955358095017</c:v>
                </c:pt>
                <c:pt idx="50">
                  <c:v>322.34885352478801</c:v>
                </c:pt>
                <c:pt idx="51">
                  <c:v>314.67214175211899</c:v>
                </c:pt>
                <c:pt idx="52">
                  <c:v>311.31197586427481</c:v>
                </c:pt>
                <c:pt idx="53">
                  <c:v>286.04920313297941</c:v>
                </c:pt>
                <c:pt idx="54">
                  <c:v>285.80824972520389</c:v>
                </c:pt>
                <c:pt idx="55">
                  <c:v>258.25114374902785</c:v>
                </c:pt>
                <c:pt idx="56">
                  <c:v>236.98845361518892</c:v>
                </c:pt>
                <c:pt idx="57">
                  <c:v>242.34046562316379</c:v>
                </c:pt>
                <c:pt idx="58">
                  <c:v>264.30915299694556</c:v>
                </c:pt>
                <c:pt idx="59">
                  <c:v>269.80794869303458</c:v>
                </c:pt>
                <c:pt idx="60">
                  <c:v>283.80336650295015</c:v>
                </c:pt>
                <c:pt idx="61">
                  <c:v>278.61948255809665</c:v>
                </c:pt>
                <c:pt idx="62">
                  <c:v>306.35309733147307</c:v>
                </c:pt>
                <c:pt idx="63">
                  <c:v>316.24054903356358</c:v>
                </c:pt>
                <c:pt idx="64">
                  <c:v>284.43732012671552</c:v>
                </c:pt>
                <c:pt idx="65">
                  <c:v>293.44497334705051</c:v>
                </c:pt>
                <c:pt idx="66">
                  <c:v>301.71493205229274</c:v>
                </c:pt>
                <c:pt idx="67">
                  <c:v>285.99804566964798</c:v>
                </c:pt>
                <c:pt idx="68">
                  <c:v>270.88202292251691</c:v>
                </c:pt>
                <c:pt idx="69">
                  <c:v>237.36494379562851</c:v>
                </c:pt>
                <c:pt idx="70">
                  <c:v>221.79196034996045</c:v>
                </c:pt>
                <c:pt idx="71">
                  <c:v>225.74004190300599</c:v>
                </c:pt>
                <c:pt idx="72">
                  <c:v>171.53879187414151</c:v>
                </c:pt>
                <c:pt idx="73">
                  <c:v>160.27611659684416</c:v>
                </c:pt>
                <c:pt idx="74">
                  <c:v>178.03429636432693</c:v>
                </c:pt>
                <c:pt idx="75">
                  <c:v>166.10968575359038</c:v>
                </c:pt>
                <c:pt idx="76">
                  <c:v>180.41160464049361</c:v>
                </c:pt>
                <c:pt idx="77">
                  <c:v>171.96307228807558</c:v>
                </c:pt>
                <c:pt idx="93">
                  <c:v>136.38273691483897</c:v>
                </c:pt>
                <c:pt idx="94">
                  <c:v>159.45922073925311</c:v>
                </c:pt>
                <c:pt idx="95">
                  <c:v>130.35525815750432</c:v>
                </c:pt>
                <c:pt idx="96">
                  <c:v>131.60375168082768</c:v>
                </c:pt>
                <c:pt idx="97">
                  <c:v>123.81872625175495</c:v>
                </c:pt>
                <c:pt idx="98">
                  <c:v>111.85499212622832</c:v>
                </c:pt>
                <c:pt idx="99">
                  <c:v>119.46308506692834</c:v>
                </c:pt>
                <c:pt idx="100">
                  <c:v>98.991794304607723</c:v>
                </c:pt>
                <c:pt idx="101">
                  <c:v>85.335664558086265</c:v>
                </c:pt>
                <c:pt idx="102">
                  <c:v>104.47369408986307</c:v>
                </c:pt>
                <c:pt idx="103">
                  <c:v>107.47160704524811</c:v>
                </c:pt>
                <c:pt idx="104">
                  <c:v>112.38117114994789</c:v>
                </c:pt>
                <c:pt idx="105">
                  <c:v>113.12836821924705</c:v>
                </c:pt>
                <c:pt idx="106">
                  <c:v>119.64001190013474</c:v>
                </c:pt>
                <c:pt idx="107">
                  <c:v>120.3033806106757</c:v>
                </c:pt>
                <c:pt idx="108">
                  <c:v>107.96585046447088</c:v>
                </c:pt>
                <c:pt idx="109">
                  <c:v>122.03892841510749</c:v>
                </c:pt>
                <c:pt idx="110">
                  <c:v>133.14920075729339</c:v>
                </c:pt>
                <c:pt idx="111">
                  <c:v>129.43308081952921</c:v>
                </c:pt>
                <c:pt idx="112">
                  <c:v>130.76007344879829</c:v>
                </c:pt>
                <c:pt idx="113">
                  <c:v>108.47505985311837</c:v>
                </c:pt>
                <c:pt idx="114">
                  <c:v>105.48357116250989</c:v>
                </c:pt>
                <c:pt idx="115">
                  <c:v>104.91851723558814</c:v>
                </c:pt>
                <c:pt idx="116">
                  <c:v>72.172883444530072</c:v>
                </c:pt>
                <c:pt idx="117">
                  <c:v>63.542504900779257</c:v>
                </c:pt>
                <c:pt idx="118">
                  <c:v>68.729145133865046</c:v>
                </c:pt>
                <c:pt idx="119">
                  <c:v>68.540852755733496</c:v>
                </c:pt>
                <c:pt idx="120">
                  <c:v>90.333063938132113</c:v>
                </c:pt>
                <c:pt idx="121">
                  <c:v>120.42038898529169</c:v>
                </c:pt>
                <c:pt idx="122">
                  <c:v>164.28065911256564</c:v>
                </c:pt>
                <c:pt idx="123">
                  <c:v>206.07242513510755</c:v>
                </c:pt>
                <c:pt idx="124">
                  <c:v>219.62584115039004</c:v>
                </c:pt>
                <c:pt idx="125">
                  <c:v>214.77079506286466</c:v>
                </c:pt>
                <c:pt idx="126">
                  <c:v>228.94518495335964</c:v>
                </c:pt>
                <c:pt idx="127">
                  <c:v>217.09781675129199</c:v>
                </c:pt>
                <c:pt idx="128">
                  <c:v>197.93001141053153</c:v>
                </c:pt>
                <c:pt idx="129">
                  <c:v>167.48565229071463</c:v>
                </c:pt>
                <c:pt idx="130">
                  <c:v>130.55586581014305</c:v>
                </c:pt>
                <c:pt idx="131">
                  <c:v>115.90678580079505</c:v>
                </c:pt>
                <c:pt idx="132">
                  <c:v>147.02874996876443</c:v>
                </c:pt>
                <c:pt idx="133">
                  <c:v>155.88662126287758</c:v>
                </c:pt>
                <c:pt idx="134">
                  <c:v>169.56242204886146</c:v>
                </c:pt>
                <c:pt idx="135">
                  <c:v>174.94287658056115</c:v>
                </c:pt>
                <c:pt idx="136">
                  <c:v>196.50688569904537</c:v>
                </c:pt>
                <c:pt idx="137">
                  <c:v>235.36902755400698</c:v>
                </c:pt>
                <c:pt idx="138">
                  <c:v>242.49986799238999</c:v>
                </c:pt>
                <c:pt idx="139">
                  <c:v>223.82078647692722</c:v>
                </c:pt>
                <c:pt idx="140">
                  <c:v>224.69181878918201</c:v>
                </c:pt>
                <c:pt idx="141">
                  <c:v>226.50620027609133</c:v>
                </c:pt>
                <c:pt idx="142">
                  <c:v>210.59010866149765</c:v>
                </c:pt>
                <c:pt idx="143">
                  <c:v>177.3491526823822</c:v>
                </c:pt>
                <c:pt idx="144">
                  <c:v>148.67441380252555</c:v>
                </c:pt>
                <c:pt idx="145">
                  <c:v>151.65381839059543</c:v>
                </c:pt>
                <c:pt idx="146">
                  <c:v>149.35794001585847</c:v>
                </c:pt>
                <c:pt idx="147">
                  <c:v>163.54754888921315</c:v>
                </c:pt>
                <c:pt idx="148">
                  <c:v>176.60810085779494</c:v>
                </c:pt>
                <c:pt idx="149">
                  <c:v>193.72746387375511</c:v>
                </c:pt>
                <c:pt idx="150">
                  <c:v>242.60172074036512</c:v>
                </c:pt>
                <c:pt idx="151">
                  <c:v>295.12515932899356</c:v>
                </c:pt>
                <c:pt idx="152">
                  <c:v>307.93259865703078</c:v>
                </c:pt>
                <c:pt idx="153">
                  <c:v>314.34898577637688</c:v>
                </c:pt>
                <c:pt idx="154">
                  <c:v>288.32453997703817</c:v>
                </c:pt>
                <c:pt idx="155">
                  <c:v>287.50578562728248</c:v>
                </c:pt>
                <c:pt idx="156">
                  <c:v>266.12334891129564</c:v>
                </c:pt>
                <c:pt idx="157">
                  <c:v>227.06701808585572</c:v>
                </c:pt>
                <c:pt idx="158">
                  <c:v>188.55985666811708</c:v>
                </c:pt>
                <c:pt idx="159">
                  <c:v>167.63732859938219</c:v>
                </c:pt>
                <c:pt idx="160">
                  <c:v>163.07996230355366</c:v>
                </c:pt>
                <c:pt idx="161">
                  <c:v>173.73181140886271</c:v>
                </c:pt>
                <c:pt idx="162">
                  <c:v>162.53151673504939</c:v>
                </c:pt>
                <c:pt idx="163">
                  <c:v>187.05476724611208</c:v>
                </c:pt>
                <c:pt idx="164">
                  <c:v>204.99317083411773</c:v>
                </c:pt>
                <c:pt idx="165">
                  <c:v>210.97196247178758</c:v>
                </c:pt>
                <c:pt idx="166">
                  <c:v>241.36729950605363</c:v>
                </c:pt>
                <c:pt idx="167">
                  <c:v>236.39974851444703</c:v>
                </c:pt>
                <c:pt idx="168">
                  <c:v>222.0874952265836</c:v>
                </c:pt>
                <c:pt idx="169">
                  <c:v>221.5078152871275</c:v>
                </c:pt>
                <c:pt idx="170">
                  <c:v>198.99550722689099</c:v>
                </c:pt>
              </c:numCache>
            </c:numRef>
          </c:yVal>
          <c:smooth val="0"/>
          <c:extLst>
            <c:ext xmlns:c16="http://schemas.microsoft.com/office/drawing/2014/chart" uri="{C3380CC4-5D6E-409C-BE32-E72D297353CC}">
              <c16:uniqueId val="{00000000-413B-4582-9584-2A7425A27FE4}"/>
            </c:ext>
          </c:extLst>
        </c:ser>
        <c:ser>
          <c:idx val="1"/>
          <c:order val="1"/>
          <c:tx>
            <c:v>Shoal_R</c:v>
          </c:tx>
          <c:spPr>
            <a:ln w="28575">
              <a:noFill/>
            </a:ln>
          </c:spPr>
          <c:marker>
            <c:symbol val="circle"/>
            <c:size val="6"/>
            <c:spPr>
              <a:solidFill>
                <a:srgbClr val="FFFFFF"/>
              </a:solidFill>
              <a:ln>
                <a:solidFill>
                  <a:srgbClr val="000000"/>
                </a:solidFill>
                <a:prstDash val="solid"/>
              </a:ln>
            </c:spPr>
          </c:marker>
          <c:xVal>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'SP01'!$Y$3:$Y$176</c:f>
              <c:numCache>
                <c:formatCode>0</c:formatCode>
                <c:ptCount val="174"/>
                <c:pt idx="3" formatCode="0.0">
                  <c:v>-124.69235068261712</c:v>
                </c:pt>
                <c:pt idx="4" formatCode="0.0">
                  <c:v>-117.6125362015428</c:v>
                </c:pt>
                <c:pt idx="5" formatCode="0.0">
                  <c:v>-108.02653413793099</c:v>
                </c:pt>
                <c:pt idx="6" formatCode="0.0">
                  <c:v>-112.95282038931124</c:v>
                </c:pt>
                <c:pt idx="7" formatCode="0.0">
                  <c:v>-103.92789419542525</c:v>
                </c:pt>
                <c:pt idx="8" formatCode="0.0">
                  <c:v>-100.78011621661028</c:v>
                </c:pt>
                <c:pt idx="9" formatCode="0.0">
                  <c:v>-78.367669774749714</c:v>
                </c:pt>
                <c:pt idx="10" formatCode="0.0">
                  <c:v>-64.388733005547294</c:v>
                </c:pt>
                <c:pt idx="11" formatCode="0.0">
                  <c:v>-60.885670220060824</c:v>
                </c:pt>
                <c:pt idx="12" formatCode="0.0">
                  <c:v>-59.964007453990853</c:v>
                </c:pt>
                <c:pt idx="13" formatCode="0.0">
                  <c:v>-51.887360639104983</c:v>
                </c:pt>
                <c:pt idx="14" formatCode="0.0">
                  <c:v>-44.375347844375632</c:v>
                </c:pt>
                <c:pt idx="15" formatCode="0.0">
                  <c:v>-53.56482557823329</c:v>
                </c:pt>
                <c:pt idx="16" formatCode="0.0">
                  <c:v>-65.322595617196413</c:v>
                </c:pt>
                <c:pt idx="17" formatCode="0.0">
                  <c:v>-73.5944624927793</c:v>
                </c:pt>
                <c:pt idx="18" formatCode="0.0">
                  <c:v>-76.681032284778567</c:v>
                </c:pt>
                <c:pt idx="19" formatCode="0.0">
                  <c:v>-88.881623944741492</c:v>
                </c:pt>
                <c:pt idx="20" formatCode="0.0">
                  <c:v>-96.463826674637033</c:v>
                </c:pt>
                <c:pt idx="21" formatCode="0.0">
                  <c:v>-109.22727244899727</c:v>
                </c:pt>
                <c:pt idx="22" formatCode="0.0">
                  <c:v>-109.10650752975712</c:v>
                </c:pt>
                <c:pt idx="23" formatCode="0.0">
                  <c:v>-103.53910541417859</c:v>
                </c:pt>
                <c:pt idx="24" formatCode="0.0">
                  <c:v>-125.26341032608376</c:v>
                </c:pt>
                <c:pt idx="25" formatCode="0.0">
                  <c:v>-132.562514984865</c:v>
                </c:pt>
                <c:pt idx="26" formatCode="0.0">
                  <c:v>-128.37424191249394</c:v>
                </c:pt>
                <c:pt idx="27" formatCode="0.0">
                  <c:v>-140.55131716561189</c:v>
                </c:pt>
                <c:pt idx="28" formatCode="0.0">
                  <c:v>-142.02199973068585</c:v>
                </c:pt>
                <c:pt idx="29" formatCode="0.0">
                  <c:v>-130.42084748163657</c:v>
                </c:pt>
                <c:pt idx="30" formatCode="0.0">
                  <c:v>-136.85159294521537</c:v>
                </c:pt>
                <c:pt idx="31" formatCode="0.0">
                  <c:v>-119.50499426263953</c:v>
                </c:pt>
                <c:pt idx="32" formatCode="0.0">
                  <c:v>-146.42413020215625</c:v>
                </c:pt>
                <c:pt idx="33" formatCode="0.0">
                  <c:v>-177.59861552450849</c:v>
                </c:pt>
                <c:pt idx="34" formatCode="0.0">
                  <c:v>-193.31367029107793</c:v>
                </c:pt>
                <c:pt idx="35" formatCode="0.0">
                  <c:v>-236.19714643944795</c:v>
                </c:pt>
                <c:pt idx="36" formatCode="0.0">
                  <c:v>-294.21739736297496</c:v>
                </c:pt>
                <c:pt idx="37" formatCode="0.0">
                  <c:v>-321.23216343368949</c:v>
                </c:pt>
                <c:pt idx="38" formatCode="0.0">
                  <c:v>-329.65920486741015</c:v>
                </c:pt>
                <c:pt idx="39" formatCode="0.0">
                  <c:v>-311.45918324156781</c:v>
                </c:pt>
                <c:pt idx="40" formatCode="0.0">
                  <c:v>-304.18971679755862</c:v>
                </c:pt>
                <c:pt idx="41" formatCode="0.0">
                  <c:v>-272.40543266784567</c:v>
                </c:pt>
                <c:pt idx="42" formatCode="0.0">
                  <c:v>-239.32122287274927</c:v>
                </c:pt>
                <c:pt idx="43" formatCode="0.0">
                  <c:v>-217.08822830979901</c:v>
                </c:pt>
                <c:pt idx="44" formatCode="0.0">
                  <c:v>-210.26735552197644</c:v>
                </c:pt>
                <c:pt idx="45" formatCode="0.0">
                  <c:v>-213.75626494687782</c:v>
                </c:pt>
                <c:pt idx="46" formatCode="0.0">
                  <c:v>-232.45823342327373</c:v>
                </c:pt>
                <c:pt idx="47" formatCode="0.0">
                  <c:v>-252.42453744359949</c:v>
                </c:pt>
                <c:pt idx="48" formatCode="0.0">
                  <c:v>-270.47678812150883</c:v>
                </c:pt>
                <c:pt idx="49" formatCode="0.0">
                  <c:v>-297.22105146174766</c:v>
                </c:pt>
                <c:pt idx="50" formatCode="0.0">
                  <c:v>-294.11320652517736</c:v>
                </c:pt>
                <c:pt idx="51" formatCode="0.0">
                  <c:v>-299.00199066546116</c:v>
                </c:pt>
                <c:pt idx="52" formatCode="0.0">
                  <c:v>-288.31071184454862</c:v>
                </c:pt>
                <c:pt idx="53" formatCode="0.0">
                  <c:v>-270.28821409656882</c:v>
                </c:pt>
                <c:pt idx="54" formatCode="0.0">
                  <c:v>-262.86042133041786</c:v>
                </c:pt>
                <c:pt idx="55" formatCode="0.0">
                  <c:v>-249.0926630111243</c:v>
                </c:pt>
                <c:pt idx="56" formatCode="0.0">
                  <c:v>-221.60555572901876</c:v>
                </c:pt>
                <c:pt idx="57" formatCode="0.0">
                  <c:v>-236.38495150127898</c:v>
                </c:pt>
                <c:pt idx="58" formatCode="0.0">
                  <c:v>-249.10126958581438</c:v>
                </c:pt>
                <c:pt idx="59" formatCode="0.0">
                  <c:v>-251.35299512164343</c:v>
                </c:pt>
                <c:pt idx="60" formatCode="0.0">
                  <c:v>-255.02128082183819</c:v>
                </c:pt>
                <c:pt idx="61" formatCode="0.0">
                  <c:v>-256.72537923051311</c:v>
                </c:pt>
                <c:pt idx="62" formatCode="0.0">
                  <c:v>-278.43428278679772</c:v>
                </c:pt>
                <c:pt idx="63" formatCode="0.0">
                  <c:v>-289.88119287805597</c:v>
                </c:pt>
                <c:pt idx="64" formatCode="0.0">
                  <c:v>-246.06241632635485</c:v>
                </c:pt>
                <c:pt idx="65" formatCode="0.0">
                  <c:v>-269.15989562641226</c:v>
                </c:pt>
                <c:pt idx="66" formatCode="0.0">
                  <c:v>-280.53179493638424</c:v>
                </c:pt>
                <c:pt idx="67" formatCode="0.0">
                  <c:v>-258.85314345117769</c:v>
                </c:pt>
                <c:pt idx="68" formatCode="0.0">
                  <c:v>-239.71553741653744</c:v>
                </c:pt>
                <c:pt idx="69" formatCode="0.0">
                  <c:v>-207.99562247296441</c:v>
                </c:pt>
                <c:pt idx="70" formatCode="0.0">
                  <c:v>-198.93404269222486</c:v>
                </c:pt>
                <c:pt idx="71" formatCode="0.0">
                  <c:v>-208.65348992246135</c:v>
                </c:pt>
                <c:pt idx="72" formatCode="0.0">
                  <c:v>-141.49350752900992</c:v>
                </c:pt>
                <c:pt idx="73" formatCode="0.0">
                  <c:v>-145.23972785284275</c:v>
                </c:pt>
                <c:pt idx="74" formatCode="0.0">
                  <c:v>-168.18884063150145</c:v>
                </c:pt>
                <c:pt idx="75" formatCode="0.0">
                  <c:v>-161.62837078314791</c:v>
                </c:pt>
                <c:pt idx="76" formatCode="0.0">
                  <c:v>-168.68993157442992</c:v>
                </c:pt>
                <c:pt idx="77" formatCode="0.0">
                  <c:v>-159.04307858035776</c:v>
                </c:pt>
                <c:pt idx="93" formatCode="0.0">
                  <c:v>-155.77418907354124</c:v>
                </c:pt>
                <c:pt idx="94" formatCode="0.0">
                  <c:v>-157.82003717874525</c:v>
                </c:pt>
                <c:pt idx="95" formatCode="0.0">
                  <c:v>-142.39221657725375</c:v>
                </c:pt>
                <c:pt idx="96" formatCode="0.0">
                  <c:v>-148.02459307407199</c:v>
                </c:pt>
                <c:pt idx="97" formatCode="0.0">
                  <c:v>-138.65630334770734</c:v>
                </c:pt>
                <c:pt idx="98" formatCode="0.0">
                  <c:v>-127.04385928933904</c:v>
                </c:pt>
                <c:pt idx="99" formatCode="0.0">
                  <c:v>-133.75757960337631</c:v>
                </c:pt>
                <c:pt idx="100" formatCode="0.0">
                  <c:v>-98.098672812482889</c:v>
                </c:pt>
                <c:pt idx="101" formatCode="0.0">
                  <c:v>-89.072139772963993</c:v>
                </c:pt>
                <c:pt idx="102" formatCode="0.0">
                  <c:v>-105.17965432442328</c:v>
                </c:pt>
                <c:pt idx="103" formatCode="0.0">
                  <c:v>-108.10663218312503</c:v>
                </c:pt>
                <c:pt idx="104" formatCode="0.0">
                  <c:v>-106.63535635464551</c:v>
                </c:pt>
                <c:pt idx="105" formatCode="0.0">
                  <c:v>-101.12886134555218</c:v>
                </c:pt>
                <c:pt idx="106" formatCode="0.0">
                  <c:v>-113.90090151683238</c:v>
                </c:pt>
                <c:pt idx="107" formatCode="0.0">
                  <c:v>-110.94199892779898</c:v>
                </c:pt>
                <c:pt idx="108" formatCode="0.0">
                  <c:v>-112.40556329220554</c:v>
                </c:pt>
                <c:pt idx="109" formatCode="0.0">
                  <c:v>-118.1869776253584</c:v>
                </c:pt>
                <c:pt idx="110" formatCode="0.0">
                  <c:v>-125.72511390081102</c:v>
                </c:pt>
                <c:pt idx="111" formatCode="0.0">
                  <c:v>-126.27018188621777</c:v>
                </c:pt>
                <c:pt idx="112" formatCode="0.0">
                  <c:v>-127.57586552606449</c:v>
                </c:pt>
                <c:pt idx="113" formatCode="0.0">
                  <c:v>-105.53247697326374</c:v>
                </c:pt>
                <c:pt idx="114" formatCode="0.0">
                  <c:v>-98.870749525694194</c:v>
                </c:pt>
                <c:pt idx="115" formatCode="0.0">
                  <c:v>-94.385020619865585</c:v>
                </c:pt>
                <c:pt idx="116" formatCode="0.0">
                  <c:v>-68.58187335525912</c:v>
                </c:pt>
                <c:pt idx="117" formatCode="0.0">
                  <c:v>-57.573414067638922</c:v>
                </c:pt>
                <c:pt idx="118" formatCode="0.0">
                  <c:v>-65.219403862655412</c:v>
                </c:pt>
                <c:pt idx="119" formatCode="0.0">
                  <c:v>-65.021898285882202</c:v>
                </c:pt>
                <c:pt idx="120" formatCode="0.0">
                  <c:v>-97.307794768409309</c:v>
                </c:pt>
                <c:pt idx="121" formatCode="0.0">
                  <c:v>-138.70684601643012</c:v>
                </c:pt>
                <c:pt idx="122" formatCode="0.0">
                  <c:v>-186.41596802183645</c:v>
                </c:pt>
                <c:pt idx="123" formatCode="0.0">
                  <c:v>-229.88950239793527</c:v>
                </c:pt>
                <c:pt idx="124" formatCode="0.0">
                  <c:v>-235.98355338934471</c:v>
                </c:pt>
                <c:pt idx="125" formatCode="0.0">
                  <c:v>-221.70834133687313</c:v>
                </c:pt>
                <c:pt idx="126" formatCode="0.0">
                  <c:v>-235.93413661173221</c:v>
                </c:pt>
                <c:pt idx="127" formatCode="0.0">
                  <c:v>-207.37304277345717</c:v>
                </c:pt>
                <c:pt idx="128" formatCode="0.0">
                  <c:v>-183.53231863093239</c:v>
                </c:pt>
                <c:pt idx="129" formatCode="0.0">
                  <c:v>-148.49909459726263</c:v>
                </c:pt>
                <c:pt idx="130" formatCode="0.0">
                  <c:v>-113.24397318392458</c:v>
                </c:pt>
                <c:pt idx="131" formatCode="0.0">
                  <c:v>-114.3401956790683</c:v>
                </c:pt>
                <c:pt idx="132" formatCode="0.0">
                  <c:v>-148.01578702541272</c:v>
                </c:pt>
                <c:pt idx="133" formatCode="0.0">
                  <c:v>-160.90600380473302</c:v>
                </c:pt>
                <c:pt idx="134" formatCode="0.0">
                  <c:v>-173.21131512219216</c:v>
                </c:pt>
                <c:pt idx="135" formatCode="0.0">
                  <c:v>-186.23629612354952</c:v>
                </c:pt>
                <c:pt idx="136" formatCode="0.0">
                  <c:v>-199.35224403194655</c:v>
                </c:pt>
                <c:pt idx="137" formatCode="0.0">
                  <c:v>-230.22844585066531</c:v>
                </c:pt>
                <c:pt idx="138" formatCode="0.0">
                  <c:v>-226.41235079550711</c:v>
                </c:pt>
                <c:pt idx="139" formatCode="0.0">
                  <c:v>-197.83851031908574</c:v>
                </c:pt>
                <c:pt idx="140" formatCode="0.0">
                  <c:v>-195.90125863415088</c:v>
                </c:pt>
                <c:pt idx="141" formatCode="0.0">
                  <c:v>-194.20473523649602</c:v>
                </c:pt>
                <c:pt idx="142" formatCode="0.0">
                  <c:v>-158.81294248412161</c:v>
                </c:pt>
                <c:pt idx="143" formatCode="0.0">
                  <c:v>-135.75878459879505</c:v>
                </c:pt>
                <c:pt idx="144" formatCode="0.0">
                  <c:v>-110.06022782636896</c:v>
                </c:pt>
                <c:pt idx="145" formatCode="0.0">
                  <c:v>-114.66114829000519</c:v>
                </c:pt>
                <c:pt idx="146" formatCode="0.0">
                  <c:v>-128.92821769207649</c:v>
                </c:pt>
                <c:pt idx="147" formatCode="0.0">
                  <c:v>-165.97096581378324</c:v>
                </c:pt>
                <c:pt idx="148" formatCode="0.0">
                  <c:v>-170.31724317549779</c:v>
                </c:pt>
                <c:pt idx="149" formatCode="0.0">
                  <c:v>-214.71178481014627</c:v>
                </c:pt>
                <c:pt idx="150" formatCode="0.0">
                  <c:v>-280.95299692291599</c:v>
                </c:pt>
                <c:pt idx="151" formatCode="0.0">
                  <c:v>-337.82024674321605</c:v>
                </c:pt>
                <c:pt idx="152" formatCode="0.0">
                  <c:v>-339.42802696087102</c:v>
                </c:pt>
                <c:pt idx="153" formatCode="0.0">
                  <c:v>-334.63034533763226</c:v>
                </c:pt>
                <c:pt idx="154" formatCode="0.0">
                  <c:v>-295.30086437355266</c:v>
                </c:pt>
                <c:pt idx="155" formatCode="0.0">
                  <c:v>-298.6087927350988</c:v>
                </c:pt>
                <c:pt idx="156" formatCode="0.0">
                  <c:v>-266.31240114633476</c:v>
                </c:pt>
                <c:pt idx="157" formatCode="0.0">
                  <c:v>-210.75485220485356</c:v>
                </c:pt>
                <c:pt idx="158" formatCode="0.0">
                  <c:v>-177.50293731086302</c:v>
                </c:pt>
                <c:pt idx="159" formatCode="0.0">
                  <c:v>-173.00838636796522</c:v>
                </c:pt>
                <c:pt idx="160" formatCode="0.0">
                  <c:v>-177.43250498885575</c:v>
                </c:pt>
                <c:pt idx="161" formatCode="0.0">
                  <c:v>-184.32316094902572</c:v>
                </c:pt>
                <c:pt idx="162" formatCode="0.0">
                  <c:v>-190.64214553577813</c:v>
                </c:pt>
                <c:pt idx="163" formatCode="0.0">
                  <c:v>-204.41006722122304</c:v>
                </c:pt>
                <c:pt idx="164" formatCode="0.0">
                  <c:v>-222.23628245111036</c:v>
                </c:pt>
                <c:pt idx="165" formatCode="0.0">
                  <c:v>-221.81673779357976</c:v>
                </c:pt>
                <c:pt idx="166" formatCode="0.0">
                  <c:v>-249.02525556322138</c:v>
                </c:pt>
                <c:pt idx="167" formatCode="0.0">
                  <c:v>-245.41080287586584</c:v>
                </c:pt>
                <c:pt idx="168" formatCode="0.0">
                  <c:v>-225.63085618042447</c:v>
                </c:pt>
                <c:pt idx="169" formatCode="0.0">
                  <c:v>-222.3514698910723</c:v>
                </c:pt>
                <c:pt idx="170" formatCode="0.0">
                  <c:v>-200.93515543969355</c:v>
                </c:pt>
              </c:numCache>
            </c:numRef>
          </c:yVal>
          <c:smooth val="0"/>
          <c:extLst>
            <c:ext xmlns:c16="http://schemas.microsoft.com/office/drawing/2014/chart" uri="{C3380CC4-5D6E-409C-BE32-E72D297353CC}">
              <c16:uniqueId val="{00000001-413B-4582-9584-2A7425A27FE4}"/>
            </c:ext>
          </c:extLst>
        </c:ser>
        <c:ser>
          <c:idx val="2"/>
          <c:order val="2"/>
          <c:tx>
            <c:v>Zero</c:v>
          </c:tx>
          <c:spPr>
            <a:ln w="12700">
              <a:solidFill>
                <a:srgbClr val="000000"/>
              </a:solidFill>
              <a:prstDash val="solid"/>
            </a:ln>
          </c:spPr>
          <c:marker>
            <c:symbol val="none"/>
          </c:marker>
          <c:xVal>
            <c:numLit>
              <c:formatCode>General</c:formatCode>
              <c:ptCount val="2"/>
              <c:pt idx="0">
                <c:v>41365</c:v>
              </c:pt>
              <c:pt idx="1">
                <c:v>41549</c:v>
              </c:pt>
            </c:numLit>
          </c:xVal>
          <c:yVal>
            <c:numLit>
              <c:formatCode>General</c:formatCode>
              <c:ptCount val="2"/>
              <c:pt idx="0">
                <c:v>0</c:v>
              </c:pt>
              <c:pt idx="1">
                <c:v>0</c:v>
              </c:pt>
            </c:numLit>
          </c:yVal>
          <c:smooth val="0"/>
          <c:extLst>
            <c:ext xmlns:c16="http://schemas.microsoft.com/office/drawing/2014/chart" uri="{C3380CC4-5D6E-409C-BE32-E72D297353CC}">
              <c16:uniqueId val="{00000002-413B-4582-9584-2A7425A27FE4}"/>
            </c:ext>
          </c:extLst>
        </c:ser>
        <c:dLbls>
          <c:showLegendKey val="0"/>
          <c:showVal val="0"/>
          <c:showCatName val="0"/>
          <c:showSerName val="0"/>
          <c:showPercent val="0"/>
          <c:showBubbleSize val="0"/>
        </c:dLbls>
        <c:axId val="301984232"/>
        <c:axId val="303946344"/>
      </c:scatterChart>
      <c:valAx>
        <c:axId val="301984232"/>
        <c:scaling>
          <c:orientation val="minMax"/>
          <c:max val="41549"/>
          <c:min val="41365"/>
        </c:scaling>
        <c:delete val="0"/>
        <c:axPos val="b"/>
        <c:numFmt formatCode="mmm" sourceLinked="0"/>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946344"/>
        <c:crossesAt val="-700"/>
        <c:crossBetween val="midCat"/>
        <c:majorUnit val="30.6"/>
      </c:valAx>
      <c:valAx>
        <c:axId val="303946344"/>
        <c:scaling>
          <c:orientation val="minMax"/>
          <c:max val="550"/>
          <c:min val="-700"/>
        </c:scaling>
        <c:delete val="0"/>
        <c:axPos val="l"/>
        <c:title>
          <c:tx>
            <c:rich>
              <a:bodyPr/>
              <a:lstStyle/>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Ecosystem P and R </a:t>
                </a:r>
              </a:p>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 (mmol O</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 m</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d</a:t>
                </a:r>
                <a:r>
                  <a:rPr lang="en-US" sz="1000" b="0" i="0" u="none" strike="noStrike" baseline="30000">
                    <a:solidFill>
                      <a:srgbClr val="000000"/>
                    </a:solidFill>
                    <a:latin typeface="Arial"/>
                    <a:cs typeface="Arial"/>
                  </a:rPr>
                  <a:t>-1</a:t>
                </a:r>
                <a:r>
                  <a:rPr lang="en-US" sz="1000" b="0" i="0" u="none" strike="noStrike" baseline="0">
                    <a:solidFill>
                      <a:srgbClr val="000000"/>
                    </a:solidFill>
                    <a:latin typeface="Arial"/>
                    <a:cs typeface="Arial"/>
                  </a:rPr>
                  <a:t>)</a:t>
                </a:r>
              </a:p>
            </c:rich>
          </c:tx>
          <c:layout>
            <c:manualLayout>
              <c:xMode val="edge"/>
              <c:yMode val="edge"/>
              <c:x val="9.7222222222222224E-3"/>
              <c:y val="0.24105019180294771"/>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1984232"/>
        <c:crosses val="autoZero"/>
        <c:crossBetween val="midCat"/>
      </c:valAx>
      <c:spPr>
        <a:noFill/>
        <a:ln w="3175">
          <a:solidFill>
            <a:srgbClr val="000000"/>
          </a:solidFill>
          <a:prstDash val="solid"/>
        </a:ln>
      </c:spPr>
    </c:plotArea>
    <c:legend>
      <c:legendPos val="r"/>
      <c:legendEntry>
        <c:idx val="1"/>
        <c:delete val="1"/>
      </c:legendEntry>
      <c:legendEntry>
        <c:idx val="2"/>
        <c:delete val="1"/>
      </c:legendEntry>
      <c:layout>
        <c:manualLayout>
          <c:xMode val="edge"/>
          <c:yMode val="edge"/>
          <c:x val="0.5138897601483835"/>
          <c:y val="9.2307830991332621E-2"/>
          <c:w val="9.5486273000544228E-2"/>
          <c:h val="5.230777089508848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0.10856023961303136"/>
          <c:w val="0.76289020233673099"/>
          <c:h val="0.70467507020747244"/>
        </c:manualLayout>
      </c:layout>
      <c:scatterChart>
        <c:scatterStyle val="lineMarker"/>
        <c:varyColors val="0"/>
        <c:ser>
          <c:idx val="0"/>
          <c:order val="0"/>
          <c:tx>
            <c:v>CTD</c:v>
          </c:tx>
          <c:spPr>
            <a:ln w="9525">
              <a:noFill/>
            </a:ln>
          </c:spPr>
          <c:marker>
            <c:symbol val="diamond"/>
            <c:size val="5"/>
            <c:spPr>
              <a:solidFill>
                <a:schemeClr val="tx1"/>
              </a:solidFill>
              <a:ln>
                <a:solidFill>
                  <a:schemeClr val="tx1"/>
                </a:solidFill>
              </a:ln>
            </c:spPr>
          </c:marker>
          <c:trendline>
            <c:trendlineType val="linear"/>
            <c:dispRSqr val="1"/>
            <c:dispEq val="1"/>
            <c:trendlineLbl>
              <c:layout>
                <c:manualLayout>
                  <c:x val="-0.16225774881398436"/>
                  <c:y val="-3.0198227983932945E-4"/>
                </c:manualLayout>
              </c:layout>
              <c:numFmt formatCode="General" sourceLinked="0"/>
            </c:trendlineLbl>
          </c:trendline>
          <c:xVal>
            <c:numRef>
              <c:f>Chl_cal!$D$3:$D$42</c:f>
              <c:numCache>
                <c:formatCode>0.00</c:formatCode>
                <c:ptCount val="40"/>
                <c:pt idx="2">
                  <c:v>1.1232</c:v>
                </c:pt>
                <c:pt idx="3">
                  <c:v>0.94599999999999995</c:v>
                </c:pt>
                <c:pt idx="4">
                  <c:v>1.2074</c:v>
                </c:pt>
                <c:pt idx="5">
                  <c:v>0.89870000000000005</c:v>
                </c:pt>
                <c:pt idx="6">
                  <c:v>0.86750000000000005</c:v>
                </c:pt>
                <c:pt idx="7">
                  <c:v>0.30790000000000001</c:v>
                </c:pt>
                <c:pt idx="8">
                  <c:v>0.85309999999999997</c:v>
                </c:pt>
                <c:pt idx="9">
                  <c:v>1.1000000000000001</c:v>
                </c:pt>
                <c:pt idx="10">
                  <c:v>0.99529999999999996</c:v>
                </c:pt>
                <c:pt idx="11">
                  <c:v>2.3618999999999999</c:v>
                </c:pt>
                <c:pt idx="13">
                  <c:v>1.5319</c:v>
                </c:pt>
                <c:pt idx="14">
                  <c:v>2.1309999999999998</c:v>
                </c:pt>
                <c:pt idx="15">
                  <c:v>2.4</c:v>
                </c:pt>
                <c:pt idx="16">
                  <c:v>1.7810999999999999</c:v>
                </c:pt>
                <c:pt idx="17">
                  <c:v>2.2240000000000002</c:v>
                </c:pt>
                <c:pt idx="18">
                  <c:v>3.9573999999999998</c:v>
                </c:pt>
                <c:pt idx="19">
                  <c:v>1.4985999999999999</c:v>
                </c:pt>
                <c:pt idx="20">
                  <c:v>1.1768199533898305</c:v>
                </c:pt>
                <c:pt idx="21">
                  <c:v>1.8251777118644068</c:v>
                </c:pt>
                <c:pt idx="22">
                  <c:v>1.1399999999999999</c:v>
                </c:pt>
                <c:pt idx="23">
                  <c:v>1.0382</c:v>
                </c:pt>
                <c:pt idx="24">
                  <c:v>1.2202999999999999</c:v>
                </c:pt>
                <c:pt idx="25">
                  <c:v>0.66520000000000001</c:v>
                </c:pt>
                <c:pt idx="26">
                  <c:v>0.89100000000000001</c:v>
                </c:pt>
                <c:pt idx="27">
                  <c:v>0.56740000000000002</c:v>
                </c:pt>
                <c:pt idx="28">
                  <c:v>0.70330000000000004</c:v>
                </c:pt>
                <c:pt idx="29">
                  <c:v>1.2212000000000001</c:v>
                </c:pt>
                <c:pt idx="31">
                  <c:v>2.4289000000000001</c:v>
                </c:pt>
                <c:pt idx="32">
                  <c:v>1.8444</c:v>
                </c:pt>
                <c:pt idx="33">
                  <c:v>2.0213999999999999</c:v>
                </c:pt>
                <c:pt idx="34">
                  <c:v>2.1473</c:v>
                </c:pt>
                <c:pt idx="35">
                  <c:v>2.3414999999999999</c:v>
                </c:pt>
                <c:pt idx="36">
                  <c:v>2.0465</c:v>
                </c:pt>
                <c:pt idx="37">
                  <c:v>2.657</c:v>
                </c:pt>
                <c:pt idx="38">
                  <c:v>1.3563000000000001</c:v>
                </c:pt>
                <c:pt idx="39">
                  <c:v>1.1758999999999999</c:v>
                </c:pt>
              </c:numCache>
            </c:numRef>
          </c:xVal>
          <c:yVal>
            <c:numRef>
              <c:f>Chl_cal!$C$3:$C$42</c:f>
              <c:numCache>
                <c:formatCode>0.00</c:formatCode>
                <c:ptCount val="40"/>
                <c:pt idx="2">
                  <c:v>2.024</c:v>
                </c:pt>
                <c:pt idx="3">
                  <c:v>2.2759999999999998</c:v>
                </c:pt>
                <c:pt idx="4">
                  <c:v>2.9717647058823529</c:v>
                </c:pt>
                <c:pt idx="5">
                  <c:v>1.94</c:v>
                </c:pt>
                <c:pt idx="6">
                  <c:v>1.9506000000000001</c:v>
                </c:pt>
                <c:pt idx="7">
                  <c:v>2.5299999999999998</c:v>
                </c:pt>
                <c:pt idx="8">
                  <c:v>3.1120000000000001</c:v>
                </c:pt>
                <c:pt idx="9">
                  <c:v>3.9075000000000002</c:v>
                </c:pt>
                <c:pt idx="10">
                  <c:v>4.5880000000000001</c:v>
                </c:pt>
                <c:pt idx="11">
                  <c:v>8.0276923076923072</c:v>
                </c:pt>
                <c:pt idx="13">
                  <c:v>6.387096774193548</c:v>
                </c:pt>
                <c:pt idx="14">
                  <c:v>7.9588235294117657</c:v>
                </c:pt>
                <c:pt idx="15">
                  <c:v>9.5679999999999996</c:v>
                </c:pt>
                <c:pt idx="16">
                  <c:v>11.430463576158941</c:v>
                </c:pt>
                <c:pt idx="17">
                  <c:v>8.2940000000000005</c:v>
                </c:pt>
                <c:pt idx="18">
                  <c:v>14.335999999999999</c:v>
                </c:pt>
                <c:pt idx="19">
                  <c:v>5.319166666666665</c:v>
                </c:pt>
                <c:pt idx="20">
                  <c:v>2.1960000000000002</c:v>
                </c:pt>
                <c:pt idx="21">
                  <c:v>3.2725</c:v>
                </c:pt>
                <c:pt idx="22">
                  <c:v>2.72</c:v>
                </c:pt>
                <c:pt idx="23">
                  <c:v>3.012</c:v>
                </c:pt>
                <c:pt idx="24">
                  <c:v>2.9552941176470591</c:v>
                </c:pt>
                <c:pt idx="25">
                  <c:v>2.85</c:v>
                </c:pt>
                <c:pt idx="26">
                  <c:v>2.7359999999999998</c:v>
                </c:pt>
                <c:pt idx="27">
                  <c:v>1.6454</c:v>
                </c:pt>
                <c:pt idx="28">
                  <c:v>2.31</c:v>
                </c:pt>
                <c:pt idx="29">
                  <c:v>4.5628571428571432</c:v>
                </c:pt>
                <c:pt idx="31">
                  <c:v>8.2333333333333343</c:v>
                </c:pt>
                <c:pt idx="32">
                  <c:v>7.9857142857142858</c:v>
                </c:pt>
                <c:pt idx="33">
                  <c:v>7.6766666666666685</c:v>
                </c:pt>
                <c:pt idx="34">
                  <c:v>8.8509090909090915</c:v>
                </c:pt>
                <c:pt idx="35">
                  <c:v>9.9239999999999995</c:v>
                </c:pt>
                <c:pt idx="36">
                  <c:v>10.976666666666668</c:v>
                </c:pt>
                <c:pt idx="37">
                  <c:v>6.7240000000000002</c:v>
                </c:pt>
                <c:pt idx="38">
                  <c:v>4.706666666666667</c:v>
                </c:pt>
                <c:pt idx="39">
                  <c:v>5.3879999999999999</c:v>
                </c:pt>
              </c:numCache>
            </c:numRef>
          </c:yVal>
          <c:smooth val="0"/>
          <c:extLst>
            <c:ext xmlns:c16="http://schemas.microsoft.com/office/drawing/2014/chart" uri="{C3380CC4-5D6E-409C-BE32-E72D297353CC}">
              <c16:uniqueId val="{00000000-B2A7-43D8-84E9-5606844B01D5}"/>
            </c:ext>
          </c:extLst>
        </c:ser>
        <c:dLbls>
          <c:showLegendKey val="0"/>
          <c:showVal val="0"/>
          <c:showCatName val="0"/>
          <c:showSerName val="0"/>
          <c:showPercent val="0"/>
          <c:showBubbleSize val="0"/>
        </c:dLbls>
        <c:axId val="303947128"/>
        <c:axId val="303947520"/>
      </c:scatterChart>
      <c:valAx>
        <c:axId val="303947128"/>
        <c:scaling>
          <c:orientation val="minMax"/>
        </c:scaling>
        <c:delete val="0"/>
        <c:axPos val="b"/>
        <c:title>
          <c:tx>
            <c:rich>
              <a:bodyPr/>
              <a:lstStyle/>
              <a:p>
                <a:pPr>
                  <a:defRPr b="0"/>
                </a:pPr>
                <a:r>
                  <a:rPr lang="en-US" b="0"/>
                  <a:t>CTD Fluorescence</a:t>
                </a:r>
              </a:p>
            </c:rich>
          </c:tx>
          <c:layout>
            <c:manualLayout>
              <c:xMode val="edge"/>
              <c:yMode val="edge"/>
              <c:x val="0.4541161670766618"/>
              <c:y val="0.89468325521269376"/>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3947520"/>
        <c:crossesAt val="-500"/>
        <c:crossBetween val="midCat"/>
      </c:valAx>
      <c:valAx>
        <c:axId val="303947520"/>
        <c:scaling>
          <c:orientation val="minMax"/>
        </c:scaling>
        <c:delete val="0"/>
        <c:axPos val="l"/>
        <c:title>
          <c:tx>
            <c:rich>
              <a:bodyPr/>
              <a:lstStyle/>
              <a:p>
                <a:pPr>
                  <a:defRPr b="0"/>
                </a:pPr>
                <a:r>
                  <a:rPr lang="en-US" b="0"/>
                  <a:t>Extracted Chl a</a:t>
                </a:r>
              </a:p>
            </c:rich>
          </c:tx>
          <c:layout>
            <c:manualLayout>
              <c:xMode val="edge"/>
              <c:yMode val="edge"/>
              <c:x val="4.3675438234056077E-2"/>
              <c:y val="0.2974038190540868"/>
            </c:manualLayout>
          </c:layout>
          <c:overlay val="0"/>
        </c:title>
        <c:numFmt formatCode="0.00" sourceLinked="1"/>
        <c:majorTickMark val="out"/>
        <c:minorTickMark val="none"/>
        <c:tickLblPos val="nextTo"/>
        <c:spPr>
          <a:ln w="6350">
            <a:solidFill>
              <a:sysClr val="windowText" lastClr="000000"/>
            </a:solidFill>
          </a:ln>
        </c:spPr>
        <c:crossAx val="303947128"/>
        <c:crosses val="autoZero"/>
        <c:crossBetween val="midCat"/>
      </c:val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0.10856023961303136"/>
          <c:w val="0.76289020233673099"/>
          <c:h val="0.70467507020747244"/>
        </c:manualLayout>
      </c:layout>
      <c:scatterChart>
        <c:scatterStyle val="lineMarker"/>
        <c:varyColors val="0"/>
        <c:ser>
          <c:idx val="0"/>
          <c:order val="0"/>
          <c:tx>
            <c:v>Shoal</c:v>
          </c:tx>
          <c:spPr>
            <a:ln w="9525">
              <a:noFill/>
            </a:ln>
          </c:spPr>
          <c:marker>
            <c:symbol val="circle"/>
            <c:size val="5"/>
            <c:spPr>
              <a:noFill/>
              <a:ln>
                <a:solidFill>
                  <a:schemeClr val="tx1"/>
                </a:solidFill>
              </a:ln>
            </c:spPr>
          </c:marker>
          <c:trendline>
            <c:trendlineType val="linear"/>
            <c:dispRSqr val="0"/>
            <c:dispEq val="0"/>
          </c:trendline>
          <c:trendline>
            <c:trendlineType val="linear"/>
            <c:dispRSqr val="1"/>
            <c:dispEq val="1"/>
            <c:trendlineLbl>
              <c:layout>
                <c:manualLayout>
                  <c:x val="-0.29901221270462736"/>
                  <c:y val="6.5410159365438432E-3"/>
                </c:manualLayout>
              </c:layout>
              <c:numFmt formatCode="General" sourceLinked="0"/>
            </c:trendlineLbl>
          </c:trendline>
          <c:xVal>
            <c:numRef>
              <c:f>Chl_cal!$I$3:$I$21</c:f>
              <c:numCache>
                <c:formatCode>0.00</c:formatCode>
                <c:ptCount val="19"/>
                <c:pt idx="0">
                  <c:v>1.3436776129943511</c:v>
                </c:pt>
                <c:pt idx="1">
                  <c:v>2.1542913135593218</c:v>
                </c:pt>
                <c:pt idx="2">
                  <c:v>1.4977471751412434</c:v>
                </c:pt>
                <c:pt idx="3">
                  <c:v>0.98795611064762756</c:v>
                </c:pt>
                <c:pt idx="4">
                  <c:v>1.2089134017631005</c:v>
                </c:pt>
                <c:pt idx="5">
                  <c:v>1.0220045269074192</c:v>
                </c:pt>
                <c:pt idx="6">
                  <c:v>0.99318679378531094</c:v>
                </c:pt>
                <c:pt idx="7">
                  <c:v>0.89973297159886678</c:v>
                </c:pt>
                <c:pt idx="8">
                  <c:v>1.1705264298528193</c:v>
                </c:pt>
                <c:pt idx="9">
                  <c:v>1.5772794384349671</c:v>
                </c:pt>
                <c:pt idx="10">
                  <c:v>1.3253618484917726</c:v>
                </c:pt>
                <c:pt idx="11">
                  <c:v>2.8251149173222516</c:v>
                </c:pt>
                <c:pt idx="12">
                  <c:v>2.3468504590395489</c:v>
                </c:pt>
                <c:pt idx="13">
                  <c:v>3.317936087570621</c:v>
                </c:pt>
                <c:pt idx="14">
                  <c:v>2.2513310381355924</c:v>
                </c:pt>
                <c:pt idx="15">
                  <c:v>3.0535690324858766</c:v>
                </c:pt>
                <c:pt idx="16">
                  <c:v>2.3391690397045726</c:v>
                </c:pt>
                <c:pt idx="18">
                  <c:v>5.1305985822088571</c:v>
                </c:pt>
              </c:numCache>
            </c:numRef>
          </c:xVal>
          <c:yVal>
            <c:numRef>
              <c:f>Chl_cal!$C$3:$C$21</c:f>
              <c:numCache>
                <c:formatCode>0.00</c:formatCode>
                <c:ptCount val="19"/>
                <c:pt idx="2">
                  <c:v>2.024</c:v>
                </c:pt>
                <c:pt idx="3">
                  <c:v>2.2759999999999998</c:v>
                </c:pt>
                <c:pt idx="4">
                  <c:v>2.9717647058823529</c:v>
                </c:pt>
                <c:pt idx="5">
                  <c:v>1.94</c:v>
                </c:pt>
                <c:pt idx="6">
                  <c:v>1.9506000000000001</c:v>
                </c:pt>
                <c:pt idx="7">
                  <c:v>2.5299999999999998</c:v>
                </c:pt>
                <c:pt idx="8">
                  <c:v>3.1120000000000001</c:v>
                </c:pt>
                <c:pt idx="9">
                  <c:v>3.9075000000000002</c:v>
                </c:pt>
                <c:pt idx="10">
                  <c:v>4.5880000000000001</c:v>
                </c:pt>
                <c:pt idx="11">
                  <c:v>8.0276923076923072</c:v>
                </c:pt>
                <c:pt idx="13">
                  <c:v>6.387096774193548</c:v>
                </c:pt>
                <c:pt idx="14">
                  <c:v>7.9588235294117657</c:v>
                </c:pt>
                <c:pt idx="15">
                  <c:v>9.5679999999999996</c:v>
                </c:pt>
                <c:pt idx="16">
                  <c:v>11.430463576158941</c:v>
                </c:pt>
                <c:pt idx="17">
                  <c:v>8.2940000000000005</c:v>
                </c:pt>
                <c:pt idx="18">
                  <c:v>14.335999999999999</c:v>
                </c:pt>
              </c:numCache>
            </c:numRef>
          </c:yVal>
          <c:smooth val="0"/>
          <c:extLst>
            <c:ext xmlns:c16="http://schemas.microsoft.com/office/drawing/2014/chart" uri="{C3380CC4-5D6E-409C-BE32-E72D297353CC}">
              <c16:uniqueId val="{00000000-B2A7-43D8-84E9-5606844B01D5}"/>
            </c:ext>
          </c:extLst>
        </c:ser>
        <c:ser>
          <c:idx val="1"/>
          <c:order val="1"/>
          <c:tx>
            <c:v>Channel</c:v>
          </c:tx>
          <c:spPr>
            <a:ln w="28575">
              <a:noFill/>
            </a:ln>
          </c:spPr>
          <c:marker>
            <c:symbol val="circle"/>
            <c:size val="5"/>
            <c:spPr>
              <a:solidFill>
                <a:schemeClr val="tx1"/>
              </a:solidFill>
              <a:ln>
                <a:solidFill>
                  <a:schemeClr val="tx1"/>
                </a:solidFill>
              </a:ln>
            </c:spPr>
          </c:marker>
          <c:trendline>
            <c:trendlineType val="linear"/>
            <c:dispRSqr val="1"/>
            <c:dispEq val="1"/>
            <c:trendlineLbl>
              <c:layout>
                <c:manualLayout>
                  <c:x val="0.32785223940482677"/>
                  <c:y val="0.30398377343716015"/>
                </c:manualLayout>
              </c:layout>
              <c:numFmt formatCode="General" sourceLinked="0"/>
            </c:trendlineLbl>
          </c:trendline>
          <c:xVal>
            <c:numRef>
              <c:f>Chl_cal!$I$22:$I$42</c:f>
              <c:numCache>
                <c:formatCode>0.00</c:formatCode>
                <c:ptCount val="21"/>
                <c:pt idx="0">
                  <c:v>2.2875523123488408</c:v>
                </c:pt>
                <c:pt idx="1">
                  <c:v>1.36692302259887</c:v>
                </c:pt>
                <c:pt idx="2">
                  <c:v>2.1225847457627118</c:v>
                </c:pt>
                <c:pt idx="3">
                  <c:v>1.4695985169491523</c:v>
                </c:pt>
                <c:pt idx="4">
                  <c:v>0.96645462570621443</c:v>
                </c:pt>
                <c:pt idx="5">
                  <c:v>1.1150084745762707</c:v>
                </c:pt>
                <c:pt idx="6">
                  <c:v>0.96755685028248639</c:v>
                </c:pt>
                <c:pt idx="7">
                  <c:v>0.94609427966101667</c:v>
                </c:pt>
                <c:pt idx="8">
                  <c:v>0.8055158898305087</c:v>
                </c:pt>
                <c:pt idx="9">
                  <c:v>0.91407821327683558</c:v>
                </c:pt>
                <c:pt idx="10">
                  <c:v>1.4148022598870051</c:v>
                </c:pt>
                <c:pt idx="11">
                  <c:v>1.131833333333333</c:v>
                </c:pt>
                <c:pt idx="12">
                  <c:v>2.6386649011299443</c:v>
                </c:pt>
                <c:pt idx="13">
                  <c:v>2.2975349576271182</c:v>
                </c:pt>
                <c:pt idx="14">
                  <c:v>2.6738112641242928</c:v>
                </c:pt>
                <c:pt idx="15">
                  <c:v>2.0671608403954802</c:v>
                </c:pt>
                <c:pt idx="16">
                  <c:v>2.6075340748587577</c:v>
                </c:pt>
                <c:pt idx="17">
                  <c:v>2.2179193149717511</c:v>
                </c:pt>
                <c:pt idx="19">
                  <c:v>3.0018667019774004</c:v>
                </c:pt>
                <c:pt idx="20">
                  <c:v>1.8449906606710471</c:v>
                </c:pt>
              </c:numCache>
            </c:numRef>
          </c:xVal>
          <c:yVal>
            <c:numRef>
              <c:f>Chl_cal!$C$22:$C$42</c:f>
              <c:numCache>
                <c:formatCode>0.00</c:formatCode>
                <c:ptCount val="21"/>
                <c:pt idx="0">
                  <c:v>5.319166666666665</c:v>
                </c:pt>
                <c:pt idx="1">
                  <c:v>2.1960000000000002</c:v>
                </c:pt>
                <c:pt idx="2">
                  <c:v>3.2725</c:v>
                </c:pt>
                <c:pt idx="3">
                  <c:v>2.72</c:v>
                </c:pt>
                <c:pt idx="4">
                  <c:v>3.012</c:v>
                </c:pt>
                <c:pt idx="5">
                  <c:v>2.9552941176470591</c:v>
                </c:pt>
                <c:pt idx="6">
                  <c:v>2.85</c:v>
                </c:pt>
                <c:pt idx="7">
                  <c:v>2.7359999999999998</c:v>
                </c:pt>
                <c:pt idx="8">
                  <c:v>1.6454</c:v>
                </c:pt>
                <c:pt idx="9">
                  <c:v>2.31</c:v>
                </c:pt>
                <c:pt idx="10">
                  <c:v>4.5628571428571432</c:v>
                </c:pt>
                <c:pt idx="12">
                  <c:v>8.2333333333333343</c:v>
                </c:pt>
                <c:pt idx="13">
                  <c:v>7.9857142857142858</c:v>
                </c:pt>
                <c:pt idx="14">
                  <c:v>7.6766666666666685</c:v>
                </c:pt>
                <c:pt idx="15">
                  <c:v>8.8509090909090915</c:v>
                </c:pt>
                <c:pt idx="16">
                  <c:v>9.9239999999999995</c:v>
                </c:pt>
                <c:pt idx="17">
                  <c:v>10.976666666666668</c:v>
                </c:pt>
                <c:pt idx="18">
                  <c:v>6.7240000000000002</c:v>
                </c:pt>
                <c:pt idx="19">
                  <c:v>4.706666666666667</c:v>
                </c:pt>
                <c:pt idx="20">
                  <c:v>5.3879999999999999</c:v>
                </c:pt>
              </c:numCache>
            </c:numRef>
          </c:yVal>
          <c:smooth val="0"/>
          <c:extLst>
            <c:ext xmlns:c16="http://schemas.microsoft.com/office/drawing/2014/chart" uri="{C3380CC4-5D6E-409C-BE32-E72D297353CC}">
              <c16:uniqueId val="{00000000-5CEE-4516-8D16-F6323ED9D152}"/>
            </c:ext>
          </c:extLst>
        </c:ser>
        <c:dLbls>
          <c:showLegendKey val="0"/>
          <c:showVal val="0"/>
          <c:showCatName val="0"/>
          <c:showSerName val="0"/>
          <c:showPercent val="0"/>
          <c:showBubbleSize val="0"/>
        </c:dLbls>
        <c:axId val="303948304"/>
        <c:axId val="303948696"/>
      </c:scatterChart>
      <c:valAx>
        <c:axId val="303948304"/>
        <c:scaling>
          <c:orientation val="minMax"/>
        </c:scaling>
        <c:delete val="0"/>
        <c:axPos val="b"/>
        <c:title>
          <c:tx>
            <c:rich>
              <a:bodyPr/>
              <a:lstStyle/>
              <a:p>
                <a:pPr>
                  <a:defRPr b="0"/>
                </a:pPr>
                <a:r>
                  <a:rPr lang="en-US" b="0"/>
                  <a:t>WQM Fluorescence</a:t>
                </a:r>
              </a:p>
            </c:rich>
          </c:tx>
          <c:layout>
            <c:manualLayout>
              <c:xMode val="edge"/>
              <c:yMode val="edge"/>
              <c:x val="0.4541161670766618"/>
              <c:y val="0.89468325521269376"/>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3948696"/>
        <c:crossesAt val="-500"/>
        <c:crossBetween val="midCat"/>
      </c:valAx>
      <c:valAx>
        <c:axId val="303948696"/>
        <c:scaling>
          <c:orientation val="minMax"/>
        </c:scaling>
        <c:delete val="0"/>
        <c:axPos val="l"/>
        <c:title>
          <c:tx>
            <c:rich>
              <a:bodyPr/>
              <a:lstStyle/>
              <a:p>
                <a:pPr>
                  <a:defRPr b="0"/>
                </a:pPr>
                <a:r>
                  <a:rPr lang="en-US" b="0"/>
                  <a:t>Extracted Chl a</a:t>
                </a:r>
              </a:p>
            </c:rich>
          </c:tx>
          <c:layout>
            <c:manualLayout>
              <c:xMode val="edge"/>
              <c:yMode val="edge"/>
              <c:x val="4.3675438234056077E-2"/>
              <c:y val="0.2974038190540868"/>
            </c:manualLayout>
          </c:layout>
          <c:overlay val="0"/>
        </c:title>
        <c:numFmt formatCode="0.00" sourceLinked="1"/>
        <c:majorTickMark val="out"/>
        <c:minorTickMark val="none"/>
        <c:tickLblPos val="nextTo"/>
        <c:spPr>
          <a:ln w="6350">
            <a:solidFill>
              <a:sysClr val="windowText" lastClr="000000"/>
            </a:solidFill>
          </a:ln>
        </c:spPr>
        <c:crossAx val="303948304"/>
        <c:crosses val="autoZero"/>
        <c:crossBetween val="midCat"/>
      </c:valAx>
      <c:spPr>
        <a:ln>
          <a:solidFill>
            <a:sysClr val="windowText" lastClr="000000"/>
          </a:solidFill>
        </a:ln>
      </c:spPr>
    </c:plotArea>
    <c:legend>
      <c:legendPos val="r"/>
      <c:legendEntry>
        <c:idx val="2"/>
        <c:delete val="1"/>
      </c:legendEntry>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3339775935834"/>
          <c:y val="6.1111152554763785E-2"/>
          <c:w val="0.80366937299625296"/>
          <c:h val="0.81111166118141076"/>
        </c:manualLayout>
      </c:layout>
      <c:scatterChart>
        <c:scatterStyle val="lineMarker"/>
        <c:varyColors val="0"/>
        <c:ser>
          <c:idx val="0"/>
          <c:order val="0"/>
          <c:tx>
            <c:strRef>
              <c:f>'3_WAY'!$C$2</c:f>
              <c:strCache>
                <c:ptCount val="1"/>
                <c:pt idx="0">
                  <c:v>Rt.R</c:v>
                </c:pt>
              </c:strCache>
            </c:strRef>
          </c:tx>
          <c:spPr>
            <a:ln w="12700">
              <a:solidFill>
                <a:srgbClr val="000000"/>
              </a:solidFill>
              <a:prstDash val="solid"/>
            </a:ln>
          </c:spPr>
          <c:marker>
            <c:symbol val="circle"/>
            <c:size val="7"/>
            <c:spPr>
              <a:solidFill>
                <a:srgbClr val="FFFFFF"/>
              </a:solidFill>
              <a:ln>
                <a:solidFill>
                  <a:srgbClr val="000000"/>
                </a:solidFill>
                <a:prstDash val="solid"/>
              </a:ln>
            </c:spPr>
          </c:marker>
          <c:xVal>
            <c:numRef>
              <c:f>'3_WAY'!$B$3:$B$22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'3_WAY'!$C$3:$C$22</c:f>
              <c:numCache>
                <c:formatCode>0.0</c:formatCode>
                <c:ptCount val="2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numCache>
            </c:numRef>
          </c:yVal>
          <c:smooth val="0"/>
          <c:extLst>
            <c:ext xmlns:c16="http://schemas.microsoft.com/office/drawing/2014/chart" uri="{C3380CC4-5D6E-409C-BE32-E72D297353CC}">
              <c16:uniqueId val="{00000000-15EE-4D31-B91C-50564D23E5B9}"/>
            </c:ext>
          </c:extLst>
        </c:ser>
        <c:ser>
          <c:idx val="1"/>
          <c:order val="1"/>
          <c:tx>
            <c:strRef>
              <c:f>'3_WAY'!$D$2</c:f>
              <c:strCache>
                <c:ptCount val="1"/>
                <c:pt idx="0">
                  <c:v>Pg.R</c:v>
                </c:pt>
              </c:strCache>
            </c:strRef>
          </c:tx>
          <c:spPr>
            <a:ln w="12700">
              <a:solidFill>
                <a:srgbClr val="000000"/>
              </a:solidFill>
              <a:prstDash val="solid"/>
            </a:ln>
          </c:spPr>
          <c:marker>
            <c:symbol val="square"/>
            <c:size val="7"/>
            <c:spPr>
              <a:solidFill>
                <a:srgbClr val="FFFFFF"/>
              </a:solidFill>
              <a:ln>
                <a:solidFill>
                  <a:srgbClr val="0000FF"/>
                </a:solidFill>
                <a:prstDash val="solid"/>
              </a:ln>
            </c:spPr>
          </c:marker>
          <c:xVal>
            <c:numRef>
              <c:f>'3_WAY'!$B$3:$B$22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'3_WAY'!$D$3:$D$22</c:f>
              <c:numCache>
                <c:formatCode>0.0</c:formatCode>
                <c:ptCount val="20"/>
                <c:pt idx="0">
                  <c:v>2495.917886710024</c:v>
                </c:pt>
                <c:pt idx="1">
                  <c:v>1772.9692707102838</c:v>
                </c:pt>
                <c:pt idx="2">
                  <c:v>878.76941135058576</c:v>
                </c:pt>
                <c:pt idx="3">
                  <c:v>3684.6911801963515</c:v>
                </c:pt>
                <c:pt idx="4">
                  <c:v>3963.0185304862453</c:v>
                </c:pt>
                <c:pt idx="5">
                  <c:v>2582.7180908501628</c:v>
                </c:pt>
                <c:pt idx="6">
                  <c:v>3335.8725148896324</c:v>
                </c:pt>
                <c:pt idx="7">
                  <c:v>3737.1826678675452</c:v>
                </c:pt>
                <c:pt idx="8">
                  <c:v>3280.0642828031755</c:v>
                </c:pt>
                <c:pt idx="9">
                  <c:v>3140.6869114255824</c:v>
                </c:pt>
                <c:pt idx="10">
                  <c:v>2317.7396150907853</c:v>
                </c:pt>
                <c:pt idx="11">
                  <c:v>3539.3430803533333</c:v>
                </c:pt>
                <c:pt idx="12">
                  <c:v>1460.6278673514785</c:v>
                </c:pt>
                <c:pt idx="13">
                  <c:v>1688.2012671551747</c:v>
                </c:pt>
                <c:pt idx="14">
                  <c:v>3455.035512107168</c:v>
                </c:pt>
                <c:pt idx="15">
                  <c:v>2168.0130088862393</c:v>
                </c:pt>
                <c:pt idx="16">
                  <c:v>3258.53742811347</c:v>
                </c:pt>
                <c:pt idx="17">
                  <c:v>3064.6346269465093</c:v>
                </c:pt>
                <c:pt idx="18">
                  <c:v>3013.2854787680467</c:v>
                </c:pt>
                <c:pt idx="19">
                  <c:v>3119.158826473179</c:v>
                </c:pt>
              </c:numCache>
            </c:numRef>
          </c:yVal>
          <c:smooth val="0"/>
          <c:extLst>
            <c:ext xmlns:c16="http://schemas.microsoft.com/office/drawing/2014/chart" uri="{C3380CC4-5D6E-409C-BE32-E72D297353CC}">
              <c16:uniqueId val="{00000001-15EE-4D31-B91C-50564D23E5B9}"/>
            </c:ext>
          </c:extLst>
        </c:ser>
        <c:dLbls>
          <c:showLegendKey val="0"/>
          <c:showVal val="0"/>
          <c:showCatName val="0"/>
          <c:showSerName val="0"/>
          <c:showPercent val="0"/>
          <c:showBubbleSize val="0"/>
        </c:dLbls>
        <c:axId val="303949872"/>
        <c:axId val="303639488"/>
      </c:scatterChart>
      <c:scatterChart>
        <c:scatterStyle val="lineMarker"/>
        <c:varyColors val="0"/>
        <c:ser>
          <c:idx val="3"/>
          <c:order val="2"/>
          <c:tx>
            <c:strRef>
              <c:f>'3_WAY'!$E$2</c:f>
              <c:strCache>
                <c:ptCount val="1"/>
                <c:pt idx="0">
                  <c:v>Temp.wqm</c:v>
                </c:pt>
              </c:strCache>
            </c:strRef>
          </c:tx>
          <c:spPr>
            <a:ln w="12700">
              <a:solidFill>
                <a:srgbClr val="FF0000"/>
              </a:solidFill>
              <a:prstDash val="solid"/>
            </a:ln>
          </c:spPr>
          <c:marker>
            <c:symbol val="circle"/>
            <c:size val="7"/>
            <c:spPr>
              <a:solidFill>
                <a:srgbClr val="FFFFFF"/>
              </a:solidFill>
              <a:ln>
                <a:solidFill>
                  <a:srgbClr val="FF0000"/>
                </a:solidFill>
                <a:prstDash val="solid"/>
              </a:ln>
            </c:spPr>
          </c:marker>
          <c:xVal>
            <c:numRef>
              <c:f>'3_WAY'!$B$3:$B$22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'3_WAY'!$E$3:$E$22</c:f>
              <c:numCache>
                <c:formatCode>_(* #,##0.0_);_(* \(#,##0.0\);_(* "-"??_);_(@_)</c:formatCode>
                <c:ptCount val="20"/>
                <c:pt idx="0">
                  <c:v>23.171923234463275</c:v>
                </c:pt>
                <c:pt idx="1">
                  <c:v>21.649027454096039</c:v>
                </c:pt>
                <c:pt idx="2">
                  <c:v>23.099892266949158</c:v>
                </c:pt>
                <c:pt idx="3">
                  <c:v>23.421039153898647</c:v>
                </c:pt>
                <c:pt idx="4">
                  <c:v>24.002721816311134</c:v>
                </c:pt>
                <c:pt idx="5">
                  <c:v>27.48360989991534</c:v>
                </c:pt>
                <c:pt idx="6">
                  <c:v>26.792171592514126</c:v>
                </c:pt>
                <c:pt idx="7">
                  <c:v>28.686640453444195</c:v>
                </c:pt>
                <c:pt idx="8">
                  <c:v>29.21309856233049</c:v>
                </c:pt>
                <c:pt idx="9">
                  <c:v>29.419344773002095</c:v>
                </c:pt>
                <c:pt idx="10">
                  <c:v>30.120457564489616</c:v>
                </c:pt>
                <c:pt idx="11">
                  <c:v>29.437872960179437</c:v>
                </c:pt>
                <c:pt idx="12">
                  <c:v>28.668427736581915</c:v>
                </c:pt>
                <c:pt idx="13">
                  <c:v>30.107479625706219</c:v>
                </c:pt>
                <c:pt idx="14">
                  <c:v>31.853659604519773</c:v>
                </c:pt>
                <c:pt idx="15">
                  <c:v>30.255830632062146</c:v>
                </c:pt>
                <c:pt idx="16">
                  <c:v>28.817751032012751</c:v>
                </c:pt>
                <c:pt idx="17">
                  <c:v>30.405850729899509</c:v>
                </c:pt>
                <c:pt idx="18">
                  <c:v>30.087987344540903</c:v>
                </c:pt>
                <c:pt idx="19">
                  <c:v>28.22399304048389</c:v>
                </c:pt>
              </c:numCache>
            </c:numRef>
          </c:yVal>
          <c:smooth val="0"/>
          <c:extLst>
            <c:ext xmlns:c16="http://schemas.microsoft.com/office/drawing/2014/chart" uri="{C3380CC4-5D6E-409C-BE32-E72D297353CC}">
              <c16:uniqueId val="{00000002-15EE-4D31-B91C-50564D23E5B9}"/>
            </c:ext>
          </c:extLst>
        </c:ser>
        <c:dLbls>
          <c:showLegendKey val="0"/>
          <c:showVal val="0"/>
          <c:showCatName val="0"/>
          <c:showSerName val="0"/>
          <c:showPercent val="0"/>
          <c:showBubbleSize val="0"/>
        </c:dLbls>
        <c:axId val="303639880"/>
        <c:axId val="303640272"/>
      </c:scatterChart>
      <c:valAx>
        <c:axId val="303949872"/>
        <c:scaling>
          <c:orientation val="minMax"/>
          <c:max val="41549"/>
          <c:min val="41365"/>
        </c:scaling>
        <c:delete val="0"/>
        <c:axPos val="b"/>
        <c:numFmt formatCode="mmm" sourceLinked="0"/>
        <c:majorTickMark val="out"/>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639488"/>
        <c:crosses val="autoZero"/>
        <c:crossBetween val="midCat"/>
        <c:majorUnit val="30.6"/>
      </c:valAx>
      <c:valAx>
        <c:axId val="303639488"/>
        <c:scaling>
          <c:orientation val="minMax"/>
        </c:scaling>
        <c:delete val="0"/>
        <c:axPos val="l"/>
        <c:title>
          <c:tx>
            <c:strRef>
              <c:f>'3_WAY'!$C$2:$E$2</c:f>
              <c:strCache>
                <c:ptCount val="3"/>
                <c:pt idx="0">
                  <c:v>Rt.R</c:v>
                </c:pt>
                <c:pt idx="1">
                  <c:v>Pg.R</c:v>
                </c:pt>
                <c:pt idx="2">
                  <c:v>Temp.wqm</c:v>
                </c:pt>
              </c:strCache>
            </c:strRef>
          </c:tx>
          <c:layout>
            <c:manualLayout>
              <c:xMode val="edge"/>
              <c:yMode val="edge"/>
              <c:x val="2.1666470795628157E-2"/>
              <c:y val="0.23442482189726285"/>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 sourceLinked="0"/>
        <c:majorTickMark val="out"/>
        <c:minorTickMark val="none"/>
        <c:tickLblPos val="nextTo"/>
        <c:spPr>
          <a:ln w="12700">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3949872"/>
        <c:crosses val="autoZero"/>
        <c:crossBetween val="midCat"/>
      </c:valAx>
      <c:valAx>
        <c:axId val="303639880"/>
        <c:scaling>
          <c:orientation val="minMax"/>
        </c:scaling>
        <c:delete val="1"/>
        <c:axPos val="b"/>
        <c:numFmt formatCode="[$-409]d\-mmm;@" sourceLinked="1"/>
        <c:majorTickMark val="out"/>
        <c:minorTickMark val="none"/>
        <c:tickLblPos val="nextTo"/>
        <c:crossAx val="303640272"/>
        <c:crosses val="autoZero"/>
        <c:crossBetween val="midCat"/>
      </c:valAx>
      <c:valAx>
        <c:axId val="303640272"/>
        <c:scaling>
          <c:orientation val="minMax"/>
        </c:scaling>
        <c:delete val="1"/>
        <c:axPos val="r"/>
        <c:numFmt formatCode="_(* #,##0.0_);_(* \(#,##0.0\);_(* &quot;-&quot;??_);_(@_)" sourceLinked="1"/>
        <c:majorTickMark val="out"/>
        <c:minorTickMark val="none"/>
        <c:tickLblPos val="nextTo"/>
        <c:crossAx val="303639880"/>
        <c:crosses val="max"/>
        <c:crossBetween val="midCat"/>
      </c:valAx>
      <c:spPr>
        <a:noFill/>
        <a:ln w="25400">
          <a:noFill/>
        </a:ln>
      </c:spPr>
    </c:plotArea>
    <c:legend>
      <c:legendPos val="r"/>
      <c:layout>
        <c:manualLayout>
          <c:xMode val="edge"/>
          <c:yMode val="edge"/>
          <c:x val="0.18976565598936398"/>
          <c:y val="8.2143000388881823E-2"/>
          <c:w val="0.26226040097406483"/>
          <c:h val="0.21428608797099605"/>
        </c:manualLayout>
      </c:layout>
      <c:overlay val="0"/>
      <c:spPr>
        <a:no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17957984239541"/>
          <c:y val="3.3755317727027313E-2"/>
          <c:w val="0.81893787343523761"/>
          <c:h val="0.77637230772162658"/>
        </c:manualLayout>
      </c:layout>
      <c:scatterChart>
        <c:scatterStyle val="lineMarker"/>
        <c:varyColors val="0"/>
        <c:ser>
          <c:idx val="2"/>
          <c:order val="0"/>
          <c:tx>
            <c:strRef>
              <c:f>'3_WAY'!$D$2</c:f>
              <c:strCache>
                <c:ptCount val="1"/>
                <c:pt idx="0">
                  <c:v>Pg.R</c:v>
                </c:pt>
              </c:strCache>
            </c:strRef>
          </c:tx>
          <c:spPr>
            <a:ln w="28575">
              <a:noFill/>
            </a:ln>
          </c:spPr>
          <c:marker>
            <c:symbol val="square"/>
            <c:size val="7"/>
            <c:spPr>
              <a:solidFill>
                <a:srgbClr val="FFFFFF"/>
              </a:solidFill>
              <a:ln>
                <a:solidFill>
                  <a:srgbClr val="0000FF"/>
                </a:solidFill>
                <a:prstDash val="solid"/>
              </a:ln>
            </c:spPr>
          </c:marker>
          <c:xVal>
            <c:numRef>
              <c:f>'3_WAY'!$C$3:$C$22</c:f>
              <c:numCache>
                <c:formatCode>0.0</c:formatCode>
                <c:ptCount val="2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numCache>
            </c:numRef>
          </c:xVal>
          <c:yVal>
            <c:numRef>
              <c:f>'3_WAY'!$D$3:$D$22</c:f>
              <c:numCache>
                <c:formatCode>0.0</c:formatCode>
                <c:ptCount val="20"/>
                <c:pt idx="0">
                  <c:v>2495.917886710024</c:v>
                </c:pt>
                <c:pt idx="1">
                  <c:v>1772.9692707102838</c:v>
                </c:pt>
                <c:pt idx="2">
                  <c:v>878.76941135058576</c:v>
                </c:pt>
                <c:pt idx="3">
                  <c:v>3684.6911801963515</c:v>
                </c:pt>
                <c:pt idx="4">
                  <c:v>3963.0185304862453</c:v>
                </c:pt>
                <c:pt idx="5">
                  <c:v>2582.7180908501628</c:v>
                </c:pt>
                <c:pt idx="6">
                  <c:v>3335.8725148896324</c:v>
                </c:pt>
                <c:pt idx="7">
                  <c:v>3737.1826678675452</c:v>
                </c:pt>
                <c:pt idx="8">
                  <c:v>3280.0642828031755</c:v>
                </c:pt>
                <c:pt idx="9">
                  <c:v>3140.6869114255824</c:v>
                </c:pt>
                <c:pt idx="10">
                  <c:v>2317.7396150907853</c:v>
                </c:pt>
                <c:pt idx="11">
                  <c:v>3539.3430803533333</c:v>
                </c:pt>
                <c:pt idx="12">
                  <c:v>1460.6278673514785</c:v>
                </c:pt>
                <c:pt idx="13">
                  <c:v>1688.2012671551747</c:v>
                </c:pt>
                <c:pt idx="14">
                  <c:v>3455.035512107168</c:v>
                </c:pt>
                <c:pt idx="15">
                  <c:v>2168.0130088862393</c:v>
                </c:pt>
                <c:pt idx="16">
                  <c:v>3258.53742811347</c:v>
                </c:pt>
                <c:pt idx="17">
                  <c:v>3064.6346269465093</c:v>
                </c:pt>
                <c:pt idx="18">
                  <c:v>3013.2854787680467</c:v>
                </c:pt>
                <c:pt idx="19">
                  <c:v>3119.158826473179</c:v>
                </c:pt>
              </c:numCache>
            </c:numRef>
          </c:yVal>
          <c:smooth val="0"/>
          <c:extLst>
            <c:ext xmlns:c16="http://schemas.microsoft.com/office/drawing/2014/chart" uri="{C3380CC4-5D6E-409C-BE32-E72D297353CC}">
              <c16:uniqueId val="{00000000-93E4-4429-B519-A9674CB6470C}"/>
            </c:ext>
          </c:extLst>
        </c:ser>
        <c:ser>
          <c:idx val="0"/>
          <c:order val="1"/>
          <c:tx>
            <c:strRef>
              <c:f>'3_WAY'!$D$2</c:f>
              <c:strCache>
                <c:ptCount val="1"/>
                <c:pt idx="0">
                  <c:v>Pg.R</c:v>
                </c:pt>
              </c:strCache>
            </c:strRef>
          </c:tx>
          <c:spPr>
            <a:ln w="28575">
              <a:noFill/>
            </a:ln>
          </c:spPr>
          <c:marker>
            <c:symbol val="square"/>
            <c:size val="7"/>
            <c:spPr>
              <a:solidFill>
                <a:srgbClr val="0000FF"/>
              </a:solidFill>
              <a:ln>
                <a:solidFill>
                  <a:srgbClr val="0000FF"/>
                </a:solidFill>
                <a:prstDash val="solid"/>
              </a:ln>
            </c:spPr>
          </c:marker>
          <c:xVal>
            <c:numRef>
              <c:f>'3_WAY'!$C$23:$C$42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xVal>
          <c:yVal>
            <c:numRef>
              <c:f>'3_WAY'!$D$23:$D$42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1-93E4-4429-B519-A9674CB6470C}"/>
            </c:ext>
          </c:extLst>
        </c:ser>
        <c:ser>
          <c:idx val="4"/>
          <c:order val="2"/>
          <c:tx>
            <c:strRef>
              <c:f>'3_WAY'!$D$2</c:f>
              <c:strCache>
                <c:ptCount val="1"/>
                <c:pt idx="0">
                  <c:v>Pg.R</c:v>
                </c:pt>
              </c:strCache>
            </c:strRef>
          </c:tx>
          <c:spPr>
            <a:ln w="28575">
              <a:noFill/>
            </a:ln>
          </c:spPr>
          <c:marker>
            <c:symbol val="none"/>
          </c:marker>
          <c:trendline>
            <c:spPr>
              <a:ln w="25400">
                <a:solidFill>
                  <a:srgbClr val="0000FF"/>
                </a:solidFill>
                <a:prstDash val="solid"/>
              </a:ln>
            </c:spPr>
            <c:trendlineType val="linear"/>
            <c:dispRSqr val="1"/>
            <c:dispEq val="1"/>
            <c:trendlineLbl>
              <c:layout>
                <c:manualLayout>
                  <c:x val="-0.18703039118468673"/>
                  <c:y val="-0.51844259721718433"/>
                </c:manualLayout>
              </c:layout>
              <c:numFmt formatCode="0.00" sourceLinked="0"/>
              <c:spPr>
                <a:solidFill>
                  <a:srgbClr val="FFFFFF"/>
                </a:solid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'3_WAY'!$C$3:$C$42</c:f>
              <c:numCache>
                <c:formatCode>0.0</c:formatCode>
                <c:ptCount val="4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xVal>
          <c:yVal>
            <c:numRef>
              <c:f>'3_WAY'!$D$3:$D$42</c:f>
              <c:numCache>
                <c:formatCode>0.0</c:formatCode>
                <c:ptCount val="40"/>
                <c:pt idx="0">
                  <c:v>2495.917886710024</c:v>
                </c:pt>
                <c:pt idx="1">
                  <c:v>1772.9692707102838</c:v>
                </c:pt>
                <c:pt idx="2">
                  <c:v>878.76941135058576</c:v>
                </c:pt>
                <c:pt idx="3">
                  <c:v>3684.6911801963515</c:v>
                </c:pt>
                <c:pt idx="4">
                  <c:v>3963.0185304862453</c:v>
                </c:pt>
                <c:pt idx="5">
                  <c:v>2582.7180908501628</c:v>
                </c:pt>
                <c:pt idx="6">
                  <c:v>3335.8725148896324</c:v>
                </c:pt>
                <c:pt idx="7">
                  <c:v>3737.1826678675452</c:v>
                </c:pt>
                <c:pt idx="8">
                  <c:v>3280.0642828031755</c:v>
                </c:pt>
                <c:pt idx="9">
                  <c:v>3140.6869114255824</c:v>
                </c:pt>
                <c:pt idx="10">
                  <c:v>2317.7396150907853</c:v>
                </c:pt>
                <c:pt idx="11">
                  <c:v>3539.3430803533333</c:v>
                </c:pt>
                <c:pt idx="12">
                  <c:v>1460.6278673514785</c:v>
                </c:pt>
                <c:pt idx="13">
                  <c:v>1688.2012671551747</c:v>
                </c:pt>
                <c:pt idx="14">
                  <c:v>3455.035512107168</c:v>
                </c:pt>
                <c:pt idx="15">
                  <c:v>2168.0130088862393</c:v>
                </c:pt>
                <c:pt idx="16">
                  <c:v>3258.53742811347</c:v>
                </c:pt>
                <c:pt idx="17">
                  <c:v>3064.6346269465093</c:v>
                </c:pt>
                <c:pt idx="18">
                  <c:v>3013.2854787680467</c:v>
                </c:pt>
                <c:pt idx="19">
                  <c:v>3119.158826473179</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yVal>
          <c:smooth val="0"/>
          <c:extLst>
            <c:ext xmlns:c16="http://schemas.microsoft.com/office/drawing/2014/chart" uri="{C3380CC4-5D6E-409C-BE32-E72D297353CC}">
              <c16:uniqueId val="{00000002-93E4-4429-B519-A9674CB6470C}"/>
            </c:ext>
          </c:extLst>
        </c:ser>
        <c:dLbls>
          <c:showLegendKey val="0"/>
          <c:showVal val="0"/>
          <c:showCatName val="0"/>
          <c:showSerName val="0"/>
          <c:showPercent val="0"/>
          <c:showBubbleSize val="0"/>
        </c:dLbls>
        <c:axId val="303641056"/>
        <c:axId val="303641448"/>
      </c:scatterChart>
      <c:scatterChart>
        <c:scatterStyle val="lineMarker"/>
        <c:varyColors val="0"/>
        <c:ser>
          <c:idx val="3"/>
          <c:order val="3"/>
          <c:tx>
            <c:strRef>
              <c:f>'3_WAY'!$E$2</c:f>
              <c:strCache>
                <c:ptCount val="1"/>
                <c:pt idx="0">
                  <c:v>Temp.wqm</c:v>
                </c:pt>
              </c:strCache>
            </c:strRef>
          </c:tx>
          <c:spPr>
            <a:ln w="28575">
              <a:noFill/>
            </a:ln>
          </c:spPr>
          <c:marker>
            <c:symbol val="circle"/>
            <c:size val="7"/>
            <c:spPr>
              <a:solidFill>
                <a:srgbClr val="FFFFFF"/>
              </a:solidFill>
              <a:ln>
                <a:solidFill>
                  <a:srgbClr val="FF0000"/>
                </a:solidFill>
                <a:prstDash val="solid"/>
              </a:ln>
            </c:spPr>
          </c:marker>
          <c:xVal>
            <c:numRef>
              <c:f>'3_WAY'!$C$3:$C$22</c:f>
              <c:numCache>
                <c:formatCode>0.0</c:formatCode>
                <c:ptCount val="2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numCache>
            </c:numRef>
          </c:xVal>
          <c:yVal>
            <c:numRef>
              <c:f>'3_WAY'!$E$3:$E$22</c:f>
              <c:numCache>
                <c:formatCode>_(* #,##0.0_);_(* \(#,##0.0\);_(* "-"??_);_(@_)</c:formatCode>
                <c:ptCount val="20"/>
                <c:pt idx="0">
                  <c:v>23.171923234463275</c:v>
                </c:pt>
                <c:pt idx="1">
                  <c:v>21.649027454096039</c:v>
                </c:pt>
                <c:pt idx="2">
                  <c:v>23.099892266949158</c:v>
                </c:pt>
                <c:pt idx="3">
                  <c:v>23.421039153898647</c:v>
                </c:pt>
                <c:pt idx="4">
                  <c:v>24.002721816311134</c:v>
                </c:pt>
                <c:pt idx="5">
                  <c:v>27.48360989991534</c:v>
                </c:pt>
                <c:pt idx="6">
                  <c:v>26.792171592514126</c:v>
                </c:pt>
                <c:pt idx="7">
                  <c:v>28.686640453444195</c:v>
                </c:pt>
                <c:pt idx="8">
                  <c:v>29.21309856233049</c:v>
                </c:pt>
                <c:pt idx="9">
                  <c:v>29.419344773002095</c:v>
                </c:pt>
                <c:pt idx="10">
                  <c:v>30.120457564489616</c:v>
                </c:pt>
                <c:pt idx="11">
                  <c:v>29.437872960179437</c:v>
                </c:pt>
                <c:pt idx="12">
                  <c:v>28.668427736581915</c:v>
                </c:pt>
                <c:pt idx="13">
                  <c:v>30.107479625706219</c:v>
                </c:pt>
                <c:pt idx="14">
                  <c:v>31.853659604519773</c:v>
                </c:pt>
                <c:pt idx="15">
                  <c:v>30.255830632062146</c:v>
                </c:pt>
                <c:pt idx="16">
                  <c:v>28.817751032012751</c:v>
                </c:pt>
                <c:pt idx="17">
                  <c:v>30.405850729899509</c:v>
                </c:pt>
                <c:pt idx="18">
                  <c:v>30.087987344540903</c:v>
                </c:pt>
                <c:pt idx="19">
                  <c:v>28.22399304048389</c:v>
                </c:pt>
              </c:numCache>
            </c:numRef>
          </c:yVal>
          <c:smooth val="0"/>
          <c:extLst>
            <c:ext xmlns:c16="http://schemas.microsoft.com/office/drawing/2014/chart" uri="{C3380CC4-5D6E-409C-BE32-E72D297353CC}">
              <c16:uniqueId val="{00000003-93E4-4429-B519-A9674CB6470C}"/>
            </c:ext>
          </c:extLst>
        </c:ser>
        <c:ser>
          <c:idx val="1"/>
          <c:order val="4"/>
          <c:tx>
            <c:strRef>
              <c:f>'3_WAY'!$E$2</c:f>
              <c:strCache>
                <c:ptCount val="1"/>
                <c:pt idx="0">
                  <c:v>Temp.wqm</c:v>
                </c:pt>
              </c:strCache>
            </c:strRef>
          </c:tx>
          <c:spPr>
            <a:ln w="28575">
              <a:noFill/>
            </a:ln>
          </c:spPr>
          <c:marker>
            <c:symbol val="circle"/>
            <c:size val="7"/>
            <c:spPr>
              <a:solidFill>
                <a:srgbClr val="FF0000"/>
              </a:solidFill>
              <a:ln>
                <a:solidFill>
                  <a:srgbClr val="FF0000"/>
                </a:solidFill>
                <a:prstDash val="solid"/>
              </a:ln>
            </c:spPr>
          </c:marker>
          <c:xVal>
            <c:numRef>
              <c:f>'3_WAY'!$C$23:$C$42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xVal>
          <c:yVal>
            <c:numRef>
              <c:f>'3_WAY'!$E$23:$E$42</c:f>
              <c:numCache>
                <c:formatCode>_(* #,##0.0_);_(* \(#,##0.0\);_(* "-"??_);_(@_)</c:formatCode>
                <c:ptCount val="20"/>
                <c:pt idx="0">
                  <c:v>22.751019738700553</c:v>
                </c:pt>
                <c:pt idx="1">
                  <c:v>21.620579590395483</c:v>
                </c:pt>
                <c:pt idx="2">
                  <c:v>23.137908898305085</c:v>
                </c:pt>
                <c:pt idx="3">
                  <c:v>22.689996027542367</c:v>
                </c:pt>
                <c:pt idx="4">
                  <c:v>23.448145409604518</c:v>
                </c:pt>
                <c:pt idx="5">
                  <c:v>27.026956267655365</c:v>
                </c:pt>
                <c:pt idx="6">
                  <c:v>26.497540960451971</c:v>
                </c:pt>
                <c:pt idx="7">
                  <c:v>28.609664724576266</c:v>
                </c:pt>
                <c:pt idx="8">
                  <c:v>28.91715790960453</c:v>
                </c:pt>
                <c:pt idx="9">
                  <c:v>29.262782874293787</c:v>
                </c:pt>
                <c:pt idx="10">
                  <c:v>30.118736882062151</c:v>
                </c:pt>
                <c:pt idx="11">
                  <c:v>29.174818273305089</c:v>
                </c:pt>
                <c:pt idx="12">
                  <c:v>28.669546557203393</c:v>
                </c:pt>
                <c:pt idx="13">
                  <c:v>30.199753495762707</c:v>
                </c:pt>
                <c:pt idx="14">
                  <c:v>31.485812252824857</c:v>
                </c:pt>
                <c:pt idx="15">
                  <c:v>29.978338294491522</c:v>
                </c:pt>
                <c:pt idx="16">
                  <c:v>28.639444120762722</c:v>
                </c:pt>
                <c:pt idx="17">
                  <c:v>30.002858598386368</c:v>
                </c:pt>
                <c:pt idx="18">
                  <c:v>29.773425017655367</c:v>
                </c:pt>
                <c:pt idx="19">
                  <c:v>28.029073313732276</c:v>
                </c:pt>
              </c:numCache>
            </c:numRef>
          </c:yVal>
          <c:smooth val="0"/>
          <c:extLst>
            <c:ext xmlns:c16="http://schemas.microsoft.com/office/drawing/2014/chart" uri="{C3380CC4-5D6E-409C-BE32-E72D297353CC}">
              <c16:uniqueId val="{00000004-93E4-4429-B519-A9674CB6470C}"/>
            </c:ext>
          </c:extLst>
        </c:ser>
        <c:ser>
          <c:idx val="5"/>
          <c:order val="5"/>
          <c:tx>
            <c:strRef>
              <c:f>'3_WAY'!$D$2</c:f>
              <c:strCache>
                <c:ptCount val="1"/>
                <c:pt idx="0">
                  <c:v>Pg.R</c:v>
                </c:pt>
              </c:strCache>
            </c:strRef>
          </c:tx>
          <c:spPr>
            <a:ln w="28575">
              <a:noFill/>
            </a:ln>
          </c:spPr>
          <c:marker>
            <c:symbol val="none"/>
          </c:marker>
          <c:trendline>
            <c:spPr>
              <a:ln w="25400">
                <a:solidFill>
                  <a:srgbClr val="FF0000"/>
                </a:solidFill>
                <a:prstDash val="solid"/>
              </a:ln>
            </c:spPr>
            <c:trendlineType val="linear"/>
            <c:dispRSqr val="1"/>
            <c:dispEq val="1"/>
            <c:trendlineLbl>
              <c:layout>
                <c:manualLayout>
                  <c:x val="-0.30207575797211417"/>
                  <c:y val="-0.1511470480746869"/>
                </c:manualLayout>
              </c:layout>
              <c:numFmt formatCode="0.00" sourceLinked="0"/>
              <c:spPr>
                <a:solidFill>
                  <a:srgbClr val="FFFFFF"/>
                </a:solidFill>
                <a:ln w="25400">
                  <a:noFill/>
                </a:ln>
              </c:spPr>
              <c:txPr>
                <a:bodyPr/>
                <a:lstStyle/>
                <a:p>
                  <a:pPr>
                    <a:defRPr sz="1000" b="0" i="0" u="none" strike="noStrike" baseline="0">
                      <a:solidFill>
                        <a:srgbClr val="FF0000"/>
                      </a:solidFill>
                      <a:latin typeface="Arial"/>
                      <a:ea typeface="Arial"/>
                      <a:cs typeface="Arial"/>
                    </a:defRPr>
                  </a:pPr>
                  <a:endParaRPr lang="en-US"/>
                </a:p>
              </c:txPr>
            </c:trendlineLbl>
          </c:trendline>
          <c:xVal>
            <c:numRef>
              <c:f>'3_WAY'!$C$3:$C$42</c:f>
              <c:numCache>
                <c:formatCode>0.0</c:formatCode>
                <c:ptCount val="4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xVal>
          <c:yVal>
            <c:numRef>
              <c:f>'3_WAY'!$E$3:$E$42</c:f>
              <c:numCache>
                <c:formatCode>_(* #,##0.0_);_(* \(#,##0.0\);_(* "-"??_);_(@_)</c:formatCode>
                <c:ptCount val="40"/>
                <c:pt idx="0">
                  <c:v>23.171923234463275</c:v>
                </c:pt>
                <c:pt idx="1">
                  <c:v>21.649027454096039</c:v>
                </c:pt>
                <c:pt idx="2">
                  <c:v>23.099892266949158</c:v>
                </c:pt>
                <c:pt idx="3">
                  <c:v>23.421039153898647</c:v>
                </c:pt>
                <c:pt idx="4">
                  <c:v>24.002721816311134</c:v>
                </c:pt>
                <c:pt idx="5">
                  <c:v>27.48360989991534</c:v>
                </c:pt>
                <c:pt idx="6">
                  <c:v>26.792171592514126</c:v>
                </c:pt>
                <c:pt idx="7">
                  <c:v>28.686640453444195</c:v>
                </c:pt>
                <c:pt idx="8">
                  <c:v>29.21309856233049</c:v>
                </c:pt>
                <c:pt idx="9">
                  <c:v>29.419344773002095</c:v>
                </c:pt>
                <c:pt idx="10">
                  <c:v>30.120457564489616</c:v>
                </c:pt>
                <c:pt idx="11">
                  <c:v>29.437872960179437</c:v>
                </c:pt>
                <c:pt idx="12">
                  <c:v>28.668427736581915</c:v>
                </c:pt>
                <c:pt idx="13">
                  <c:v>30.107479625706219</c:v>
                </c:pt>
                <c:pt idx="14">
                  <c:v>31.853659604519773</c:v>
                </c:pt>
                <c:pt idx="15">
                  <c:v>30.255830632062146</c:v>
                </c:pt>
                <c:pt idx="16">
                  <c:v>28.817751032012751</c:v>
                </c:pt>
                <c:pt idx="17">
                  <c:v>30.405850729899509</c:v>
                </c:pt>
                <c:pt idx="18">
                  <c:v>30.087987344540903</c:v>
                </c:pt>
                <c:pt idx="19">
                  <c:v>28.22399304048389</c:v>
                </c:pt>
                <c:pt idx="20">
                  <c:v>22.751019738700553</c:v>
                </c:pt>
                <c:pt idx="21">
                  <c:v>21.620579590395483</c:v>
                </c:pt>
                <c:pt idx="22">
                  <c:v>23.137908898305085</c:v>
                </c:pt>
                <c:pt idx="23">
                  <c:v>22.689996027542367</c:v>
                </c:pt>
                <c:pt idx="24">
                  <c:v>23.448145409604518</c:v>
                </c:pt>
                <c:pt idx="25">
                  <c:v>27.026956267655365</c:v>
                </c:pt>
                <c:pt idx="26">
                  <c:v>26.497540960451971</c:v>
                </c:pt>
                <c:pt idx="27">
                  <c:v>28.609664724576266</c:v>
                </c:pt>
                <c:pt idx="28">
                  <c:v>28.91715790960453</c:v>
                </c:pt>
                <c:pt idx="29">
                  <c:v>29.262782874293787</c:v>
                </c:pt>
                <c:pt idx="30">
                  <c:v>30.118736882062151</c:v>
                </c:pt>
                <c:pt idx="31">
                  <c:v>29.174818273305089</c:v>
                </c:pt>
                <c:pt idx="32">
                  <c:v>28.669546557203393</c:v>
                </c:pt>
                <c:pt idx="33">
                  <c:v>30.199753495762707</c:v>
                </c:pt>
                <c:pt idx="34">
                  <c:v>31.485812252824857</c:v>
                </c:pt>
                <c:pt idx="35">
                  <c:v>29.978338294491522</c:v>
                </c:pt>
                <c:pt idx="36">
                  <c:v>28.639444120762722</c:v>
                </c:pt>
                <c:pt idx="37">
                  <c:v>30.002858598386368</c:v>
                </c:pt>
                <c:pt idx="38">
                  <c:v>29.773425017655367</c:v>
                </c:pt>
                <c:pt idx="39">
                  <c:v>28.029073313732276</c:v>
                </c:pt>
              </c:numCache>
            </c:numRef>
          </c:yVal>
          <c:smooth val="0"/>
          <c:extLst>
            <c:ext xmlns:c16="http://schemas.microsoft.com/office/drawing/2014/chart" uri="{C3380CC4-5D6E-409C-BE32-E72D297353CC}">
              <c16:uniqueId val="{00000005-93E4-4429-B519-A9674CB6470C}"/>
            </c:ext>
          </c:extLst>
        </c:ser>
        <c:dLbls>
          <c:showLegendKey val="0"/>
          <c:showVal val="0"/>
          <c:showCatName val="0"/>
          <c:showSerName val="0"/>
          <c:showPercent val="0"/>
          <c:showBubbleSize val="0"/>
        </c:dLbls>
        <c:axId val="303641840"/>
        <c:axId val="303642232"/>
      </c:scatterChart>
      <c:valAx>
        <c:axId val="303641056"/>
        <c:scaling>
          <c:orientation val="minMax"/>
        </c:scaling>
        <c:delete val="0"/>
        <c:axPos val="b"/>
        <c:title>
          <c:tx>
            <c:strRef>
              <c:f>'3_WAY'!$C$2</c:f>
              <c:strCache>
                <c:ptCount val="1"/>
                <c:pt idx="0">
                  <c:v>Rt.R</c:v>
                </c:pt>
              </c:strCache>
            </c:strRef>
          </c:tx>
          <c:layout>
            <c:manualLayout>
              <c:xMode val="edge"/>
              <c:yMode val="edge"/>
              <c:x val="0.43189402606725441"/>
              <c:y val="0.91772270269495004"/>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641448"/>
        <c:crosses val="autoZero"/>
        <c:crossBetween val="midCat"/>
      </c:valAx>
      <c:valAx>
        <c:axId val="303641448"/>
        <c:scaling>
          <c:orientation val="minMax"/>
        </c:scaling>
        <c:delete val="0"/>
        <c:axPos val="l"/>
        <c:title>
          <c:tx>
            <c:strRef>
              <c:f>'3_WAY'!$D$2:$E$2</c:f>
              <c:strCache>
                <c:ptCount val="2"/>
                <c:pt idx="0">
                  <c:v>Pg.R</c:v>
                </c:pt>
                <c:pt idx="1">
                  <c:v>Temp.wqm</c:v>
                </c:pt>
              </c:strCache>
            </c:strRef>
          </c:tx>
          <c:layout>
            <c:manualLayout>
              <c:xMode val="edge"/>
              <c:yMode val="edge"/>
              <c:x val="1.6611256926217555E-2"/>
              <c:y val="0.27558854323537429"/>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0" sourceLinked="1"/>
        <c:majorTickMark val="out"/>
        <c:minorTickMark val="none"/>
        <c:tickLblPos val="nextTo"/>
        <c:spPr>
          <a:ln w="3175">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3641056"/>
        <c:crosses val="autoZero"/>
        <c:crossBetween val="midCat"/>
      </c:valAx>
      <c:valAx>
        <c:axId val="303641840"/>
        <c:scaling>
          <c:orientation val="minMax"/>
        </c:scaling>
        <c:delete val="1"/>
        <c:axPos val="b"/>
        <c:numFmt formatCode="0.0" sourceLinked="1"/>
        <c:majorTickMark val="out"/>
        <c:minorTickMark val="none"/>
        <c:tickLblPos val="nextTo"/>
        <c:crossAx val="303642232"/>
        <c:crosses val="autoZero"/>
        <c:crossBetween val="midCat"/>
      </c:valAx>
      <c:valAx>
        <c:axId val="303642232"/>
        <c:scaling>
          <c:orientation val="minMax"/>
        </c:scaling>
        <c:delete val="1"/>
        <c:axPos val="r"/>
        <c:numFmt formatCode="_(* #,##0.0_);_(* \(#,##0.0\);_(* &quot;-&quot;??_);_(@_)" sourceLinked="1"/>
        <c:majorTickMark val="out"/>
        <c:minorTickMark val="none"/>
        <c:tickLblPos val="nextTo"/>
        <c:crossAx val="303641840"/>
        <c:crosses val="max"/>
        <c:crossBetween val="midCat"/>
      </c:valAx>
      <c:spPr>
        <a:noFill/>
        <a:ln w="25400">
          <a:noFill/>
        </a:ln>
      </c:spPr>
    </c:plotArea>
    <c:legend>
      <c:legendPos val="r"/>
      <c:legendEntry>
        <c:idx val="0"/>
        <c:delete val="1"/>
      </c:legendEntry>
      <c:legendEntry>
        <c:idx val="2"/>
        <c:delete val="1"/>
      </c:legendEntry>
      <c:legendEntry>
        <c:idx val="3"/>
        <c:delete val="1"/>
      </c:legendEntry>
      <c:legendEntry>
        <c:idx val="5"/>
        <c:delete val="1"/>
      </c:legendEntry>
      <c:legendEntry>
        <c:idx val="6"/>
        <c:delete val="1"/>
      </c:legendEntry>
      <c:legendEntry>
        <c:idx val="7"/>
        <c:delete val="1"/>
      </c:legendEntry>
      <c:layout>
        <c:manualLayout>
          <c:xMode val="edge"/>
          <c:yMode val="edge"/>
          <c:x val="0.15170971827782426"/>
          <c:y val="0.43442738864889818"/>
          <c:w val="0.20299187656891979"/>
          <c:h val="0.1530058727316873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00005086265092"/>
          <c:y val="6.1111152554763785E-2"/>
          <c:w val="0.83708330742450154"/>
          <c:h val="0.81111166118141076"/>
        </c:manualLayout>
      </c:layout>
      <c:scatterChart>
        <c:scatterStyle val="lineMarker"/>
        <c:varyColors val="0"/>
        <c:ser>
          <c:idx val="0"/>
          <c:order val="0"/>
          <c:tx>
            <c:strRef>
              <c:f>'3_WAY'!$C$2</c:f>
              <c:strCache>
                <c:ptCount val="1"/>
                <c:pt idx="0">
                  <c:v>Rt.R</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xVal>
            <c:numRef>
              <c:f>'3_WAY'!$B$23:$B$42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'3_WAY'!$C$23:$C$42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0-9028-4949-BE9D-BEB84205B965}"/>
            </c:ext>
          </c:extLst>
        </c:ser>
        <c:ser>
          <c:idx val="1"/>
          <c:order val="1"/>
          <c:tx>
            <c:strRef>
              <c:f>'3_WAY'!$D$2</c:f>
              <c:strCache>
                <c:ptCount val="1"/>
                <c:pt idx="0">
                  <c:v>Pg.R</c:v>
                </c:pt>
              </c:strCache>
            </c:strRef>
          </c:tx>
          <c:spPr>
            <a:ln w="12700">
              <a:solidFill>
                <a:srgbClr val="000000"/>
              </a:solidFill>
              <a:prstDash val="solid"/>
            </a:ln>
          </c:spPr>
          <c:marker>
            <c:symbol val="square"/>
            <c:size val="7"/>
            <c:spPr>
              <a:solidFill>
                <a:srgbClr val="0000FF"/>
              </a:solidFill>
              <a:ln>
                <a:solidFill>
                  <a:srgbClr val="0000FF"/>
                </a:solidFill>
                <a:prstDash val="solid"/>
              </a:ln>
            </c:spPr>
          </c:marker>
          <c:xVal>
            <c:numRef>
              <c:f>'3_WAY'!$B$23:$B$42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'3_WAY'!$D$23:$D$42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1-9028-4949-BE9D-BEB84205B965}"/>
            </c:ext>
          </c:extLst>
        </c:ser>
        <c:dLbls>
          <c:showLegendKey val="0"/>
          <c:showVal val="0"/>
          <c:showCatName val="0"/>
          <c:showSerName val="0"/>
          <c:showPercent val="0"/>
          <c:showBubbleSize val="0"/>
        </c:dLbls>
        <c:axId val="303643016"/>
        <c:axId val="303643408"/>
      </c:scatterChart>
      <c:scatterChart>
        <c:scatterStyle val="lineMarker"/>
        <c:varyColors val="0"/>
        <c:ser>
          <c:idx val="3"/>
          <c:order val="2"/>
          <c:tx>
            <c:strRef>
              <c:f>'3_WAY'!$E$2</c:f>
              <c:strCache>
                <c:ptCount val="1"/>
                <c:pt idx="0">
                  <c:v>Temp.wqm</c:v>
                </c:pt>
              </c:strCache>
            </c:strRef>
          </c:tx>
          <c:spPr>
            <a:ln w="12700">
              <a:solidFill>
                <a:srgbClr val="FF0000"/>
              </a:solidFill>
              <a:prstDash val="solid"/>
            </a:ln>
          </c:spPr>
          <c:marker>
            <c:symbol val="circle"/>
            <c:size val="7"/>
            <c:spPr>
              <a:solidFill>
                <a:srgbClr val="FF0000"/>
              </a:solidFill>
              <a:ln>
                <a:solidFill>
                  <a:srgbClr val="FF0000"/>
                </a:solidFill>
                <a:prstDash val="solid"/>
              </a:ln>
            </c:spPr>
          </c:marker>
          <c:xVal>
            <c:numRef>
              <c:f>'3_WAY'!$B$23:$B$42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'3_WAY'!$E$23:$E$42</c:f>
              <c:numCache>
                <c:formatCode>_(* #,##0.0_);_(* \(#,##0.0\);_(* "-"??_);_(@_)</c:formatCode>
                <c:ptCount val="20"/>
                <c:pt idx="0">
                  <c:v>22.751019738700553</c:v>
                </c:pt>
                <c:pt idx="1">
                  <c:v>21.620579590395483</c:v>
                </c:pt>
                <c:pt idx="2">
                  <c:v>23.137908898305085</c:v>
                </c:pt>
                <c:pt idx="3">
                  <c:v>22.689996027542367</c:v>
                </c:pt>
                <c:pt idx="4">
                  <c:v>23.448145409604518</c:v>
                </c:pt>
                <c:pt idx="5">
                  <c:v>27.026956267655365</c:v>
                </c:pt>
                <c:pt idx="6">
                  <c:v>26.497540960451971</c:v>
                </c:pt>
                <c:pt idx="7">
                  <c:v>28.609664724576266</c:v>
                </c:pt>
                <c:pt idx="8">
                  <c:v>28.91715790960453</c:v>
                </c:pt>
                <c:pt idx="9">
                  <c:v>29.262782874293787</c:v>
                </c:pt>
                <c:pt idx="10">
                  <c:v>30.118736882062151</c:v>
                </c:pt>
                <c:pt idx="11">
                  <c:v>29.174818273305089</c:v>
                </c:pt>
                <c:pt idx="12">
                  <c:v>28.669546557203393</c:v>
                </c:pt>
                <c:pt idx="13">
                  <c:v>30.199753495762707</c:v>
                </c:pt>
                <c:pt idx="14">
                  <c:v>31.485812252824857</c:v>
                </c:pt>
                <c:pt idx="15">
                  <c:v>29.978338294491522</c:v>
                </c:pt>
                <c:pt idx="16">
                  <c:v>28.639444120762722</c:v>
                </c:pt>
                <c:pt idx="17">
                  <c:v>30.002858598386368</c:v>
                </c:pt>
                <c:pt idx="18">
                  <c:v>29.773425017655367</c:v>
                </c:pt>
                <c:pt idx="19">
                  <c:v>28.029073313732276</c:v>
                </c:pt>
              </c:numCache>
            </c:numRef>
          </c:yVal>
          <c:smooth val="0"/>
          <c:extLst>
            <c:ext xmlns:c16="http://schemas.microsoft.com/office/drawing/2014/chart" uri="{C3380CC4-5D6E-409C-BE32-E72D297353CC}">
              <c16:uniqueId val="{00000002-9028-4949-BE9D-BEB84205B965}"/>
            </c:ext>
          </c:extLst>
        </c:ser>
        <c:dLbls>
          <c:showLegendKey val="0"/>
          <c:showVal val="0"/>
          <c:showCatName val="0"/>
          <c:showSerName val="0"/>
          <c:showPercent val="0"/>
          <c:showBubbleSize val="0"/>
        </c:dLbls>
        <c:axId val="303643800"/>
        <c:axId val="303644192"/>
      </c:scatterChart>
      <c:valAx>
        <c:axId val="303643016"/>
        <c:scaling>
          <c:orientation val="minMax"/>
          <c:max val="41549"/>
          <c:min val="41365"/>
        </c:scaling>
        <c:delete val="0"/>
        <c:axPos val="b"/>
        <c:numFmt formatCode="mmm" sourceLinked="0"/>
        <c:majorTickMark val="out"/>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643408"/>
        <c:crosses val="autoZero"/>
        <c:crossBetween val="midCat"/>
        <c:majorUnit val="30.6"/>
      </c:valAx>
      <c:valAx>
        <c:axId val="303643408"/>
        <c:scaling>
          <c:orientation val="minMax"/>
        </c:scaling>
        <c:delete val="0"/>
        <c:axPos val="l"/>
        <c:title>
          <c:tx>
            <c:strRef>
              <c:f>'3_WAY'!$C$2:$E$2</c:f>
              <c:strCache>
                <c:ptCount val="3"/>
                <c:pt idx="0">
                  <c:v>Rt.R</c:v>
                </c:pt>
                <c:pt idx="1">
                  <c:v>Pg.R</c:v>
                </c:pt>
                <c:pt idx="2">
                  <c:v>Temp.wqm</c:v>
                </c:pt>
              </c:strCache>
            </c:strRef>
          </c:tx>
          <c:layout>
            <c:manualLayout>
              <c:xMode val="edge"/>
              <c:yMode val="edge"/>
              <c:x val="1.71517532471182E-2"/>
              <c:y val="0.14944806899137608"/>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 sourceLinked="0"/>
        <c:majorTickMark val="out"/>
        <c:minorTickMark val="none"/>
        <c:tickLblPos val="nextTo"/>
        <c:spPr>
          <a:ln w="12700">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3643016"/>
        <c:crosses val="autoZero"/>
        <c:crossBetween val="midCat"/>
      </c:valAx>
      <c:valAx>
        <c:axId val="303643800"/>
        <c:scaling>
          <c:orientation val="minMax"/>
        </c:scaling>
        <c:delete val="1"/>
        <c:axPos val="b"/>
        <c:numFmt formatCode="[$-409]d\-mmm;@" sourceLinked="1"/>
        <c:majorTickMark val="out"/>
        <c:minorTickMark val="none"/>
        <c:tickLblPos val="nextTo"/>
        <c:crossAx val="303644192"/>
        <c:crosses val="autoZero"/>
        <c:crossBetween val="midCat"/>
      </c:valAx>
      <c:valAx>
        <c:axId val="303644192"/>
        <c:scaling>
          <c:orientation val="minMax"/>
        </c:scaling>
        <c:delete val="1"/>
        <c:axPos val="r"/>
        <c:numFmt formatCode="_(* #,##0.0_);_(* \(#,##0.0\);_(* &quot;-&quot;??_);_(@_)" sourceLinked="1"/>
        <c:majorTickMark val="out"/>
        <c:minorTickMark val="none"/>
        <c:tickLblPos val="nextTo"/>
        <c:crossAx val="303643800"/>
        <c:crosses val="max"/>
        <c:crossBetween val="midCat"/>
      </c:valAx>
      <c:spPr>
        <a:noFill/>
        <a:ln w="25400">
          <a:noFill/>
        </a:ln>
      </c:spPr>
    </c:plotArea>
    <c:legend>
      <c:legendPos val="r"/>
      <c:layout>
        <c:manualLayout>
          <c:xMode val="edge"/>
          <c:yMode val="edge"/>
          <c:x val="0.14775160599571735"/>
          <c:y val="1.7857173997583003E-2"/>
          <c:w val="0.25481798715203424"/>
          <c:h val="0.21428608797099605"/>
        </c:manualLayout>
      </c:layout>
      <c:overlay val="0"/>
      <c:spPr>
        <a:no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verticalDpi="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3339775935834"/>
          <c:y val="6.1111152554763785E-2"/>
          <c:w val="0.80360625254859841"/>
          <c:h val="0.81111166118141076"/>
        </c:manualLayout>
      </c:layout>
      <c:scatterChart>
        <c:scatterStyle val="lineMarker"/>
        <c:varyColors val="0"/>
        <c:ser>
          <c:idx val="0"/>
          <c:order val="0"/>
          <c:tx>
            <c:strRef>
              <c:f>'2_WAY'!$A$3</c:f>
              <c:strCache>
                <c:ptCount val="1"/>
                <c:pt idx="0">
                  <c:v>Shoal</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xVal>
            <c:numRef>
              <c:f>'2_WAY'!$B$3:$B$22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'2_WAY'!$C$3:$C$22</c:f>
              <c:numCache>
                <c:formatCode>0.0</c:formatCode>
                <c:ptCount val="20"/>
                <c:pt idx="0">
                  <c:v>1.3436776129943511</c:v>
                </c:pt>
                <c:pt idx="1">
                  <c:v>2.1542913135593218</c:v>
                </c:pt>
                <c:pt idx="2">
                  <c:v>1.4977471751412434</c:v>
                </c:pt>
                <c:pt idx="3">
                  <c:v>0.98795611064762756</c:v>
                </c:pt>
                <c:pt idx="4">
                  <c:v>1.2089134017631005</c:v>
                </c:pt>
                <c:pt idx="5">
                  <c:v>1.0220045269074192</c:v>
                </c:pt>
                <c:pt idx="6">
                  <c:v>0.99318679378531094</c:v>
                </c:pt>
                <c:pt idx="7">
                  <c:v>0.89973297159886678</c:v>
                </c:pt>
                <c:pt idx="8">
                  <c:v>1.1705264298528193</c:v>
                </c:pt>
                <c:pt idx="9">
                  <c:v>1.5772794384349671</c:v>
                </c:pt>
                <c:pt idx="10">
                  <c:v>1.3253618484917726</c:v>
                </c:pt>
                <c:pt idx="11">
                  <c:v>2.8251149173222516</c:v>
                </c:pt>
                <c:pt idx="12">
                  <c:v>2.3468504590395489</c:v>
                </c:pt>
                <c:pt idx="13">
                  <c:v>3.317936087570621</c:v>
                </c:pt>
                <c:pt idx="14">
                  <c:v>2.2513310381355924</c:v>
                </c:pt>
                <c:pt idx="15">
                  <c:v>3.0535690324858766</c:v>
                </c:pt>
                <c:pt idx="16">
                  <c:v>2.3391690397045726</c:v>
                </c:pt>
                <c:pt idx="17">
                  <c:v>6.87</c:v>
                </c:pt>
                <c:pt idx="18">
                  <c:v>5.1305985822088571</c:v>
                </c:pt>
                <c:pt idx="19">
                  <c:v>2.2875523123488408</c:v>
                </c:pt>
              </c:numCache>
            </c:numRef>
          </c:yVal>
          <c:smooth val="0"/>
          <c:extLst>
            <c:ext xmlns:c16="http://schemas.microsoft.com/office/drawing/2014/chart" uri="{C3380CC4-5D6E-409C-BE32-E72D297353CC}">
              <c16:uniqueId val="{00000000-358F-498A-A3AB-7A5E74A6CEB7}"/>
            </c:ext>
          </c:extLst>
        </c:ser>
        <c:ser>
          <c:idx val="1"/>
          <c:order val="1"/>
          <c:tx>
            <c:strRef>
              <c:f>'2_WAY'!$A$23</c:f>
              <c:strCache>
                <c:ptCount val="1"/>
                <c:pt idx="0">
                  <c:v>Channel</c:v>
                </c:pt>
              </c:strCache>
            </c:strRef>
          </c:tx>
          <c:spPr>
            <a:ln w="12700">
              <a:solidFill>
                <a:srgbClr val="000000"/>
              </a:solidFill>
              <a:prstDash val="solid"/>
            </a:ln>
          </c:spPr>
          <c:marker>
            <c:symbol val="square"/>
            <c:size val="7"/>
            <c:spPr>
              <a:noFill/>
              <a:ln>
                <a:solidFill>
                  <a:srgbClr val="0000FF"/>
                </a:solidFill>
                <a:prstDash val="solid"/>
              </a:ln>
            </c:spPr>
          </c:marker>
          <c:xVal>
            <c:numRef>
              <c:f>'2_WAY'!$B$23:$B$42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'2_WAY'!$C$23:$C$42</c:f>
              <c:numCache>
                <c:formatCode>0.0</c:formatCode>
                <c:ptCount val="20"/>
                <c:pt idx="0">
                  <c:v>1.36692302259887</c:v>
                </c:pt>
                <c:pt idx="1">
                  <c:v>2.1225847457627118</c:v>
                </c:pt>
                <c:pt idx="2">
                  <c:v>1.4695985169491523</c:v>
                </c:pt>
                <c:pt idx="3">
                  <c:v>0.96645462570621443</c:v>
                </c:pt>
                <c:pt idx="4">
                  <c:v>1.1150084745762707</c:v>
                </c:pt>
                <c:pt idx="5">
                  <c:v>0.96755685028248639</c:v>
                </c:pt>
                <c:pt idx="6">
                  <c:v>0.94609427966101667</c:v>
                </c:pt>
                <c:pt idx="7">
                  <c:v>0.8055158898305087</c:v>
                </c:pt>
                <c:pt idx="8">
                  <c:v>0.91407821327683558</c:v>
                </c:pt>
                <c:pt idx="9">
                  <c:v>1.4148022598870051</c:v>
                </c:pt>
                <c:pt idx="10">
                  <c:v>1.131833333333333</c:v>
                </c:pt>
                <c:pt idx="11">
                  <c:v>2.6386649011299443</c:v>
                </c:pt>
                <c:pt idx="12">
                  <c:v>2.2975349576271182</c:v>
                </c:pt>
                <c:pt idx="13">
                  <c:v>2.6738112641242928</c:v>
                </c:pt>
                <c:pt idx="14">
                  <c:v>2.0671608403954802</c:v>
                </c:pt>
                <c:pt idx="15">
                  <c:v>2.6075340748587577</c:v>
                </c:pt>
                <c:pt idx="16">
                  <c:v>2.2179193149717511</c:v>
                </c:pt>
                <c:pt idx="17">
                  <c:v>#N/A</c:v>
                </c:pt>
                <c:pt idx="18">
                  <c:v>3.0018667019774004</c:v>
                </c:pt>
                <c:pt idx="19">
                  <c:v>1.8449906606710471</c:v>
                </c:pt>
              </c:numCache>
            </c:numRef>
          </c:yVal>
          <c:smooth val="0"/>
          <c:extLst>
            <c:ext xmlns:c16="http://schemas.microsoft.com/office/drawing/2014/chart" uri="{C3380CC4-5D6E-409C-BE32-E72D297353CC}">
              <c16:uniqueId val="{00000001-358F-498A-A3AB-7A5E74A6CEB7}"/>
            </c:ext>
          </c:extLst>
        </c:ser>
        <c:dLbls>
          <c:showLegendKey val="0"/>
          <c:showVal val="0"/>
          <c:showCatName val="0"/>
          <c:showSerName val="0"/>
          <c:showPercent val="0"/>
          <c:showBubbleSize val="0"/>
        </c:dLbls>
        <c:axId val="303644976"/>
        <c:axId val="303645368"/>
      </c:scatterChart>
      <c:valAx>
        <c:axId val="303644976"/>
        <c:scaling>
          <c:orientation val="minMax"/>
          <c:max val="41549"/>
          <c:min val="41365"/>
        </c:scaling>
        <c:delete val="0"/>
        <c:axPos val="b"/>
        <c:numFmt formatCode="mmm" sourceLinked="0"/>
        <c:majorTickMark val="out"/>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645368"/>
        <c:crosses val="autoZero"/>
        <c:crossBetween val="midCat"/>
        <c:majorUnit val="30.6"/>
      </c:valAx>
      <c:valAx>
        <c:axId val="303645368"/>
        <c:scaling>
          <c:orientation val="minMax"/>
        </c:scaling>
        <c:delete val="0"/>
        <c:axPos val="l"/>
        <c:title>
          <c:tx>
            <c:strRef>
              <c:f>'2_WAY'!$C$2</c:f>
              <c:strCache>
                <c:ptCount val="1"/>
                <c:pt idx="0">
                  <c:v>fl.wqm</c:v>
                </c:pt>
              </c:strCache>
            </c:strRef>
          </c:tx>
          <c:layout>
            <c:manualLayout>
              <c:xMode val="edge"/>
              <c:yMode val="edge"/>
              <c:x val="2.1666470795628157E-2"/>
              <c:y val="0.31944479567791251"/>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0" sourceLinked="0"/>
        <c:majorTickMark val="out"/>
        <c:minorTickMark val="none"/>
        <c:tickLblPos val="nextTo"/>
        <c:spPr>
          <a:ln w="12700">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3644976"/>
        <c:crosses val="autoZero"/>
        <c:crossBetween val="midCat"/>
      </c:valAx>
      <c:spPr>
        <a:noFill/>
        <a:ln w="25400">
          <a:noFill/>
        </a:ln>
      </c:spPr>
    </c:plotArea>
    <c:legend>
      <c:legendPos val="r"/>
      <c:layout>
        <c:manualLayout>
          <c:xMode val="edge"/>
          <c:yMode val="edge"/>
          <c:x val="0.18336906084365509"/>
          <c:y val="0.11313888775035597"/>
          <c:w val="0.19403005275316992"/>
          <c:h val="0.15328494469403067"/>
        </c:manualLayout>
      </c:layout>
      <c:overlay val="0"/>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4613448638243"/>
          <c:y val="6.0992366806542776E-2"/>
          <c:w val="0.78346277603243508"/>
          <c:h val="0.77848201507956605"/>
        </c:manualLayout>
      </c:layout>
      <c:scatterChart>
        <c:scatterStyle val="lineMarker"/>
        <c:varyColors val="0"/>
        <c:ser>
          <c:idx val="2"/>
          <c:order val="0"/>
          <c:spPr>
            <a:ln w="28575">
              <a:noFill/>
            </a:ln>
          </c:spPr>
          <c:marker>
            <c:symbol val="circle"/>
            <c:size val="7"/>
            <c:spPr>
              <a:noFill/>
              <a:ln>
                <a:solidFill>
                  <a:schemeClr val="tx1"/>
                </a:solidFill>
                <a:prstDash val="solid"/>
              </a:ln>
            </c:spPr>
          </c:marker>
          <c:xVal>
            <c:numRef>
              <c:f>'2_WAY'!$C$3:$C$22</c:f>
              <c:numCache>
                <c:formatCode>0.0</c:formatCode>
                <c:ptCount val="20"/>
                <c:pt idx="0">
                  <c:v>1.3436776129943511</c:v>
                </c:pt>
                <c:pt idx="1">
                  <c:v>2.1542913135593218</c:v>
                </c:pt>
                <c:pt idx="2">
                  <c:v>1.4977471751412434</c:v>
                </c:pt>
                <c:pt idx="3">
                  <c:v>0.98795611064762756</c:v>
                </c:pt>
                <c:pt idx="4">
                  <c:v>1.2089134017631005</c:v>
                </c:pt>
                <c:pt idx="5">
                  <c:v>1.0220045269074192</c:v>
                </c:pt>
                <c:pt idx="6">
                  <c:v>0.99318679378531094</c:v>
                </c:pt>
                <c:pt idx="7">
                  <c:v>0.89973297159886678</c:v>
                </c:pt>
                <c:pt idx="8">
                  <c:v>1.1705264298528193</c:v>
                </c:pt>
                <c:pt idx="9">
                  <c:v>1.5772794384349671</c:v>
                </c:pt>
                <c:pt idx="10">
                  <c:v>1.3253618484917726</c:v>
                </c:pt>
                <c:pt idx="11">
                  <c:v>2.8251149173222516</c:v>
                </c:pt>
                <c:pt idx="12">
                  <c:v>2.3468504590395489</c:v>
                </c:pt>
                <c:pt idx="13">
                  <c:v>3.317936087570621</c:v>
                </c:pt>
                <c:pt idx="14">
                  <c:v>2.2513310381355924</c:v>
                </c:pt>
                <c:pt idx="15">
                  <c:v>3.0535690324858766</c:v>
                </c:pt>
                <c:pt idx="16">
                  <c:v>2.3391690397045726</c:v>
                </c:pt>
                <c:pt idx="17">
                  <c:v>6.87</c:v>
                </c:pt>
                <c:pt idx="18">
                  <c:v>5.1305985822088571</c:v>
                </c:pt>
                <c:pt idx="19">
                  <c:v>2.2875523123488408</c:v>
                </c:pt>
              </c:numCache>
            </c:numRef>
          </c:xVal>
          <c:yVal>
            <c:numRef>
              <c:f>'2_WAY'!$D$3:$D$22</c:f>
              <c:numCache>
                <c:formatCode>0.0</c:formatCode>
                <c:ptCount val="2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numCache>
            </c:numRef>
          </c:yVal>
          <c:smooth val="0"/>
          <c:extLst>
            <c:ext xmlns:c16="http://schemas.microsoft.com/office/drawing/2014/chart" uri="{C3380CC4-5D6E-409C-BE32-E72D297353CC}">
              <c16:uniqueId val="{00000000-261F-42C8-9C28-2F43C4F21640}"/>
            </c:ext>
          </c:extLst>
        </c:ser>
        <c:ser>
          <c:idx val="0"/>
          <c:order val="1"/>
          <c:spPr>
            <a:ln w="28575">
              <a:noFill/>
            </a:ln>
          </c:spPr>
          <c:marker>
            <c:symbol val="square"/>
            <c:size val="7"/>
            <c:spPr>
              <a:solidFill>
                <a:srgbClr val="0070C0"/>
              </a:solidFill>
              <a:ln>
                <a:solidFill>
                  <a:srgbClr val="0000FF"/>
                </a:solidFill>
                <a:prstDash val="solid"/>
              </a:ln>
            </c:spPr>
          </c:marker>
          <c:xVal>
            <c:numRef>
              <c:f>'2_WAY'!$C$23:$C$42</c:f>
              <c:numCache>
                <c:formatCode>0.0</c:formatCode>
                <c:ptCount val="20"/>
                <c:pt idx="0">
                  <c:v>1.36692302259887</c:v>
                </c:pt>
                <c:pt idx="1">
                  <c:v>2.1225847457627118</c:v>
                </c:pt>
                <c:pt idx="2">
                  <c:v>1.4695985169491523</c:v>
                </c:pt>
                <c:pt idx="3">
                  <c:v>0.96645462570621443</c:v>
                </c:pt>
                <c:pt idx="4">
                  <c:v>1.1150084745762707</c:v>
                </c:pt>
                <c:pt idx="5">
                  <c:v>0.96755685028248639</c:v>
                </c:pt>
                <c:pt idx="6">
                  <c:v>0.94609427966101667</c:v>
                </c:pt>
                <c:pt idx="7">
                  <c:v>0.8055158898305087</c:v>
                </c:pt>
                <c:pt idx="8">
                  <c:v>0.91407821327683558</c:v>
                </c:pt>
                <c:pt idx="9">
                  <c:v>1.4148022598870051</c:v>
                </c:pt>
                <c:pt idx="10">
                  <c:v>1.131833333333333</c:v>
                </c:pt>
                <c:pt idx="11">
                  <c:v>2.6386649011299443</c:v>
                </c:pt>
                <c:pt idx="12">
                  <c:v>2.2975349576271182</c:v>
                </c:pt>
                <c:pt idx="13">
                  <c:v>2.6738112641242928</c:v>
                </c:pt>
                <c:pt idx="14">
                  <c:v>2.0671608403954802</c:v>
                </c:pt>
                <c:pt idx="15">
                  <c:v>2.6075340748587577</c:v>
                </c:pt>
                <c:pt idx="16">
                  <c:v>2.2179193149717511</c:v>
                </c:pt>
                <c:pt idx="17">
                  <c:v>#N/A</c:v>
                </c:pt>
                <c:pt idx="18">
                  <c:v>3.0018667019774004</c:v>
                </c:pt>
                <c:pt idx="19">
                  <c:v>1.8449906606710471</c:v>
                </c:pt>
              </c:numCache>
            </c:numRef>
          </c:xVal>
          <c:yVal>
            <c:numRef>
              <c:f>'2_WAY'!$D$23:$D$42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1-261F-42C8-9C28-2F43C4F21640}"/>
            </c:ext>
          </c:extLst>
        </c:ser>
        <c:ser>
          <c:idx val="4"/>
          <c:order val="2"/>
          <c:tx>
            <c:v>All Data</c:v>
          </c:tx>
          <c:spPr>
            <a:ln w="28575">
              <a:noFill/>
            </a:ln>
          </c:spPr>
          <c:marker>
            <c:symbol val="none"/>
          </c:marker>
          <c:trendline>
            <c:spPr>
              <a:ln w="19050">
                <a:solidFill>
                  <a:schemeClr val="tx1"/>
                </a:solidFill>
                <a:prstDash val="solid"/>
              </a:ln>
            </c:spPr>
            <c:trendlineType val="linear"/>
            <c:dispRSqr val="1"/>
            <c:dispEq val="1"/>
            <c:trendlineLbl>
              <c:layout>
                <c:manualLayout>
                  <c:x val="-0.34130057040273759"/>
                  <c:y val="-6.8991809665334858E-2"/>
                </c:manualLayout>
              </c:layout>
              <c:numFmt formatCode="0.00" sourceLinked="0"/>
              <c:spPr>
                <a:solidFill>
                  <a:srgbClr val="FFFFFF"/>
                </a:solid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'2_WAY'!$C$3:$C$42</c:f>
              <c:numCache>
                <c:formatCode>0.0</c:formatCode>
                <c:ptCount val="40"/>
                <c:pt idx="0">
                  <c:v>1.3436776129943511</c:v>
                </c:pt>
                <c:pt idx="1">
                  <c:v>2.1542913135593218</c:v>
                </c:pt>
                <c:pt idx="2">
                  <c:v>1.4977471751412434</c:v>
                </c:pt>
                <c:pt idx="3">
                  <c:v>0.98795611064762756</c:v>
                </c:pt>
                <c:pt idx="4">
                  <c:v>1.2089134017631005</c:v>
                </c:pt>
                <c:pt idx="5">
                  <c:v>1.0220045269074192</c:v>
                </c:pt>
                <c:pt idx="6">
                  <c:v>0.99318679378531094</c:v>
                </c:pt>
                <c:pt idx="7">
                  <c:v>0.89973297159886678</c:v>
                </c:pt>
                <c:pt idx="8">
                  <c:v>1.1705264298528193</c:v>
                </c:pt>
                <c:pt idx="9">
                  <c:v>1.5772794384349671</c:v>
                </c:pt>
                <c:pt idx="10">
                  <c:v>1.3253618484917726</c:v>
                </c:pt>
                <c:pt idx="11">
                  <c:v>2.8251149173222516</c:v>
                </c:pt>
                <c:pt idx="12">
                  <c:v>2.3468504590395489</c:v>
                </c:pt>
                <c:pt idx="13">
                  <c:v>3.317936087570621</c:v>
                </c:pt>
                <c:pt idx="14">
                  <c:v>2.2513310381355924</c:v>
                </c:pt>
                <c:pt idx="15">
                  <c:v>3.0535690324858766</c:v>
                </c:pt>
                <c:pt idx="16">
                  <c:v>2.3391690397045726</c:v>
                </c:pt>
                <c:pt idx="17">
                  <c:v>6.87</c:v>
                </c:pt>
                <c:pt idx="18">
                  <c:v>5.1305985822088571</c:v>
                </c:pt>
                <c:pt idx="19">
                  <c:v>2.2875523123488408</c:v>
                </c:pt>
                <c:pt idx="20">
                  <c:v>1.36692302259887</c:v>
                </c:pt>
                <c:pt idx="21">
                  <c:v>2.1225847457627118</c:v>
                </c:pt>
                <c:pt idx="22">
                  <c:v>1.4695985169491523</c:v>
                </c:pt>
                <c:pt idx="23">
                  <c:v>0.96645462570621443</c:v>
                </c:pt>
                <c:pt idx="24">
                  <c:v>1.1150084745762707</c:v>
                </c:pt>
                <c:pt idx="25">
                  <c:v>0.96755685028248639</c:v>
                </c:pt>
                <c:pt idx="26">
                  <c:v>0.94609427966101667</c:v>
                </c:pt>
                <c:pt idx="27">
                  <c:v>0.8055158898305087</c:v>
                </c:pt>
                <c:pt idx="28">
                  <c:v>0.91407821327683558</c:v>
                </c:pt>
                <c:pt idx="29">
                  <c:v>1.4148022598870051</c:v>
                </c:pt>
                <c:pt idx="30">
                  <c:v>1.131833333333333</c:v>
                </c:pt>
                <c:pt idx="31">
                  <c:v>2.6386649011299443</c:v>
                </c:pt>
                <c:pt idx="32">
                  <c:v>2.2975349576271182</c:v>
                </c:pt>
                <c:pt idx="33">
                  <c:v>2.6738112641242928</c:v>
                </c:pt>
                <c:pt idx="34">
                  <c:v>2.0671608403954802</c:v>
                </c:pt>
                <c:pt idx="35">
                  <c:v>2.6075340748587577</c:v>
                </c:pt>
                <c:pt idx="36">
                  <c:v>2.2179193149717511</c:v>
                </c:pt>
                <c:pt idx="37">
                  <c:v>#N/A</c:v>
                </c:pt>
                <c:pt idx="38">
                  <c:v>3.0018667019774004</c:v>
                </c:pt>
                <c:pt idx="39">
                  <c:v>1.8449906606710471</c:v>
                </c:pt>
              </c:numCache>
            </c:numRef>
          </c:xVal>
          <c:yVal>
            <c:numRef>
              <c:f>'2_WAY'!$D$3:$D$42</c:f>
              <c:numCache>
                <c:formatCode>0.0</c:formatCode>
                <c:ptCount val="4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yVal>
          <c:smooth val="0"/>
          <c:extLst>
            <c:ext xmlns:c16="http://schemas.microsoft.com/office/drawing/2014/chart" uri="{C3380CC4-5D6E-409C-BE32-E72D297353CC}">
              <c16:uniqueId val="{00000002-261F-42C8-9C28-2F43C4F21640}"/>
            </c:ext>
          </c:extLst>
        </c:ser>
        <c:dLbls>
          <c:showLegendKey val="0"/>
          <c:showVal val="0"/>
          <c:showCatName val="0"/>
          <c:showSerName val="0"/>
          <c:showPercent val="0"/>
          <c:showBubbleSize val="0"/>
        </c:dLbls>
        <c:axId val="303646152"/>
        <c:axId val="303646544"/>
      </c:scatterChart>
      <c:valAx>
        <c:axId val="303646152"/>
        <c:scaling>
          <c:orientation val="minMax"/>
        </c:scaling>
        <c:delete val="0"/>
        <c:axPos val="b"/>
        <c:title>
          <c:tx>
            <c:strRef>
              <c:f>'2_WAY'!$C$2</c:f>
              <c:strCache>
                <c:ptCount val="1"/>
                <c:pt idx="0">
                  <c:v>fl.wqm</c:v>
                </c:pt>
              </c:strCache>
            </c:strRef>
          </c:tx>
          <c:layout>
            <c:manualLayout>
              <c:xMode val="edge"/>
              <c:yMode val="edge"/>
              <c:x val="0.55274166048159856"/>
              <c:y val="0.9240515660332693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3646544"/>
        <c:crosses val="autoZero"/>
        <c:crossBetween val="midCat"/>
      </c:valAx>
      <c:valAx>
        <c:axId val="303646544"/>
        <c:scaling>
          <c:orientation val="minMax"/>
        </c:scaling>
        <c:delete val="0"/>
        <c:axPos val="l"/>
        <c:title>
          <c:tx>
            <c:strRef>
              <c:f>'2_WAY'!$D$2</c:f>
              <c:strCache>
                <c:ptCount val="1"/>
                <c:pt idx="0">
                  <c:v>chl.a</c:v>
                </c:pt>
              </c:strCache>
            </c:strRef>
          </c:tx>
          <c:layout>
            <c:manualLayout>
              <c:xMode val="edge"/>
              <c:yMode val="edge"/>
              <c:x val="1.6611331226908738E-2"/>
              <c:y val="0.39377360559735047"/>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3646152"/>
        <c:crosses val="autoZero"/>
        <c:crossBetween val="midCat"/>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3339775935834"/>
          <c:y val="6.1111152554763785E-2"/>
          <c:w val="0.80360625254859841"/>
          <c:h val="0.81111166118141076"/>
        </c:manualLayout>
      </c:layout>
      <c:scatterChart>
        <c:scatterStyle val="lineMarker"/>
        <c:varyColors val="0"/>
        <c:ser>
          <c:idx val="0"/>
          <c:order val="0"/>
          <c:tx>
            <c:strRef>
              <c:f>'2_WAY'!$A$3</c:f>
              <c:strCache>
                <c:ptCount val="1"/>
                <c:pt idx="0">
                  <c:v>Shoal</c:v>
                </c:pt>
              </c:strCache>
            </c:strRef>
          </c:tx>
          <c:spPr>
            <a:ln w="12700">
              <a:solidFill>
                <a:srgbClr val="000000"/>
              </a:solidFill>
              <a:prstDash val="solid"/>
            </a:ln>
          </c:spPr>
          <c:marker>
            <c:symbol val="circle"/>
            <c:size val="6"/>
            <c:spPr>
              <a:solidFill>
                <a:schemeClr val="tx1"/>
              </a:solidFill>
              <a:ln>
                <a:solidFill>
                  <a:srgbClr val="000000"/>
                </a:solidFill>
                <a:prstDash val="solid"/>
              </a:ln>
            </c:spPr>
          </c:marker>
          <c:xVal>
            <c:numRef>
              <c:f>'2_WAY'!$B$3:$B$22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'2_WAY'!$D$3:$D$22</c:f>
              <c:numCache>
                <c:formatCode>0.0</c:formatCode>
                <c:ptCount val="2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numCache>
            </c:numRef>
          </c:yVal>
          <c:smooth val="0"/>
          <c:extLst>
            <c:ext xmlns:c16="http://schemas.microsoft.com/office/drawing/2014/chart" uri="{C3380CC4-5D6E-409C-BE32-E72D297353CC}">
              <c16:uniqueId val="{00000000-2FBE-42D3-9725-51A9DE39CF99}"/>
            </c:ext>
          </c:extLst>
        </c:ser>
        <c:ser>
          <c:idx val="1"/>
          <c:order val="1"/>
          <c:tx>
            <c:strRef>
              <c:f>'2_WAY'!$A$23</c:f>
              <c:strCache>
                <c:ptCount val="1"/>
                <c:pt idx="0">
                  <c:v>Channel</c:v>
                </c:pt>
              </c:strCache>
            </c:strRef>
          </c:tx>
          <c:spPr>
            <a:ln w="12700">
              <a:solidFill>
                <a:srgbClr val="000000"/>
              </a:solidFill>
              <a:prstDash val="solid"/>
            </a:ln>
          </c:spPr>
          <c:marker>
            <c:symbol val="square"/>
            <c:size val="7"/>
            <c:spPr>
              <a:solidFill>
                <a:srgbClr val="0070C0"/>
              </a:solidFill>
              <a:ln>
                <a:solidFill>
                  <a:srgbClr val="0000FF"/>
                </a:solidFill>
                <a:prstDash val="solid"/>
              </a:ln>
            </c:spPr>
          </c:marker>
          <c:xVal>
            <c:numRef>
              <c:f>'2_WAY'!$B$23:$B$42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1-2FBE-42D3-9725-51A9DE39CF99}"/>
            </c:ext>
          </c:extLst>
        </c:ser>
        <c:dLbls>
          <c:showLegendKey val="0"/>
          <c:showVal val="0"/>
          <c:showCatName val="0"/>
          <c:showSerName val="0"/>
          <c:showPercent val="0"/>
          <c:showBubbleSize val="0"/>
        </c:dLbls>
        <c:axId val="304821064"/>
        <c:axId val="304821456"/>
      </c:scatterChart>
      <c:valAx>
        <c:axId val="304821064"/>
        <c:scaling>
          <c:orientation val="minMax"/>
          <c:max val="41549"/>
          <c:min val="41365"/>
        </c:scaling>
        <c:delete val="0"/>
        <c:axPos val="b"/>
        <c:numFmt formatCode="mmm" sourceLinked="0"/>
        <c:majorTickMark val="out"/>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4821456"/>
        <c:crosses val="autoZero"/>
        <c:crossBetween val="midCat"/>
        <c:majorUnit val="30.6"/>
      </c:valAx>
      <c:valAx>
        <c:axId val="304821456"/>
        <c:scaling>
          <c:orientation val="minMax"/>
        </c:scaling>
        <c:delete val="0"/>
        <c:axPos val="l"/>
        <c:title>
          <c:tx>
            <c:strRef>
              <c:f>'2_WAY'!$D$2</c:f>
              <c:strCache>
                <c:ptCount val="1"/>
                <c:pt idx="0">
                  <c:v>chl.a</c:v>
                </c:pt>
              </c:strCache>
            </c:strRef>
          </c:tx>
          <c:layout>
            <c:manualLayout>
              <c:xMode val="edge"/>
              <c:yMode val="edge"/>
              <c:x val="2.1666610822583348E-2"/>
              <c:y val="0.31944517884169588"/>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0" sourceLinked="0"/>
        <c:majorTickMark val="out"/>
        <c:minorTickMark val="none"/>
        <c:tickLblPos val="nextTo"/>
        <c:spPr>
          <a:ln w="12700">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4821064"/>
        <c:crosses val="autoZero"/>
        <c:crossBetween val="midCat"/>
      </c:valAx>
      <c:spPr>
        <a:noFill/>
        <a:ln w="25400">
          <a:noFill/>
        </a:ln>
      </c:spPr>
    </c:plotArea>
    <c:legend>
      <c:legendPos val="r"/>
      <c:layout>
        <c:manualLayout>
          <c:xMode val="edge"/>
          <c:yMode val="edge"/>
          <c:x val="0.22127659574468084"/>
          <c:y val="0.10583960466968784"/>
          <c:w val="0.19361702127659575"/>
          <c:h val="0.16423386931503287"/>
        </c:manualLayout>
      </c:layout>
      <c:overlay val="0"/>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4446683480102"/>
          <c:y val="0.1197604790419162"/>
          <c:w val="0.8253981048457727"/>
          <c:h val="0.622754491017964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'SP01'!$C$3:$C$176</c:f>
              <c:numCache>
                <c:formatCode>0.00</c:formatCode>
                <c:ptCount val="174"/>
                <c:pt idx="0">
                  <c:v>22.21816603892027</c:v>
                </c:pt>
                <c:pt idx="1">
                  <c:v>22.640152542372874</c:v>
                </c:pt>
                <c:pt idx="2">
                  <c:v>24.429520127118632</c:v>
                </c:pt>
                <c:pt idx="3">
                  <c:v>23.964330508474575</c:v>
                </c:pt>
                <c:pt idx="4">
                  <c:v>23.684876412429375</c:v>
                </c:pt>
                <c:pt idx="5">
                  <c:v>23.220986935028247</c:v>
                </c:pt>
                <c:pt idx="6">
                  <c:v>23.632603107344632</c:v>
                </c:pt>
                <c:pt idx="7">
                  <c:v>23.144691031073449</c:v>
                </c:pt>
                <c:pt idx="8">
                  <c:v>22.841987994350276</c:v>
                </c:pt>
                <c:pt idx="9">
                  <c:v>21.416925141242928</c:v>
                </c:pt>
                <c:pt idx="10">
                  <c:v>20.527373764124299</c:v>
                </c:pt>
                <c:pt idx="11">
                  <c:v>19.100513947740115</c:v>
                </c:pt>
                <c:pt idx="12">
                  <c:v>19.703350105932202</c:v>
                </c:pt>
                <c:pt idx="13">
                  <c:v>21.346641242937849</c:v>
                </c:pt>
                <c:pt idx="14">
                  <c:v>18.561802789548029</c:v>
                </c:pt>
                <c:pt idx="15">
                  <c:v>20.796891813919945</c:v>
                </c:pt>
                <c:pt idx="16">
                  <c:v>21.810017302259883</c:v>
                </c:pt>
                <c:pt idx="17">
                  <c:v>23.788679378531068</c:v>
                </c:pt>
                <c:pt idx="18">
                  <c:v>24.706439795197749</c:v>
                </c:pt>
                <c:pt idx="19">
                  <c:v>27.15217637711865</c:v>
                </c:pt>
                <c:pt idx="20">
                  <c:v>27.19479201977401</c:v>
                </c:pt>
                <c:pt idx="21">
                  <c:v>25.626908721751416</c:v>
                </c:pt>
                <c:pt idx="22">
                  <c:v>23.794778248587573</c:v>
                </c:pt>
                <c:pt idx="23">
                  <c:v>23.810814088983054</c:v>
                </c:pt>
                <c:pt idx="24">
                  <c:v>23.706143185028253</c:v>
                </c:pt>
                <c:pt idx="25">
                  <c:v>24.353506532485881</c:v>
                </c:pt>
                <c:pt idx="26">
                  <c:v>24.476784158489448</c:v>
                </c:pt>
                <c:pt idx="27">
                  <c:v>23.575590541417132</c:v>
                </c:pt>
                <c:pt idx="28">
                  <c:v>24.252236405367231</c:v>
                </c:pt>
                <c:pt idx="29">
                  <c:v>25.241649187853113</c:v>
                </c:pt>
                <c:pt idx="30">
                  <c:v>25.789768008474592</c:v>
                </c:pt>
                <c:pt idx="31">
                  <c:v>24.409184322033894</c:v>
                </c:pt>
                <c:pt idx="32">
                  <c:v>21.864791843220331</c:v>
                </c:pt>
                <c:pt idx="33">
                  <c:v>22.79996597262809</c:v>
                </c:pt>
                <c:pt idx="34">
                  <c:v>24.374225105932208</c:v>
                </c:pt>
                <c:pt idx="35">
                  <c:v>24.728405529410963</c:v>
                </c:pt>
                <c:pt idx="36">
                  <c:v>25.893389472323211</c:v>
                </c:pt>
                <c:pt idx="37">
                  <c:v>25.809465742772513</c:v>
                </c:pt>
                <c:pt idx="38">
                  <c:v>25.996840779015262</c:v>
                </c:pt>
                <c:pt idx="39">
                  <c:v>24.510055207970797</c:v>
                </c:pt>
                <c:pt idx="40">
                  <c:v>24.229914346720417</c:v>
                </c:pt>
                <c:pt idx="41">
                  <c:v>25.013482161887193</c:v>
                </c:pt>
                <c:pt idx="42">
                  <c:v>26.634729343220346</c:v>
                </c:pt>
                <c:pt idx="43">
                  <c:v>26.274259060314375</c:v>
                </c:pt>
                <c:pt idx="44">
                  <c:v>26.680667219204722</c:v>
                </c:pt>
                <c:pt idx="45">
                  <c:v>25.755000178200216</c:v>
                </c:pt>
                <c:pt idx="46">
                  <c:v>26.83292821583143</c:v>
                </c:pt>
                <c:pt idx="47">
                  <c:v>27.463314265536713</c:v>
                </c:pt>
                <c:pt idx="48">
                  <c:v>27.830065854519773</c:v>
                </c:pt>
                <c:pt idx="49">
                  <c:v>27.620430614406775</c:v>
                </c:pt>
                <c:pt idx="50">
                  <c:v>26.683757384514905</c:v>
                </c:pt>
                <c:pt idx="51">
                  <c:v>25.716775352846437</c:v>
                </c:pt>
                <c:pt idx="52">
                  <c:v>24.886524389552601</c:v>
                </c:pt>
                <c:pt idx="53">
                  <c:v>26.071560624124853</c:v>
                </c:pt>
                <c:pt idx="54">
                  <c:v>26.920201829286579</c:v>
                </c:pt>
                <c:pt idx="55">
                  <c:v>28.361257944915252</c:v>
                </c:pt>
                <c:pt idx="56">
                  <c:v>25.295429025423726</c:v>
                </c:pt>
                <c:pt idx="57">
                  <c:v>25.898687168348754</c:v>
                </c:pt>
                <c:pt idx="58">
                  <c:v>26.279837040960444</c:v>
                </c:pt>
                <c:pt idx="59">
                  <c:v>25.595419138418077</c:v>
                </c:pt>
                <c:pt idx="60">
                  <c:v>24.383482527722929</c:v>
                </c:pt>
                <c:pt idx="61">
                  <c:v>24.083331997309738</c:v>
                </c:pt>
                <c:pt idx="62">
                  <c:v>24.572879164704972</c:v>
                </c:pt>
                <c:pt idx="63">
                  <c:v>26.176947269065945</c:v>
                </c:pt>
                <c:pt idx="64">
                  <c:v>25.63170281232912</c:v>
                </c:pt>
                <c:pt idx="65">
                  <c:v>21.242429803466162</c:v>
                </c:pt>
                <c:pt idx="66">
                  <c:v>22.915661686107139</c:v>
                </c:pt>
                <c:pt idx="67">
                  <c:v>25.625457551553385</c:v>
                </c:pt>
                <c:pt idx="68">
                  <c:v>25.225603408102547</c:v>
                </c:pt>
                <c:pt idx="69">
                  <c:v>24.056330789149641</c:v>
                </c:pt>
                <c:pt idx="70">
                  <c:v>24.935472021743113</c:v>
                </c:pt>
                <c:pt idx="71">
                  <c:v>25.633562206149829</c:v>
                </c:pt>
                <c:pt idx="72">
                  <c:v>23.915536470944307</c:v>
                </c:pt>
                <c:pt idx="73">
                  <c:v>26.282397497981687</c:v>
                </c:pt>
                <c:pt idx="74">
                  <c:v>25.156352797208019</c:v>
                </c:pt>
                <c:pt idx="75">
                  <c:v>23.911182017299819</c:v>
                </c:pt>
                <c:pt idx="76">
                  <c:v>25.343592258876839</c:v>
                </c:pt>
                <c:pt idx="77">
                  <c:v>27.397737953651184</c:v>
                </c:pt>
                <c:pt idx="78">
                  <c:v>27.533929822414759</c:v>
                </c:pt>
                <c:pt idx="79">
                  <c:v>27.791169668079096</c:v>
                </c:pt>
                <c:pt idx="80">
                  <c:v>23.167841101694908</c:v>
                </c:pt>
                <c:pt idx="90">
                  <c:v>18.88955632062147</c:v>
                </c:pt>
                <c:pt idx="91">
                  <c:v>19.86286725127864</c:v>
                </c:pt>
                <c:pt idx="92">
                  <c:v>16.574474752824852</c:v>
                </c:pt>
                <c:pt idx="93">
                  <c:v>14.355791313559328</c:v>
                </c:pt>
                <c:pt idx="94">
                  <c:v>15.773650600282481</c:v>
                </c:pt>
                <c:pt idx="95">
                  <c:v>16.468085275423725</c:v>
                </c:pt>
                <c:pt idx="96">
                  <c:v>15.369906491585203</c:v>
                </c:pt>
                <c:pt idx="97">
                  <c:v>16.791984096152792</c:v>
                </c:pt>
                <c:pt idx="98">
                  <c:v>18.179437676553679</c:v>
                </c:pt>
                <c:pt idx="99">
                  <c:v>18.320598870056497</c:v>
                </c:pt>
                <c:pt idx="100">
                  <c:v>19.001247175141241</c:v>
                </c:pt>
                <c:pt idx="101">
                  <c:v>19.36372369350282</c:v>
                </c:pt>
                <c:pt idx="102">
                  <c:v>19.828459216101702</c:v>
                </c:pt>
                <c:pt idx="103">
                  <c:v>18.819915783898313</c:v>
                </c:pt>
                <c:pt idx="104">
                  <c:v>17.209970630255931</c:v>
                </c:pt>
                <c:pt idx="105">
                  <c:v>14.602557838983053</c:v>
                </c:pt>
                <c:pt idx="106">
                  <c:v>13.631303848870068</c:v>
                </c:pt>
                <c:pt idx="107">
                  <c:v>13.746888947740112</c:v>
                </c:pt>
                <c:pt idx="108">
                  <c:v>13.650138771186436</c:v>
                </c:pt>
                <c:pt idx="109">
                  <c:v>12.621825211864405</c:v>
                </c:pt>
                <c:pt idx="110">
                  <c:v>12.757181497175134</c:v>
                </c:pt>
                <c:pt idx="111">
                  <c:v>13.202123587570625</c:v>
                </c:pt>
                <c:pt idx="112">
                  <c:v>13.159469096598841</c:v>
                </c:pt>
                <c:pt idx="113">
                  <c:v>12.680178319209041</c:v>
                </c:pt>
                <c:pt idx="114">
                  <c:v>14.136082274011299</c:v>
                </c:pt>
                <c:pt idx="115">
                  <c:v>13.560876544201223</c:v>
                </c:pt>
                <c:pt idx="116">
                  <c:v>13.517367055084753</c:v>
                </c:pt>
                <c:pt idx="117">
                  <c:v>11.977084216101696</c:v>
                </c:pt>
                <c:pt idx="118">
                  <c:v>13.892986228813561</c:v>
                </c:pt>
                <c:pt idx="119">
                  <c:v>14.147774187853107</c:v>
                </c:pt>
                <c:pt idx="120">
                  <c:v>13.888270656779655</c:v>
                </c:pt>
                <c:pt idx="121">
                  <c:v>12.531779343220338</c:v>
                </c:pt>
                <c:pt idx="122">
                  <c:v>12.312165783898303</c:v>
                </c:pt>
                <c:pt idx="123">
                  <c:v>10.865179201977398</c:v>
                </c:pt>
                <c:pt idx="124">
                  <c:v>13.843987288135596</c:v>
                </c:pt>
                <c:pt idx="125">
                  <c:v>16.471236052259869</c:v>
                </c:pt>
                <c:pt idx="126">
                  <c:v>19.312718573446329</c:v>
                </c:pt>
                <c:pt idx="127">
                  <c:v>16.501178319209036</c:v>
                </c:pt>
                <c:pt idx="128">
                  <c:v>17.838404661016952</c:v>
                </c:pt>
                <c:pt idx="129">
                  <c:v>15.648320499180672</c:v>
                </c:pt>
                <c:pt idx="130">
                  <c:v>16.568921433615824</c:v>
                </c:pt>
                <c:pt idx="131">
                  <c:v>15.972633094072672</c:v>
                </c:pt>
                <c:pt idx="132">
                  <c:v>15.839216454802271</c:v>
                </c:pt>
                <c:pt idx="133">
                  <c:v>14.910411899717511</c:v>
                </c:pt>
                <c:pt idx="134">
                  <c:v>14.951354343220338</c:v>
                </c:pt>
                <c:pt idx="135">
                  <c:v>14.31002839991929</c:v>
                </c:pt>
                <c:pt idx="136">
                  <c:v>14.122517659876898</c:v>
                </c:pt>
                <c:pt idx="137">
                  <c:v>13.727219111023606</c:v>
                </c:pt>
                <c:pt idx="138">
                  <c:v>12.856678142655362</c:v>
                </c:pt>
                <c:pt idx="139">
                  <c:v>13.146785091452216</c:v>
                </c:pt>
                <c:pt idx="140">
                  <c:v>14.612028338148164</c:v>
                </c:pt>
                <c:pt idx="141">
                  <c:v>15.885122129299235</c:v>
                </c:pt>
                <c:pt idx="142">
                  <c:v>14.951323708114154</c:v>
                </c:pt>
                <c:pt idx="143">
                  <c:v>14.795833628371176</c:v>
                </c:pt>
                <c:pt idx="144">
                  <c:v>15.207889485508181</c:v>
                </c:pt>
                <c:pt idx="145">
                  <c:v>14.817397953290964</c:v>
                </c:pt>
                <c:pt idx="146">
                  <c:v>15.029007667085979</c:v>
                </c:pt>
                <c:pt idx="147">
                  <c:v>14.590683182784391</c:v>
                </c:pt>
                <c:pt idx="148">
                  <c:v>14.607297115694875</c:v>
                </c:pt>
                <c:pt idx="149">
                  <c:v>13.955450969770373</c:v>
                </c:pt>
                <c:pt idx="150">
                  <c:v>14.031651574172564</c:v>
                </c:pt>
                <c:pt idx="151">
                  <c:v>16.965149860140592</c:v>
                </c:pt>
                <c:pt idx="152">
                  <c:v>17.344849040415301</c:v>
                </c:pt>
                <c:pt idx="153">
                  <c:v>18.08073044923518</c:v>
                </c:pt>
                <c:pt idx="154">
                  <c:v>19.68305171130952</c:v>
                </c:pt>
                <c:pt idx="155">
                  <c:v>22.923338983050851</c:v>
                </c:pt>
                <c:pt idx="156">
                  <c:v>19.910341865694466</c:v>
                </c:pt>
                <c:pt idx="157">
                  <c:v>21.035951806935508</c:v>
                </c:pt>
                <c:pt idx="158">
                  <c:v>20.535915413042176</c:v>
                </c:pt>
                <c:pt idx="159">
                  <c:v>19.894808214007398</c:v>
                </c:pt>
                <c:pt idx="160">
                  <c:v>19.75954043079096</c:v>
                </c:pt>
                <c:pt idx="161">
                  <c:v>20.509208619679672</c:v>
                </c:pt>
                <c:pt idx="162">
                  <c:v>20.755288135593215</c:v>
                </c:pt>
                <c:pt idx="163">
                  <c:v>21.708031956214679</c:v>
                </c:pt>
                <c:pt idx="164">
                  <c:v>20.851174843035945</c:v>
                </c:pt>
                <c:pt idx="165">
                  <c:v>21.295712217514126</c:v>
                </c:pt>
                <c:pt idx="166">
                  <c:v>20.36014923647441</c:v>
                </c:pt>
                <c:pt idx="167">
                  <c:v>20.175870495626341</c:v>
                </c:pt>
                <c:pt idx="168">
                  <c:v>19.906799837609416</c:v>
                </c:pt>
                <c:pt idx="169">
                  <c:v>19.995202447742422</c:v>
                </c:pt>
                <c:pt idx="170">
                  <c:v>19.633194562146894</c:v>
                </c:pt>
                <c:pt idx="171">
                  <c:v>19.673596398305079</c:v>
                </c:pt>
                <c:pt idx="172">
                  <c:v>19.433319209039556</c:v>
                </c:pt>
                <c:pt idx="173">
                  <c:v>19.084106461864398</c:v>
                </c:pt>
              </c:numCache>
            </c:numRef>
          </c:yVal>
          <c:smooth val="0"/>
          <c:extLst>
            <c:ext xmlns:c16="http://schemas.microsoft.com/office/drawing/2014/chart" uri="{C3380CC4-5D6E-409C-BE32-E72D297353CC}">
              <c16:uniqueId val="{00000000-9162-49BE-9951-7BDCEF7C617A}"/>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xVal>
          <c:yVal>
            <c:numRef>
              <c:f>'SP02'!$C$3:$C$176</c:f>
              <c:numCache>
                <c:formatCode>0.00</c:formatCode>
                <c:ptCount val="174"/>
                <c:pt idx="0">
                  <c:v>21.835617074701826</c:v>
                </c:pt>
                <c:pt idx="1">
                  <c:v>22.061111052259893</c:v>
                </c:pt>
                <c:pt idx="2">
                  <c:v>23.9662199858757</c:v>
                </c:pt>
                <c:pt idx="3">
                  <c:v>23.859122704802264</c:v>
                </c:pt>
                <c:pt idx="4">
                  <c:v>23.256652895480226</c:v>
                </c:pt>
                <c:pt idx="5">
                  <c:v>23.24791649011301</c:v>
                </c:pt>
                <c:pt idx="6">
                  <c:v>23.983049788135599</c:v>
                </c:pt>
                <c:pt idx="7">
                  <c:v>23.05714918785311</c:v>
                </c:pt>
                <c:pt idx="8">
                  <c:v>21.028188735875709</c:v>
                </c:pt>
                <c:pt idx="9">
                  <c:v>20.664511475988704</c:v>
                </c:pt>
                <c:pt idx="10">
                  <c:v>20.088801906779661</c:v>
                </c:pt>
                <c:pt idx="11">
                  <c:v>18.762954625706211</c:v>
                </c:pt>
                <c:pt idx="12">
                  <c:v>19.552461687853111</c:v>
                </c:pt>
                <c:pt idx="13">
                  <c:v>20.245704449152537</c:v>
                </c:pt>
                <c:pt idx="14">
                  <c:v>17.919954625706225</c:v>
                </c:pt>
                <c:pt idx="15">
                  <c:v>20.897520555355221</c:v>
                </c:pt>
                <c:pt idx="16">
                  <c:v>22.253611758474573</c:v>
                </c:pt>
                <c:pt idx="17">
                  <c:v>23.191417725988703</c:v>
                </c:pt>
                <c:pt idx="18">
                  <c:v>24.988332627118648</c:v>
                </c:pt>
                <c:pt idx="19">
                  <c:v>27.318161899717513</c:v>
                </c:pt>
                <c:pt idx="20">
                  <c:v>27.041161016949147</c:v>
                </c:pt>
                <c:pt idx="21">
                  <c:v>25.494952507062148</c:v>
                </c:pt>
                <c:pt idx="22">
                  <c:v>23.866843043785305</c:v>
                </c:pt>
                <c:pt idx="23">
                  <c:v>24.057054025423728</c:v>
                </c:pt>
                <c:pt idx="24">
                  <c:v>24.23644120762712</c:v>
                </c:pt>
                <c:pt idx="25">
                  <c:v>24.457969103107345</c:v>
                </c:pt>
                <c:pt idx="26">
                  <c:v>24.577703389830504</c:v>
                </c:pt>
                <c:pt idx="27">
                  <c:v>23.768764300847455</c:v>
                </c:pt>
                <c:pt idx="28">
                  <c:v>24.315128531073452</c:v>
                </c:pt>
                <c:pt idx="29">
                  <c:v>25.230839336158187</c:v>
                </c:pt>
                <c:pt idx="30">
                  <c:v>24.464227401129936</c:v>
                </c:pt>
                <c:pt idx="31">
                  <c:v>23.93484992937853</c:v>
                </c:pt>
                <c:pt idx="32">
                  <c:v>21.929228460451977</c:v>
                </c:pt>
                <c:pt idx="33" formatCode="0.0">
                  <c:v>22.568534427966103</c:v>
                </c:pt>
                <c:pt idx="34" formatCode="0.0">
                  <c:v>24.789503707627119</c:v>
                </c:pt>
                <c:pt idx="35" formatCode="0.0">
                  <c:v>25.663868997175143</c:v>
                </c:pt>
                <c:pt idx="36" formatCode="0.0">
                  <c:v>25.786244879943499</c:v>
                </c:pt>
                <c:pt idx="37" formatCode="0.0">
                  <c:v>26.054543785310731</c:v>
                </c:pt>
                <c:pt idx="38" formatCode="0.0">
                  <c:v>26.045504237288132</c:v>
                </c:pt>
                <c:pt idx="39" formatCode="0.0">
                  <c:v>24.814019067796607</c:v>
                </c:pt>
                <c:pt idx="40" formatCode="0.0">
                  <c:v>24.227572740112986</c:v>
                </c:pt>
                <c:pt idx="41" formatCode="0.0">
                  <c:v>24.865853283898314</c:v>
                </c:pt>
                <c:pt idx="42" formatCode="0.0">
                  <c:v>25.623006002824852</c:v>
                </c:pt>
                <c:pt idx="43" formatCode="0.0">
                  <c:v>25.872747351694912</c:v>
                </c:pt>
                <c:pt idx="44" formatCode="0.0">
                  <c:v>26.331548375706205</c:v>
                </c:pt>
                <c:pt idx="45" formatCode="0.0">
                  <c:v>25.772065677966108</c:v>
                </c:pt>
                <c:pt idx="46" formatCode="0.0">
                  <c:v>27.074495409604509</c:v>
                </c:pt>
                <c:pt idx="47" formatCode="0.0">
                  <c:v>28.020667725988705</c:v>
                </c:pt>
                <c:pt idx="48" formatCode="0.0">
                  <c:v>28.438265713276834</c:v>
                </c:pt>
                <c:pt idx="49" formatCode="0.0">
                  <c:v>28.285006355932207</c:v>
                </c:pt>
                <c:pt idx="50" formatCode="0.0">
                  <c:v>26.318467867231632</c:v>
                </c:pt>
                <c:pt idx="51" formatCode="0.0">
                  <c:v>24.847240642655365</c:v>
                </c:pt>
                <c:pt idx="52" formatCode="0.0">
                  <c:v>24.797433792372875</c:v>
                </c:pt>
                <c:pt idx="53" formatCode="0.0">
                  <c:v>26.203862817796605</c:v>
                </c:pt>
                <c:pt idx="54" formatCode="0.0">
                  <c:v>27.177938912429386</c:v>
                </c:pt>
                <c:pt idx="55" formatCode="0.0">
                  <c:v>27.566679025423721</c:v>
                </c:pt>
                <c:pt idx="56" formatCode="0.0">
                  <c:v>24.954757238700569</c:v>
                </c:pt>
                <c:pt idx="57" formatCode="0.0">
                  <c:v>26.496769420903959</c:v>
                </c:pt>
                <c:pt idx="58" formatCode="0.0">
                  <c:v>27.07007838983051</c:v>
                </c:pt>
                <c:pt idx="59" formatCode="0.0">
                  <c:v>25.498148305084751</c:v>
                </c:pt>
                <c:pt idx="60" formatCode="0.0">
                  <c:v>24.200134004237288</c:v>
                </c:pt>
                <c:pt idx="61" formatCode="0.0">
                  <c:v>24.295132415254244</c:v>
                </c:pt>
                <c:pt idx="62" formatCode="0.0">
                  <c:v>25.038702153954798</c:v>
                </c:pt>
                <c:pt idx="63" formatCode="0.0">
                  <c:v>25.661233933615822</c:v>
                </c:pt>
                <c:pt idx="64" formatCode="0.0">
                  <c:v>24.636208686440682</c:v>
                </c:pt>
                <c:pt idx="65" formatCode="0.0">
                  <c:v>21.329462747175139</c:v>
                </c:pt>
                <c:pt idx="66" formatCode="0.0">
                  <c:v>24.242835628531068</c:v>
                </c:pt>
                <c:pt idx="67" formatCode="0.0">
                  <c:v>25.798818149717516</c:v>
                </c:pt>
                <c:pt idx="68" formatCode="0.0">
                  <c:v>24.319707274011304</c:v>
                </c:pt>
                <c:pt idx="69" formatCode="0.0">
                  <c:v>22.477864936440668</c:v>
                </c:pt>
                <c:pt idx="70" formatCode="0.0">
                  <c:v>23.778318679378533</c:v>
                </c:pt>
                <c:pt idx="71" formatCode="0.0">
                  <c:v>24.410812499999995</c:v>
                </c:pt>
                <c:pt idx="72" formatCode="0.0">
                  <c:v>24.07182680084745</c:v>
                </c:pt>
                <c:pt idx="73" formatCode="0.0">
                  <c:v>24.720947033898298</c:v>
                </c:pt>
                <c:pt idx="74" formatCode="0.0">
                  <c:v>23.897001765536725</c:v>
                </c:pt>
                <c:pt idx="75" formatCode="0.0">
                  <c:v>23.696185911016954</c:v>
                </c:pt>
                <c:pt idx="76" formatCode="0.0">
                  <c:v>25.808277718926551</c:v>
                </c:pt>
                <c:pt idx="77" formatCode="0.0">
                  <c:v>27.86769844632768</c:v>
                </c:pt>
                <c:pt idx="78" formatCode="0.0">
                  <c:v>27.468782485875703</c:v>
                </c:pt>
                <c:pt idx="79" formatCode="0.0">
                  <c:v>26.755257768361584</c:v>
                </c:pt>
                <c:pt idx="80" formatCode="0.0">
                  <c:v>22.586832803672319</c:v>
                </c:pt>
                <c:pt idx="90" formatCode="0.0">
                  <c:v>18.240906073446329</c:v>
                </c:pt>
                <c:pt idx="91" formatCode="0.0">
                  <c:v>18.265793961864397</c:v>
                </c:pt>
                <c:pt idx="92" formatCode="0.0">
                  <c:v>15.601225635593217</c:v>
                </c:pt>
                <c:pt idx="93" formatCode="0.0">
                  <c:v>13.586754237288128</c:v>
                </c:pt>
                <c:pt idx="94" formatCode="0.0">
                  <c:v>14.02803831214689</c:v>
                </c:pt>
                <c:pt idx="95" formatCode="0.0">
                  <c:v>15.337312500000003</c:v>
                </c:pt>
                <c:pt idx="96" formatCode="0.0">
                  <c:v>14.606302789548026</c:v>
                </c:pt>
                <c:pt idx="97" formatCode="0.0">
                  <c:v>15.209230579096037</c:v>
                </c:pt>
                <c:pt idx="98" formatCode="0.0">
                  <c:v>16.855722281073447</c:v>
                </c:pt>
                <c:pt idx="99" formatCode="0.0">
                  <c:v>18.719408898305076</c:v>
                </c:pt>
                <c:pt idx="100" formatCode="0.0">
                  <c:v>19.70760734463278</c:v>
                </c:pt>
                <c:pt idx="101" formatCode="0.0">
                  <c:v>20.170167725988708</c:v>
                </c:pt>
                <c:pt idx="102" formatCode="0.0">
                  <c:v>19.845690854519777</c:v>
                </c:pt>
                <c:pt idx="103" formatCode="0.0">
                  <c:v>18.311039194915249</c:v>
                </c:pt>
                <c:pt idx="104" formatCode="0.0">
                  <c:v>16.091157662429385</c:v>
                </c:pt>
                <c:pt idx="105" formatCode="0.0">
                  <c:v>13.96373481638417</c:v>
                </c:pt>
                <c:pt idx="106" formatCode="0.0">
                  <c:v>13.495283015536716</c:v>
                </c:pt>
                <c:pt idx="107" formatCode="0.0">
                  <c:v>13.724346045197743</c:v>
                </c:pt>
                <c:pt idx="108" formatCode="0.0">
                  <c:v>13.081683615819209</c:v>
                </c:pt>
                <c:pt idx="109" formatCode="0.0">
                  <c:v>12.419164548022593</c:v>
                </c:pt>
                <c:pt idx="110" formatCode="0.0">
                  <c:v>12.578972104519771</c:v>
                </c:pt>
                <c:pt idx="111" formatCode="0.0">
                  <c:v>12.864394244350281</c:v>
                </c:pt>
                <c:pt idx="112" formatCode="0.0">
                  <c:v>12.141502471751414</c:v>
                </c:pt>
                <c:pt idx="113" formatCode="0.0">
                  <c:v>12.480639477401132</c:v>
                </c:pt>
                <c:pt idx="114" formatCode="0.0">
                  <c:v>12.697774187853106</c:v>
                </c:pt>
                <c:pt idx="115" formatCode="0.0">
                  <c:v>12.378698547215498</c:v>
                </c:pt>
                <c:pt idx="116" formatCode="0.0">
                  <c:v>12.206948446327678</c:v>
                </c:pt>
                <c:pt idx="117" formatCode="0.0">
                  <c:v>10.816254413841806</c:v>
                </c:pt>
                <c:pt idx="118" formatCode="0.0">
                  <c:v>11.951077683615821</c:v>
                </c:pt>
                <c:pt idx="119" formatCode="0.0">
                  <c:v>12.763782838983053</c:v>
                </c:pt>
                <c:pt idx="120" formatCode="0.0">
                  <c:v>12.21277083333333</c:v>
                </c:pt>
                <c:pt idx="121" formatCode="0.0">
                  <c:v>11.400756179378531</c:v>
                </c:pt>
                <c:pt idx="122" formatCode="0.0">
                  <c:v>11.110769244350282</c:v>
                </c:pt>
                <c:pt idx="123" formatCode="0.0">
                  <c:v>10.312613170903957</c:v>
                </c:pt>
                <c:pt idx="124" formatCode="0.0">
                  <c:v>11.663917196327681</c:v>
                </c:pt>
                <c:pt idx="125" formatCode="0.0">
                  <c:v>12.879065148305079</c:v>
                </c:pt>
                <c:pt idx="126" formatCode="0.0">
                  <c:v>14.209148128531067</c:v>
                </c:pt>
                <c:pt idx="127" formatCode="0.0">
                  <c:v>14.510730579096046</c:v>
                </c:pt>
                <c:pt idx="128" formatCode="0.0">
                  <c:v>16.546516419491521</c:v>
                </c:pt>
                <c:pt idx="129" formatCode="0.0">
                  <c:v>15.031096927966106</c:v>
                </c:pt>
                <c:pt idx="130" formatCode="0.0">
                  <c:v>15.649846221751412</c:v>
                </c:pt>
                <c:pt idx="131" formatCode="0.0">
                  <c:v>14.666594456214689</c:v>
                </c:pt>
                <c:pt idx="132" formatCode="0.0">
                  <c:v>14.995639124293794</c:v>
                </c:pt>
                <c:pt idx="133" formatCode="0.0">
                  <c:v>14.05838788841808</c:v>
                </c:pt>
                <c:pt idx="134" formatCode="0.0">
                  <c:v>14.167974223163839</c:v>
                </c:pt>
                <c:pt idx="135" formatCode="0.0">
                  <c:v>13.604606461864408</c:v>
                </c:pt>
                <c:pt idx="136" formatCode="0.0">
                  <c:v>13.130163665254237</c:v>
                </c:pt>
                <c:pt idx="137" formatCode="0.0">
                  <c:v>12.750380120056493</c:v>
                </c:pt>
                <c:pt idx="138" formatCode="0.0">
                  <c:v>12.512680967514115</c:v>
                </c:pt>
                <c:pt idx="139" formatCode="0.0">
                  <c:v>12.722496715753808</c:v>
                </c:pt>
                <c:pt idx="140" formatCode="0.0">
                  <c:v>14.161144724864071</c:v>
                </c:pt>
                <c:pt idx="141" formatCode="0.0">
                  <c:v>15.583240995762708</c:v>
                </c:pt>
                <c:pt idx="142" formatCode="0.0">
                  <c:v>14.492361581920905</c:v>
                </c:pt>
                <c:pt idx="143" formatCode="0.0">
                  <c:v>14.711511148123401</c:v>
                </c:pt>
                <c:pt idx="144" formatCode="0.0">
                  <c:v>14.552164228019061</c:v>
                </c:pt>
                <c:pt idx="145" formatCode="0.0">
                  <c:v>13.922814261358992</c:v>
                </c:pt>
                <c:pt idx="146" formatCode="0.0">
                  <c:v>14.36386919317272</c:v>
                </c:pt>
                <c:pt idx="147" formatCode="0.0">
                  <c:v>14.036687239221726</c:v>
                </c:pt>
                <c:pt idx="148" formatCode="0.0">
                  <c:v>13.951794835527659</c:v>
                </c:pt>
                <c:pt idx="149" formatCode="0.0">
                  <c:v>13.441266178401451</c:v>
                </c:pt>
                <c:pt idx="150" formatCode="0.0">
                  <c:v>12.746930434703286</c:v>
                </c:pt>
                <c:pt idx="151" formatCode="0.0">
                  <c:v>14.871527542372876</c:v>
                </c:pt>
                <c:pt idx="152" formatCode="0.0">
                  <c:v>15.955174435028242</c:v>
                </c:pt>
                <c:pt idx="153" formatCode="0.0">
                  <c:v>16.306707097457625</c:v>
                </c:pt>
                <c:pt idx="154" formatCode="0.0">
                  <c:v>17.900968043785308</c:v>
                </c:pt>
                <c:pt idx="155" formatCode="0.0">
                  <c:v>20.261179201977399</c:v>
                </c:pt>
                <c:pt idx="156" formatCode="0.0">
                  <c:v>19.11941507768362</c:v>
                </c:pt>
                <c:pt idx="157" formatCode="0.0">
                  <c:v>19.908706391242927</c:v>
                </c:pt>
                <c:pt idx="158" formatCode="0.0">
                  <c:v>19.547757363291954</c:v>
                </c:pt>
                <c:pt idx="159" formatCode="0.0">
                  <c:v>19.215972457627107</c:v>
                </c:pt>
                <c:pt idx="160" formatCode="0.0">
                  <c:v>19.437318679378524</c:v>
                </c:pt>
                <c:pt idx="161" formatCode="0.0">
                  <c:v>20.62697351694915</c:v>
                </c:pt>
                <c:pt idx="162" formatCode="0.0">
                  <c:v>20.301226518361588</c:v>
                </c:pt>
                <c:pt idx="163" formatCode="0.0">
                  <c:v>21.049951800847452</c:v>
                </c:pt>
                <c:pt idx="164" formatCode="0.0">
                  <c:v>20.116858580508474</c:v>
                </c:pt>
                <c:pt idx="165" formatCode="0.0">
                  <c:v>20.815641596045204</c:v>
                </c:pt>
                <c:pt idx="166" formatCode="0.0">
                  <c:v>19.729792978208234</c:v>
                </c:pt>
                <c:pt idx="167" formatCode="0.0">
                  <c:v>19.565401659604522</c:v>
                </c:pt>
                <c:pt idx="168" formatCode="0.0">
                  <c:v>19.599354166666661</c:v>
                </c:pt>
                <c:pt idx="169" formatCode="0.0">
                  <c:v>19.745036899717515</c:v>
                </c:pt>
                <c:pt idx="170" formatCode="0.0">
                  <c:v>19.09394209039548</c:v>
                </c:pt>
                <c:pt idx="171" formatCode="0.0">
                  <c:v>19.441908015536729</c:v>
                </c:pt>
                <c:pt idx="172" formatCode="0.0">
                  <c:v>19.25778001412429</c:v>
                </c:pt>
                <c:pt idx="173" formatCode="0.0">
                  <c:v>18.539959569209042</c:v>
                </c:pt>
              </c:numCache>
            </c:numRef>
          </c:yVal>
          <c:smooth val="0"/>
          <c:extLst>
            <c:ext xmlns:c16="http://schemas.microsoft.com/office/drawing/2014/chart" uri="{C3380CC4-5D6E-409C-BE32-E72D297353CC}">
              <c16:uniqueId val="{00000001-9162-49BE-9951-7BDCEF7C617A}"/>
            </c:ext>
          </c:extLst>
        </c:ser>
        <c:dLbls>
          <c:showLegendKey val="0"/>
          <c:showVal val="0"/>
          <c:showCatName val="0"/>
          <c:showSerName val="0"/>
          <c:showPercent val="0"/>
          <c:showBubbleSize val="0"/>
        </c:dLbls>
        <c:axId val="263335912"/>
        <c:axId val="263336304"/>
      </c:scatterChart>
      <c:valAx>
        <c:axId val="263335912"/>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6304"/>
        <c:crosses val="autoZero"/>
        <c:crossBetween val="midCat"/>
        <c:majorUnit val="30.6"/>
      </c:valAx>
      <c:valAx>
        <c:axId val="263336304"/>
        <c:scaling>
          <c:orientation val="minMax"/>
          <c:min val="10"/>
        </c:scaling>
        <c:delete val="0"/>
        <c:axPos val="l"/>
        <c:title>
          <c:tx>
            <c:rich>
              <a:bodyPr/>
              <a:lstStyle/>
              <a:p>
                <a:pPr>
                  <a:defRPr sz="1000" b="0" i="0" u="none" strike="noStrike" baseline="0">
                    <a:solidFill>
                      <a:srgbClr val="000000"/>
                    </a:solidFill>
                    <a:latin typeface="Arial"/>
                    <a:ea typeface="Arial"/>
                    <a:cs typeface="Arial"/>
                  </a:defRPr>
                </a:pPr>
                <a:r>
                  <a:rPr lang="en-US"/>
                  <a:t>Salinity</a:t>
                </a:r>
              </a:p>
            </c:rich>
          </c:tx>
          <c:layout>
            <c:manualLayout>
              <c:xMode val="edge"/>
              <c:yMode val="edge"/>
              <c:x val="9.7357830271216101E-3"/>
              <c:y val="0.3245622141543684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5912"/>
        <c:crosses val="autoZero"/>
        <c:crossBetween val="midCat"/>
        <c:majorUnit val="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3339775935834"/>
          <c:y val="6.1111152554763785E-2"/>
          <c:w val="0.80360625254859841"/>
          <c:h val="0.81111166118141076"/>
        </c:manualLayout>
      </c:layout>
      <c:scatterChart>
        <c:scatterStyle val="lineMarker"/>
        <c:varyColors val="0"/>
        <c:ser>
          <c:idx val="0"/>
          <c:order val="0"/>
          <c:spPr>
            <a:ln w="12700">
              <a:solidFill>
                <a:srgbClr val="000000"/>
              </a:solidFill>
              <a:prstDash val="solid"/>
            </a:ln>
          </c:spPr>
          <c:marker>
            <c:symbol val="circle"/>
            <c:size val="6"/>
            <c:spPr>
              <a:solidFill>
                <a:srgbClr val="FFFFFF"/>
              </a:solidFill>
              <a:ln>
                <a:solidFill>
                  <a:srgbClr val="000000"/>
                </a:solidFill>
                <a:prstDash val="solid"/>
              </a:ln>
            </c:spPr>
          </c:marker>
          <c:xVal>
            <c:numRef>
              <c:f>'2_WAY'!$B$3:$B$22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'2_WAY'!$C$3:$C$22</c:f>
              <c:numCache>
                <c:formatCode>0.0</c:formatCode>
                <c:ptCount val="20"/>
                <c:pt idx="0">
                  <c:v>1.3436776129943511</c:v>
                </c:pt>
                <c:pt idx="1">
                  <c:v>2.1542913135593218</c:v>
                </c:pt>
                <c:pt idx="2">
                  <c:v>1.4977471751412434</c:v>
                </c:pt>
                <c:pt idx="3">
                  <c:v>0.98795611064762756</c:v>
                </c:pt>
                <c:pt idx="4">
                  <c:v>1.2089134017631005</c:v>
                </c:pt>
                <c:pt idx="5">
                  <c:v>1.0220045269074192</c:v>
                </c:pt>
                <c:pt idx="6">
                  <c:v>0.99318679378531094</c:v>
                </c:pt>
                <c:pt idx="7">
                  <c:v>0.89973297159886678</c:v>
                </c:pt>
                <c:pt idx="8">
                  <c:v>1.1705264298528193</c:v>
                </c:pt>
                <c:pt idx="9">
                  <c:v>1.5772794384349671</c:v>
                </c:pt>
                <c:pt idx="10">
                  <c:v>1.3253618484917726</c:v>
                </c:pt>
                <c:pt idx="11">
                  <c:v>2.8251149173222516</c:v>
                </c:pt>
                <c:pt idx="12">
                  <c:v>2.3468504590395489</c:v>
                </c:pt>
                <c:pt idx="13">
                  <c:v>3.317936087570621</c:v>
                </c:pt>
                <c:pt idx="14">
                  <c:v>2.2513310381355924</c:v>
                </c:pt>
                <c:pt idx="15">
                  <c:v>3.0535690324858766</c:v>
                </c:pt>
                <c:pt idx="16">
                  <c:v>2.3391690397045726</c:v>
                </c:pt>
                <c:pt idx="17">
                  <c:v>6.87</c:v>
                </c:pt>
                <c:pt idx="18">
                  <c:v>5.1305985822088571</c:v>
                </c:pt>
                <c:pt idx="19">
                  <c:v>2.2875523123488408</c:v>
                </c:pt>
              </c:numCache>
            </c:numRef>
          </c:yVal>
          <c:smooth val="0"/>
          <c:extLst>
            <c:ext xmlns:c16="http://schemas.microsoft.com/office/drawing/2014/chart" uri="{C3380CC4-5D6E-409C-BE32-E72D297353CC}">
              <c16:uniqueId val="{00000000-F54D-4890-815C-D7A37E182FEE}"/>
            </c:ext>
          </c:extLst>
        </c:ser>
        <c:ser>
          <c:idx val="1"/>
          <c:order val="1"/>
          <c:spPr>
            <a:ln w="12700">
              <a:solidFill>
                <a:srgbClr val="000000"/>
              </a:solidFill>
              <a:prstDash val="solid"/>
            </a:ln>
          </c:spPr>
          <c:marker>
            <c:symbol val="square"/>
            <c:size val="7"/>
            <c:spPr>
              <a:solidFill>
                <a:srgbClr val="0070C0"/>
              </a:solidFill>
              <a:ln>
                <a:solidFill>
                  <a:srgbClr val="0000FF"/>
                </a:solidFill>
                <a:prstDash val="solid"/>
              </a:ln>
            </c:spPr>
          </c:marker>
          <c:xVal>
            <c:numRef>
              <c:f>'2_WAY'!$B$3:$B$22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'2_WAY'!$D$3:$D$22</c:f>
              <c:numCache>
                <c:formatCode>0.0</c:formatCode>
                <c:ptCount val="2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numCache>
            </c:numRef>
          </c:yVal>
          <c:smooth val="0"/>
          <c:extLst>
            <c:ext xmlns:c16="http://schemas.microsoft.com/office/drawing/2014/chart" uri="{C3380CC4-5D6E-409C-BE32-E72D297353CC}">
              <c16:uniqueId val="{00000001-F54D-4890-815C-D7A37E182FEE}"/>
            </c:ext>
          </c:extLst>
        </c:ser>
        <c:dLbls>
          <c:showLegendKey val="0"/>
          <c:showVal val="0"/>
          <c:showCatName val="0"/>
          <c:showSerName val="0"/>
          <c:showPercent val="0"/>
          <c:showBubbleSize val="0"/>
        </c:dLbls>
        <c:axId val="304822240"/>
        <c:axId val="304822632"/>
      </c:scatterChart>
      <c:valAx>
        <c:axId val="304822240"/>
        <c:scaling>
          <c:orientation val="minMax"/>
          <c:max val="41549"/>
          <c:min val="41365"/>
        </c:scaling>
        <c:delete val="0"/>
        <c:axPos val="b"/>
        <c:numFmt formatCode="mmm" sourceLinked="0"/>
        <c:majorTickMark val="out"/>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4822632"/>
        <c:crosses val="autoZero"/>
        <c:crossBetween val="midCat"/>
        <c:majorUnit val="30.6"/>
      </c:valAx>
      <c:valAx>
        <c:axId val="304822632"/>
        <c:scaling>
          <c:orientation val="minMax"/>
        </c:scaling>
        <c:delete val="0"/>
        <c:axPos val="l"/>
        <c:title>
          <c:tx>
            <c:rich>
              <a:bodyPr/>
              <a:lstStyle/>
              <a:p>
                <a:pPr>
                  <a:defRPr sz="1000" b="0" i="0" u="none" strike="noStrike" baseline="0">
                    <a:solidFill>
                      <a:srgbClr val="000000"/>
                    </a:solidFill>
                    <a:latin typeface="Arial"/>
                    <a:ea typeface="Arial"/>
                    <a:cs typeface="Arial"/>
                  </a:defRPr>
                </a:pPr>
                <a:endParaRPr lang="en-US"/>
              </a:p>
            </c:rich>
          </c:tx>
          <c:layout>
            <c:manualLayout>
              <c:xMode val="edge"/>
              <c:yMode val="edge"/>
              <c:x val="2.1666470795628157E-2"/>
              <c:y val="0.3194446847990155"/>
            </c:manualLayout>
          </c:layout>
          <c:overlay val="0"/>
          <c:spPr>
            <a:noFill/>
            <a:ln w="25400">
              <a:noFill/>
            </a:ln>
          </c:spPr>
        </c:title>
        <c:numFmt formatCode="0.0" sourceLinked="0"/>
        <c:majorTickMark val="out"/>
        <c:minorTickMark val="none"/>
        <c:tickLblPos val="nextTo"/>
        <c:spPr>
          <a:ln w="12700">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4822240"/>
        <c:crosses val="autoZero"/>
        <c:crossBetween val="midCat"/>
      </c:valAx>
      <c:spPr>
        <a:noFill/>
        <a:ln w="25400">
          <a:noFill/>
        </a:ln>
      </c:spPr>
    </c:plotArea>
    <c:legend>
      <c:legendPos val="r"/>
      <c:layout>
        <c:manualLayout>
          <c:xMode val="edge"/>
          <c:yMode val="edge"/>
          <c:x val="0.21535203657219959"/>
          <c:y val="0.51648536403017697"/>
          <c:w val="0.25373160744645296"/>
          <c:h val="0.19047687184091633"/>
        </c:manualLayout>
      </c:layout>
      <c:overlay val="0"/>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3339775935834"/>
          <c:y val="6.1111152554763785E-2"/>
          <c:w val="0.80360625254859841"/>
          <c:h val="0.81111166118141076"/>
        </c:manualLayout>
      </c:layout>
      <c:scatterChart>
        <c:scatterStyle val="lineMarker"/>
        <c:varyColors val="0"/>
        <c:ser>
          <c:idx val="0"/>
          <c:order val="0"/>
          <c:spPr>
            <a:ln w="12700">
              <a:solidFill>
                <a:srgbClr val="000000"/>
              </a:solidFill>
              <a:prstDash val="solid"/>
            </a:ln>
          </c:spPr>
          <c:marker>
            <c:symbol val="circle"/>
            <c:size val="6"/>
            <c:spPr>
              <a:solidFill>
                <a:srgbClr val="FFFFFF"/>
              </a:solidFill>
              <a:ln>
                <a:solidFill>
                  <a:srgbClr val="000000"/>
                </a:solidFill>
                <a:prstDash val="solid"/>
              </a:ln>
            </c:spPr>
          </c:marker>
          <c:xVal>
            <c:numRef>
              <c:f>'2_WAY'!$B$23:$B$42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'2_WAY'!$C$23:$C$42</c:f>
              <c:numCache>
                <c:formatCode>0.0</c:formatCode>
                <c:ptCount val="20"/>
                <c:pt idx="0">
                  <c:v>1.36692302259887</c:v>
                </c:pt>
                <c:pt idx="1">
                  <c:v>2.1225847457627118</c:v>
                </c:pt>
                <c:pt idx="2">
                  <c:v>1.4695985169491523</c:v>
                </c:pt>
                <c:pt idx="3">
                  <c:v>0.96645462570621443</c:v>
                </c:pt>
                <c:pt idx="4">
                  <c:v>1.1150084745762707</c:v>
                </c:pt>
                <c:pt idx="5">
                  <c:v>0.96755685028248639</c:v>
                </c:pt>
                <c:pt idx="6">
                  <c:v>0.94609427966101667</c:v>
                </c:pt>
                <c:pt idx="7">
                  <c:v>0.8055158898305087</c:v>
                </c:pt>
                <c:pt idx="8">
                  <c:v>0.91407821327683558</c:v>
                </c:pt>
                <c:pt idx="9">
                  <c:v>1.4148022598870051</c:v>
                </c:pt>
                <c:pt idx="10">
                  <c:v>1.131833333333333</c:v>
                </c:pt>
                <c:pt idx="11">
                  <c:v>2.6386649011299443</c:v>
                </c:pt>
                <c:pt idx="12">
                  <c:v>2.2975349576271182</c:v>
                </c:pt>
                <c:pt idx="13">
                  <c:v>2.6738112641242928</c:v>
                </c:pt>
                <c:pt idx="14">
                  <c:v>2.0671608403954802</c:v>
                </c:pt>
                <c:pt idx="15">
                  <c:v>2.6075340748587577</c:v>
                </c:pt>
                <c:pt idx="16">
                  <c:v>2.2179193149717511</c:v>
                </c:pt>
                <c:pt idx="17">
                  <c:v>#N/A</c:v>
                </c:pt>
                <c:pt idx="18">
                  <c:v>3.0018667019774004</c:v>
                </c:pt>
                <c:pt idx="19">
                  <c:v>1.8449906606710471</c:v>
                </c:pt>
              </c:numCache>
            </c:numRef>
          </c:yVal>
          <c:smooth val="0"/>
          <c:extLst>
            <c:ext xmlns:c16="http://schemas.microsoft.com/office/drawing/2014/chart" uri="{C3380CC4-5D6E-409C-BE32-E72D297353CC}">
              <c16:uniqueId val="{00000000-9EE8-4D6C-B68B-45196E24B1E1}"/>
            </c:ext>
          </c:extLst>
        </c:ser>
        <c:ser>
          <c:idx val="1"/>
          <c:order val="1"/>
          <c:spPr>
            <a:ln w="12700">
              <a:solidFill>
                <a:srgbClr val="000000"/>
              </a:solidFill>
              <a:prstDash val="solid"/>
            </a:ln>
          </c:spPr>
          <c:marker>
            <c:symbol val="square"/>
            <c:size val="7"/>
            <c:spPr>
              <a:solidFill>
                <a:srgbClr val="0070C0"/>
              </a:solidFill>
              <a:ln>
                <a:solidFill>
                  <a:srgbClr val="0000FF"/>
                </a:solidFill>
                <a:prstDash val="solid"/>
              </a:ln>
            </c:spPr>
          </c:marker>
          <c:xVal>
            <c:numRef>
              <c:f>'2_WAY'!$B$23:$B$42</c:f>
              <c:numCache>
                <c:formatCode>[$-409]d\-mmm;@</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'2_WAY'!$D$23:$D$42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1-9EE8-4D6C-B68B-45196E24B1E1}"/>
            </c:ext>
          </c:extLst>
        </c:ser>
        <c:dLbls>
          <c:showLegendKey val="0"/>
          <c:showVal val="0"/>
          <c:showCatName val="0"/>
          <c:showSerName val="0"/>
          <c:showPercent val="0"/>
          <c:showBubbleSize val="0"/>
        </c:dLbls>
        <c:axId val="304823416"/>
        <c:axId val="304823808"/>
      </c:scatterChart>
      <c:valAx>
        <c:axId val="304823416"/>
        <c:scaling>
          <c:orientation val="minMax"/>
          <c:max val="41549"/>
          <c:min val="41365"/>
        </c:scaling>
        <c:delete val="0"/>
        <c:axPos val="b"/>
        <c:numFmt formatCode="mmm" sourceLinked="0"/>
        <c:majorTickMark val="out"/>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4823808"/>
        <c:crosses val="autoZero"/>
        <c:crossBetween val="midCat"/>
        <c:majorUnit val="30.6"/>
      </c:valAx>
      <c:valAx>
        <c:axId val="304823808"/>
        <c:scaling>
          <c:orientation val="minMax"/>
        </c:scaling>
        <c:delete val="0"/>
        <c:axPos val="l"/>
        <c:title>
          <c:tx>
            <c:rich>
              <a:bodyPr/>
              <a:lstStyle/>
              <a:p>
                <a:pPr>
                  <a:defRPr sz="1000" b="0" i="0" u="none" strike="noStrike" baseline="0">
                    <a:solidFill>
                      <a:srgbClr val="000000"/>
                    </a:solidFill>
                    <a:latin typeface="Arial"/>
                    <a:ea typeface="Arial"/>
                    <a:cs typeface="Arial"/>
                  </a:defRPr>
                </a:pPr>
                <a:endParaRPr lang="en-US"/>
              </a:p>
            </c:rich>
          </c:tx>
          <c:layout>
            <c:manualLayout>
              <c:xMode val="edge"/>
              <c:yMode val="edge"/>
              <c:x val="2.166633017026718E-2"/>
              <c:y val="0.3194446847990155"/>
            </c:manualLayout>
          </c:layout>
          <c:overlay val="0"/>
          <c:spPr>
            <a:noFill/>
            <a:ln w="25400">
              <a:noFill/>
            </a:ln>
          </c:spPr>
        </c:title>
        <c:numFmt formatCode="0.0" sourceLinked="0"/>
        <c:majorTickMark val="out"/>
        <c:minorTickMark val="none"/>
        <c:tickLblPos val="nextTo"/>
        <c:spPr>
          <a:ln w="12700">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4823416"/>
        <c:crosses val="autoZero"/>
        <c:crossBetween val="midCat"/>
      </c:valAx>
      <c:spPr>
        <a:noFill/>
        <a:ln w="25400">
          <a:noFill/>
        </a:ln>
      </c:spPr>
    </c:plotArea>
    <c:legend>
      <c:legendPos val="r"/>
      <c:layout>
        <c:manualLayout>
          <c:xMode val="edge"/>
          <c:yMode val="edge"/>
          <c:x val="0.21153890295076905"/>
          <c:y val="0.51648536403017697"/>
          <c:w val="0.24572700847816606"/>
          <c:h val="0.19047687184091633"/>
        </c:manualLayout>
      </c:layout>
      <c:overlay val="0"/>
      <c:spPr>
        <a:no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4613448638243"/>
          <c:y val="6.0992366806542776E-2"/>
          <c:w val="0.78346277603243508"/>
          <c:h val="0.77848201507956605"/>
        </c:manualLayout>
      </c:layout>
      <c:scatterChart>
        <c:scatterStyle val="lineMarker"/>
        <c:varyColors val="0"/>
        <c:ser>
          <c:idx val="2"/>
          <c:order val="0"/>
          <c:spPr>
            <a:ln w="28575">
              <a:noFill/>
            </a:ln>
          </c:spPr>
          <c:marker>
            <c:symbol val="circle"/>
            <c:size val="7"/>
            <c:spPr>
              <a:noFill/>
              <a:ln>
                <a:solidFill>
                  <a:schemeClr val="tx1"/>
                </a:solidFill>
                <a:prstDash val="solid"/>
              </a:ln>
            </c:spPr>
          </c:marker>
          <c:xVal>
            <c:numRef>
              <c:f>'2_WAY'!$C$23:$C$42</c:f>
              <c:numCache>
                <c:formatCode>0.0</c:formatCode>
                <c:ptCount val="20"/>
                <c:pt idx="0">
                  <c:v>1.36692302259887</c:v>
                </c:pt>
                <c:pt idx="1">
                  <c:v>2.1225847457627118</c:v>
                </c:pt>
                <c:pt idx="2">
                  <c:v>1.4695985169491523</c:v>
                </c:pt>
                <c:pt idx="3">
                  <c:v>0.96645462570621443</c:v>
                </c:pt>
                <c:pt idx="4">
                  <c:v>1.1150084745762707</c:v>
                </c:pt>
                <c:pt idx="5">
                  <c:v>0.96755685028248639</c:v>
                </c:pt>
                <c:pt idx="6">
                  <c:v>0.94609427966101667</c:v>
                </c:pt>
                <c:pt idx="7">
                  <c:v>0.8055158898305087</c:v>
                </c:pt>
                <c:pt idx="8">
                  <c:v>0.91407821327683558</c:v>
                </c:pt>
                <c:pt idx="9">
                  <c:v>1.4148022598870051</c:v>
                </c:pt>
                <c:pt idx="10">
                  <c:v>1.131833333333333</c:v>
                </c:pt>
                <c:pt idx="11">
                  <c:v>2.6386649011299443</c:v>
                </c:pt>
                <c:pt idx="12">
                  <c:v>2.2975349576271182</c:v>
                </c:pt>
                <c:pt idx="13">
                  <c:v>2.6738112641242928</c:v>
                </c:pt>
                <c:pt idx="14">
                  <c:v>2.0671608403954802</c:v>
                </c:pt>
                <c:pt idx="15">
                  <c:v>2.6075340748587577</c:v>
                </c:pt>
                <c:pt idx="16">
                  <c:v>2.2179193149717511</c:v>
                </c:pt>
                <c:pt idx="17">
                  <c:v>#N/A</c:v>
                </c:pt>
                <c:pt idx="18">
                  <c:v>3.0018667019774004</c:v>
                </c:pt>
                <c:pt idx="19">
                  <c:v>1.8449906606710471</c:v>
                </c:pt>
              </c:numCache>
            </c:numRef>
          </c:xVal>
          <c:yVal>
            <c:numRef>
              <c:f>'2_WAY'!$D$23:$D$42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6="http://schemas.microsoft.com/office/drawing/2014/chart" uri="{C3380CC4-5D6E-409C-BE32-E72D297353CC}">
              <c16:uniqueId val="{00000000-261F-42C8-9C28-2F43C4F21640}"/>
            </c:ext>
          </c:extLst>
        </c:ser>
        <c:ser>
          <c:idx val="4"/>
          <c:order val="1"/>
          <c:spPr>
            <a:ln w="28575">
              <a:noFill/>
            </a:ln>
          </c:spPr>
          <c:marker>
            <c:symbol val="none"/>
          </c:marker>
          <c:trendline>
            <c:spPr>
              <a:ln w="19050">
                <a:solidFill>
                  <a:schemeClr val="tx1"/>
                </a:solidFill>
                <a:prstDash val="solid"/>
              </a:ln>
            </c:spPr>
            <c:trendlineType val="linear"/>
            <c:dispRSqr val="1"/>
            <c:dispEq val="1"/>
            <c:trendlineLbl>
              <c:layout>
                <c:manualLayout>
                  <c:x val="-0.34130057040273759"/>
                  <c:y val="-6.8991809665334858E-2"/>
                </c:manualLayout>
              </c:layout>
              <c:numFmt formatCode="0.00" sourceLinked="0"/>
              <c:spPr>
                <a:solidFill>
                  <a:srgbClr val="FFFFFF"/>
                </a:solidFill>
                <a:ln w="25400">
                  <a:noFill/>
                </a:ln>
              </c:spPr>
              <c:txPr>
                <a:bodyPr/>
                <a:lstStyle/>
                <a:p>
                  <a:pPr>
                    <a:defRPr sz="1000" b="0" i="0" u="none" strike="noStrike" baseline="0">
                      <a:solidFill>
                        <a:srgbClr val="0000FF"/>
                      </a:solidFill>
                      <a:latin typeface="Arial"/>
                      <a:ea typeface="Arial"/>
                      <a:cs typeface="Arial"/>
                    </a:defRPr>
                  </a:pPr>
                  <a:endParaRPr lang="en-US"/>
                </a:p>
              </c:txPr>
            </c:trendlineLbl>
          </c:trendline>
          <c:xVal>
            <c:numRef>
              <c:f>'2_WAY'!$C$23:$C$42</c:f>
              <c:numCache>
                <c:formatCode>0.0</c:formatCode>
                <c:ptCount val="20"/>
                <c:pt idx="0">
                  <c:v>1.36692302259887</c:v>
                </c:pt>
                <c:pt idx="1">
                  <c:v>2.1225847457627118</c:v>
                </c:pt>
                <c:pt idx="2">
                  <c:v>1.4695985169491523</c:v>
                </c:pt>
                <c:pt idx="3">
                  <c:v>0.96645462570621443</c:v>
                </c:pt>
                <c:pt idx="4">
                  <c:v>1.1150084745762707</c:v>
                </c:pt>
                <c:pt idx="5">
                  <c:v>0.96755685028248639</c:v>
                </c:pt>
                <c:pt idx="6">
                  <c:v>0.94609427966101667</c:v>
                </c:pt>
                <c:pt idx="7">
                  <c:v>0.8055158898305087</c:v>
                </c:pt>
                <c:pt idx="8">
                  <c:v>0.91407821327683558</c:v>
                </c:pt>
                <c:pt idx="9">
                  <c:v>1.4148022598870051</c:v>
                </c:pt>
                <c:pt idx="10">
                  <c:v>1.131833333333333</c:v>
                </c:pt>
                <c:pt idx="11">
                  <c:v>2.6386649011299443</c:v>
                </c:pt>
                <c:pt idx="12">
                  <c:v>2.2975349576271182</c:v>
                </c:pt>
                <c:pt idx="13">
                  <c:v>2.6738112641242928</c:v>
                </c:pt>
                <c:pt idx="14">
                  <c:v>2.0671608403954802</c:v>
                </c:pt>
                <c:pt idx="15">
                  <c:v>2.6075340748587577</c:v>
                </c:pt>
                <c:pt idx="16">
                  <c:v>2.2179193149717511</c:v>
                </c:pt>
                <c:pt idx="17">
                  <c:v>#N/A</c:v>
                </c:pt>
                <c:pt idx="18">
                  <c:v>3.0018667019774004</c:v>
                </c:pt>
                <c:pt idx="19">
                  <c:v>1.8449906606710471</c:v>
                </c:pt>
              </c:numCache>
            </c:numRef>
          </c:xVal>
          <c:yVal>
            <c:numRef>
              <c:f>'2_WAY'!$D$23:$D$42</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yVal>
          <c:smooth val="0"/>
          <c:extLst>
            <c:ext xmlns:c15="http://schemas.microsoft.com/office/drawing/2012/chart" uri="{02D57815-91ED-43cb-92C2-25804820EDAC}">
              <c15:filteredSeriesTitle>
                <c15:tx>
                  <c:v>All Data</c:v>
                </c15:tx>
              </c15:filteredSeriesTitle>
            </c:ext>
            <c:ext xmlns:c16="http://schemas.microsoft.com/office/drawing/2014/chart" uri="{C3380CC4-5D6E-409C-BE32-E72D297353CC}">
              <c16:uniqueId val="{00000002-261F-42C8-9C28-2F43C4F21640}"/>
            </c:ext>
          </c:extLst>
        </c:ser>
        <c:dLbls>
          <c:showLegendKey val="0"/>
          <c:showVal val="0"/>
          <c:showCatName val="0"/>
          <c:showSerName val="0"/>
          <c:showPercent val="0"/>
          <c:showBubbleSize val="0"/>
        </c:dLbls>
        <c:axId val="304824592"/>
        <c:axId val="304824984"/>
      </c:scatterChart>
      <c:valAx>
        <c:axId val="304824592"/>
        <c:scaling>
          <c:orientation val="minMax"/>
        </c:scaling>
        <c:delete val="0"/>
        <c:axPos val="b"/>
        <c:title>
          <c:tx>
            <c:strRef>
              <c:f>'2_WAY'!$C$2</c:f>
              <c:strCache>
                <c:ptCount val="1"/>
                <c:pt idx="0">
                  <c:v>fl.wqm</c:v>
                </c:pt>
              </c:strCache>
            </c:strRef>
          </c:tx>
          <c:layout>
            <c:manualLayout>
              <c:xMode val="edge"/>
              <c:yMode val="edge"/>
              <c:x val="0.55274166048159856"/>
              <c:y val="0.9240515660332693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4824984"/>
        <c:crosses val="autoZero"/>
        <c:crossBetween val="midCat"/>
      </c:valAx>
      <c:valAx>
        <c:axId val="304824984"/>
        <c:scaling>
          <c:orientation val="minMax"/>
        </c:scaling>
        <c:delete val="0"/>
        <c:axPos val="l"/>
        <c:title>
          <c:tx>
            <c:strRef>
              <c:f>'2_WAY'!$D$2</c:f>
              <c:strCache>
                <c:ptCount val="1"/>
                <c:pt idx="0">
                  <c:v>chl.a</c:v>
                </c:pt>
              </c:strCache>
            </c:strRef>
          </c:tx>
          <c:layout>
            <c:manualLayout>
              <c:xMode val="edge"/>
              <c:yMode val="edge"/>
              <c:x val="1.6611331226908738E-2"/>
              <c:y val="0.39377360559735047"/>
            </c:manualLayout>
          </c:layout>
          <c:overlay val="0"/>
          <c:spPr>
            <a:noFill/>
            <a:ln w="25400">
              <a:noFill/>
            </a:ln>
          </c:spPr>
          <c:txPr>
            <a:bodyPr/>
            <a:lstStyle/>
            <a:p>
              <a:pPr>
                <a:defRPr sz="1000" b="0" i="0" u="none" strike="noStrike" baseline="0">
                  <a:solidFill>
                    <a:sysClr val="windowText" lastClr="000000"/>
                  </a:solidFill>
                  <a:latin typeface="Arial"/>
                  <a:ea typeface="Arial"/>
                  <a:cs typeface="Arial"/>
                </a:defRPr>
              </a:pPr>
              <a:endParaRPr lang="en-US"/>
            </a:p>
          </c:txPr>
        </c:title>
        <c:numFmt formatCode="0.0" sourceLinked="0"/>
        <c:majorTickMark val="out"/>
        <c:minorTickMark val="none"/>
        <c:tickLblPos val="nextTo"/>
        <c:spPr>
          <a:ln w="3175">
            <a:solidFill>
              <a:schemeClr val="tx1"/>
            </a:solidFill>
            <a:prstDash val="solid"/>
          </a:ln>
        </c:spPr>
        <c:txPr>
          <a:bodyPr rot="0" vert="horz"/>
          <a:lstStyle/>
          <a:p>
            <a:pPr>
              <a:defRPr sz="1000" b="0" i="0" u="none" strike="noStrike" baseline="0">
                <a:solidFill>
                  <a:sysClr val="windowText" lastClr="000000"/>
                </a:solidFill>
                <a:latin typeface="Arial"/>
                <a:ea typeface="Arial"/>
                <a:cs typeface="Arial"/>
              </a:defRPr>
            </a:pPr>
            <a:endParaRPr lang="en-US"/>
          </a:p>
        </c:txPr>
        <c:crossAx val="304824592"/>
        <c:crosses val="autoZero"/>
        <c:crossBetween val="midCat"/>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1.8190459320569261E-2"/>
          <c:w val="0.76289020233673099"/>
          <c:h val="0.81210899458882468"/>
        </c:manualLayout>
      </c:layout>
      <c:scatterChart>
        <c:scatterStyle val="lineMarker"/>
        <c:varyColors val="0"/>
        <c:ser>
          <c:idx val="0"/>
          <c:order val="0"/>
          <c:tx>
            <c:v>Channel</c:v>
          </c:tx>
          <c:spPr>
            <a:ln w="28575">
              <a:noFill/>
            </a:ln>
          </c:spPr>
          <c:xVal>
            <c:numRef>
              <c:f>'Duarte PR model'!$B$27:$B$46</c:f>
              <c:numCache>
                <c:formatCode>0.0</c:formatCode>
                <c:ptCount val="20"/>
                <c:pt idx="0">
                  <c:v>14.36374560564931</c:v>
                </c:pt>
                <c:pt idx="1">
                  <c:v>7.7952495190485847</c:v>
                </c:pt>
                <c:pt idx="2">
                  <c:v>10.835352542372879</c:v>
                </c:pt>
                <c:pt idx="3">
                  <c:v>11.048396610169492</c:v>
                </c:pt>
                <c:pt idx="4">
                  <c:v>17.919766101694915</c:v>
                </c:pt>
                <c:pt idx="5">
                  <c:v>8.5922101694915245</c:v>
                </c:pt>
                <c:pt idx="6">
                  <c:v>15.414779661016947</c:v>
                </c:pt>
                <c:pt idx="7">
                  <c:v>11.025059322033897</c:v>
                </c:pt>
                <c:pt idx="8">
                  <c:v>24.003193220338982</c:v>
                </c:pt>
                <c:pt idx="9">
                  <c:v>19.540701694915253</c:v>
                </c:pt>
                <c:pt idx="10">
                  <c:v>33.584269491525419</c:v>
                </c:pt>
                <c:pt idx="11">
                  <c:v>9.975801694915253</c:v>
                </c:pt>
                <c:pt idx="12">
                  <c:v>41.464623728813557</c:v>
                </c:pt>
                <c:pt idx="13">
                  <c:v>18.955561016949151</c:v>
                </c:pt>
                <c:pt idx="14">
                  <c:v>11.107777966101693</c:v>
                </c:pt>
                <c:pt idx="15">
                  <c:v>10.205942372881356</c:v>
                </c:pt>
                <c:pt idx="16">
                  <c:v>11.642047457627118</c:v>
                </c:pt>
                <c:pt idx="17">
                  <c:v>113.54249152542373</c:v>
                </c:pt>
                <c:pt idx="18">
                  <c:v>51.29518983050847</c:v>
                </c:pt>
                <c:pt idx="19">
                  <c:v>33.002849152542375</c:v>
                </c:pt>
              </c:numCache>
            </c:numRef>
          </c:xVal>
          <c:yVal>
            <c:numRef>
              <c:f>'Duarte PR model'!$E$27:$E$46</c:f>
              <c:numCache>
                <c:formatCode>0.00</c:formatCode>
                <c:ptCount val="20"/>
                <c:pt idx="0">
                  <c:v>2.2387012718545907</c:v>
                </c:pt>
                <c:pt idx="1">
                  <c:v>0.58842955224606819</c:v>
                </c:pt>
                <c:pt idx="2">
                  <c:v>1.2333041766448221</c:v>
                </c:pt>
                <c:pt idx="3">
                  <c:v>0.90819247569054096</c:v>
                </c:pt>
                <c:pt idx="4">
                  <c:v>1.4383082608762714</c:v>
                </c:pt>
                <c:pt idx="5">
                  <c:v>0.53415585213261729</c:v>
                </c:pt>
                <c:pt idx="6">
                  <c:v>1.8589179096541679</c:v>
                </c:pt>
                <c:pt idx="7">
                  <c:v>0.7956401394806546</c:v>
                </c:pt>
                <c:pt idx="8">
                  <c:v>1.4437428867538591</c:v>
                </c:pt>
                <c:pt idx="9">
                  <c:v>1.1753331656851345</c:v>
                </c:pt>
                <c:pt idx="10">
                  <c:v>1.8525735944983548</c:v>
                </c:pt>
                <c:pt idx="11">
                  <c:v>0.75439216464607961</c:v>
                </c:pt>
                <c:pt idx="12">
                  <c:v>2.9151943140048622</c:v>
                </c:pt>
                <c:pt idx="13">
                  <c:v>1.0625128079398516</c:v>
                </c:pt>
                <c:pt idx="14">
                  <c:v>1.4703376115808149</c:v>
                </c:pt>
                <c:pt idx="15">
                  <c:v>1.0891057451511856</c:v>
                </c:pt>
                <c:pt idx="16">
                  <c:v>0.32823136197918967</c:v>
                </c:pt>
                <c:pt idx="17">
                  <c:v>4.7613775511961149</c:v>
                </c:pt>
                <c:pt idx="18">
                  <c:v>8.297935158499838</c:v>
                </c:pt>
                <c:pt idx="19">
                  <c:v>5.1193176785798364</c:v>
                </c:pt>
              </c:numCache>
            </c:numRef>
          </c:yVal>
          <c:smooth val="0"/>
          <c:extLst>
            <c:ext xmlns:c16="http://schemas.microsoft.com/office/drawing/2014/chart" uri="{C3380CC4-5D6E-409C-BE32-E72D297353CC}">
              <c16:uniqueId val="{00000000-8AEC-482B-9B65-2E49DC363D2A}"/>
            </c:ext>
          </c:extLst>
        </c:ser>
        <c:ser>
          <c:idx val="3"/>
          <c:order val="1"/>
          <c:tx>
            <c:v>Shoal</c:v>
          </c:tx>
          <c:spPr>
            <a:ln w="28575">
              <a:noFill/>
            </a:ln>
          </c:spPr>
          <c:marker>
            <c:symbol val="circle"/>
            <c:size val="7"/>
            <c:spPr>
              <a:solidFill>
                <a:schemeClr val="tx1"/>
              </a:solidFill>
              <a:ln>
                <a:solidFill>
                  <a:schemeClr val="tx1"/>
                </a:solidFill>
              </a:ln>
            </c:spPr>
          </c:marker>
          <c:xVal>
            <c:numRef>
              <c:f>'Duarte PR model'!$B$7:$B$26</c:f>
              <c:numCache>
                <c:formatCode>0.0</c:formatCode>
                <c:ptCount val="20"/>
                <c:pt idx="0">
                  <c:v>18.523021778532542</c:v>
                </c:pt>
                <c:pt idx="1">
                  <c:v>12.379117075211086</c:v>
                </c:pt>
                <c:pt idx="2">
                  <c:v>10.682983751443324</c:v>
                </c:pt>
                <c:pt idx="3">
                  <c:v>14.849869963663229</c:v>
                </c:pt>
                <c:pt idx="4">
                  <c:v>8.3832440101283279</c:v>
                </c:pt>
                <c:pt idx="5">
                  <c:v>10.952774416386704</c:v>
                </c:pt>
                <c:pt idx="6">
                  <c:v>17.1348927618339</c:v>
                </c:pt>
                <c:pt idx="7">
                  <c:v>15.400063377694174</c:v>
                </c:pt>
                <c:pt idx="8">
                  <c:v>26.740901637792735</c:v>
                </c:pt>
                <c:pt idx="9">
                  <c:v>18.800056054706459</c:v>
                </c:pt>
                <c:pt idx="10">
                  <c:v>21.256346181829951</c:v>
                </c:pt>
                <c:pt idx="11">
                  <c:v>21.400659013968294</c:v>
                </c:pt>
                <c:pt idx="12">
                  <c:v>73.492584061763935</c:v>
                </c:pt>
                <c:pt idx="13">
                  <c:v>38.120161505503695</c:v>
                </c:pt>
                <c:pt idx="14">
                  <c:v>24.83105012898767</c:v>
                </c:pt>
                <c:pt idx="15">
                  <c:v>47.822570582262891</c:v>
                </c:pt>
                <c:pt idx="16">
                  <c:v>26.543871315200587</c:v>
                </c:pt>
                <c:pt idx="17">
                  <c:v>47.864702195570537</c:v>
                </c:pt>
                <c:pt idx="18">
                  <c:v>73.695097260186003</c:v>
                </c:pt>
                <c:pt idx="19">
                  <c:v>32.844199066046457</c:v>
                </c:pt>
              </c:numCache>
            </c:numRef>
          </c:xVal>
          <c:yVal>
            <c:numRef>
              <c:f>'Duarte PR model'!$E$7:$E$26</c:f>
              <c:numCache>
                <c:formatCode>0.00</c:formatCode>
                <c:ptCount val="20"/>
                <c:pt idx="0">
                  <c:v>2.3594145265040876</c:v>
                </c:pt>
                <c:pt idx="1">
                  <c:v>0.83605739270025281</c:v>
                </c:pt>
                <c:pt idx="2">
                  <c:v>0.97047966611091208</c:v>
                </c:pt>
                <c:pt idx="3">
                  <c:v>1.5277605017397495</c:v>
                </c:pt>
                <c:pt idx="4">
                  <c:v>0.65010951247536786</c:v>
                </c:pt>
                <c:pt idx="5">
                  <c:v>0.50353677494065441</c:v>
                </c:pt>
                <c:pt idx="6">
                  <c:v>1.2326067257227802</c:v>
                </c:pt>
                <c:pt idx="7">
                  <c:v>0.85691010063457584</c:v>
                </c:pt>
                <c:pt idx="8">
                  <c:v>1.0892393607922111</c:v>
                </c:pt>
                <c:pt idx="9">
                  <c:v>1.7686740205566931</c:v>
                </c:pt>
                <c:pt idx="10">
                  <c:v>2.2356484945645843</c:v>
                </c:pt>
                <c:pt idx="11">
                  <c:v>1.1276927710082609</c:v>
                </c:pt>
                <c:pt idx="12">
                  <c:v>3.427937336299733</c:v>
                </c:pt>
                <c:pt idx="13">
                  <c:v>1.5959202514747013</c:v>
                </c:pt>
                <c:pt idx="14">
                  <c:v>2.1241068340204268</c:v>
                </c:pt>
                <c:pt idx="15">
                  <c:v>1.7003083705577637</c:v>
                </c:pt>
                <c:pt idx="16">
                  <c:v>1.3656412984926554</c:v>
                </c:pt>
                <c:pt idx="17">
                  <c:v>41.518407614610943</c:v>
                </c:pt>
                <c:pt idx="18">
                  <c:v>2.4784745610660166</c:v>
                </c:pt>
                <c:pt idx="19">
                  <c:v>6.3121657285744845</c:v>
                </c:pt>
              </c:numCache>
            </c:numRef>
          </c:yVal>
          <c:smooth val="0"/>
          <c:extLst>
            <c:ext xmlns:c16="http://schemas.microsoft.com/office/drawing/2014/chart" uri="{C3380CC4-5D6E-409C-BE32-E72D297353CC}">
              <c16:uniqueId val="{00000000-0DC3-49A7-85CE-151CF954553B}"/>
            </c:ext>
          </c:extLst>
        </c:ser>
        <c:ser>
          <c:idx val="2"/>
          <c:order val="2"/>
          <c:tx>
            <c:v>Duarte et al. 2004</c:v>
          </c:tx>
          <c:spPr>
            <a:ln w="28575">
              <a:solidFill>
                <a:sysClr val="windowText" lastClr="000000"/>
              </a:solidFill>
            </a:ln>
          </c:spPr>
          <c:marker>
            <c:symbol val="none"/>
          </c:marker>
          <c:dPt>
            <c:idx val="1"/>
            <c:bubble3D val="0"/>
            <c:spPr>
              <a:ln w="15875">
                <a:solidFill>
                  <a:sysClr val="windowText" lastClr="000000"/>
                </a:solidFill>
              </a:ln>
            </c:spPr>
            <c:extLst>
              <c:ext xmlns:c16="http://schemas.microsoft.com/office/drawing/2014/chart" uri="{C3380CC4-5D6E-409C-BE32-E72D297353CC}">
                <c16:uniqueId val="{00000002-8AEC-482B-9B65-2E49DC363D2A}"/>
              </c:ext>
            </c:extLst>
          </c:dPt>
          <c:xVal>
            <c:numRef>
              <c:f>'Duarte PR model'!$A$3:$A$4</c:f>
              <c:numCache>
                <c:formatCode>General</c:formatCode>
                <c:ptCount val="2"/>
                <c:pt idx="0">
                  <c:v>1</c:v>
                </c:pt>
                <c:pt idx="1">
                  <c:v>100</c:v>
                </c:pt>
              </c:numCache>
            </c:numRef>
          </c:xVal>
          <c:yVal>
            <c:numRef>
              <c:f>'Duarte PR model'!$B$3:$B$4</c:f>
              <c:numCache>
                <c:formatCode>General</c:formatCode>
                <c:ptCount val="2"/>
                <c:pt idx="0">
                  <c:v>0.42</c:v>
                </c:pt>
                <c:pt idx="1">
                  <c:v>7.2987634807473771</c:v>
                </c:pt>
              </c:numCache>
            </c:numRef>
          </c:yVal>
          <c:smooth val="0"/>
          <c:extLst>
            <c:ext xmlns:c16="http://schemas.microsoft.com/office/drawing/2014/chart" uri="{C3380CC4-5D6E-409C-BE32-E72D297353CC}">
              <c16:uniqueId val="{00000003-8AEC-482B-9B65-2E49DC363D2A}"/>
            </c:ext>
          </c:extLst>
        </c:ser>
        <c:dLbls>
          <c:showLegendKey val="0"/>
          <c:showVal val="0"/>
          <c:showCatName val="0"/>
          <c:showSerName val="0"/>
          <c:showPercent val="0"/>
          <c:showBubbleSize val="0"/>
        </c:dLbls>
        <c:axId val="304825768"/>
        <c:axId val="304826160"/>
      </c:scatterChart>
      <c:valAx>
        <c:axId val="304825768"/>
        <c:scaling>
          <c:logBase val="10"/>
          <c:orientation val="minMax"/>
          <c:max val="1000"/>
          <c:min val="1"/>
        </c:scaling>
        <c:delete val="0"/>
        <c:axPos val="b"/>
        <c:title>
          <c:tx>
            <c:rich>
              <a:bodyPr/>
              <a:lstStyle/>
              <a:p>
                <a:pPr>
                  <a:defRPr b="0"/>
                </a:pPr>
                <a:r>
                  <a:rPr lang="en-US" b="0"/>
                  <a:t>GPP</a:t>
                </a:r>
              </a:p>
            </c:rich>
          </c:tx>
          <c:layout>
            <c:manualLayout>
              <c:xMode val="edge"/>
              <c:yMode val="edge"/>
              <c:x val="0.52337035069420923"/>
              <c:y val="0.92440095017119439"/>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4826160"/>
        <c:crossesAt val="-500"/>
        <c:crossBetween val="midCat"/>
      </c:valAx>
      <c:valAx>
        <c:axId val="304826160"/>
        <c:scaling>
          <c:logBase val="10"/>
          <c:orientation val="minMax"/>
          <c:max val="100"/>
          <c:min val="0.1"/>
        </c:scaling>
        <c:delete val="0"/>
        <c:axPos val="l"/>
        <c:title>
          <c:tx>
            <c:rich>
              <a:bodyPr/>
              <a:lstStyle/>
              <a:p>
                <a:pPr>
                  <a:defRPr b="0"/>
                </a:pPr>
                <a:r>
                  <a:rPr lang="en-US" b="0"/>
                  <a:t>P:R</a:t>
                </a:r>
              </a:p>
            </c:rich>
          </c:tx>
          <c:layout>
            <c:manualLayout>
              <c:xMode val="edge"/>
              <c:yMode val="edge"/>
              <c:x val="3.5684570893569828E-2"/>
              <c:y val="0.37761418114369333"/>
            </c:manualLayout>
          </c:layout>
          <c:overlay val="0"/>
        </c:title>
        <c:numFmt formatCode="0" sourceLinked="0"/>
        <c:majorTickMark val="out"/>
        <c:minorTickMark val="none"/>
        <c:tickLblPos val="nextTo"/>
        <c:spPr>
          <a:ln w="6350">
            <a:solidFill>
              <a:sysClr val="windowText" lastClr="000000"/>
            </a:solidFill>
          </a:ln>
        </c:spPr>
        <c:crossAx val="304825768"/>
        <c:crosses val="autoZero"/>
        <c:crossBetween val="midCat"/>
      </c:valAx>
      <c:spPr>
        <a:ln>
          <a:solidFill>
            <a:sysClr val="windowText" lastClr="000000"/>
          </a:solidFill>
        </a:ln>
      </c:spPr>
    </c:plotArea>
    <c:legend>
      <c:legendPos val="r"/>
      <c:layout>
        <c:manualLayout>
          <c:xMode val="edge"/>
          <c:yMode val="edge"/>
          <c:x val="0.20006082497143227"/>
          <c:y val="3.7873591539413956E-2"/>
          <c:w val="0.39774106262558367"/>
          <c:h val="0.1961815588266447"/>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81660946227871"/>
          <c:y val="1.8190459320569261E-2"/>
          <c:w val="0.75460697220539741"/>
          <c:h val="0.74873743737085585"/>
        </c:manualLayout>
      </c:layout>
      <c:barChart>
        <c:barDir val="col"/>
        <c:grouping val="clustered"/>
        <c:varyColors val="0"/>
        <c:ser>
          <c:idx val="2"/>
          <c:order val="0"/>
          <c:spPr>
            <a:solidFill>
              <a:schemeClr val="bg1">
                <a:lumMod val="95000"/>
              </a:schemeClr>
            </a:solidFill>
            <a:ln w="12700">
              <a:solidFill>
                <a:schemeClr val="tx1"/>
              </a:solidFill>
            </a:ln>
          </c:spPr>
          <c:invertIfNegative val="0"/>
          <c:dPt>
            <c:idx val="1"/>
            <c:invertIfNegative val="0"/>
            <c:bubble3D val="0"/>
            <c:extLst>
              <c:ext xmlns:c16="http://schemas.microsoft.com/office/drawing/2014/chart" uri="{C3380CC4-5D6E-409C-BE32-E72D297353CC}">
                <c16:uniqueId val="{00000000-C84A-45A0-8016-3E3855C93642}"/>
              </c:ext>
            </c:extLst>
          </c:dPt>
          <c:cat>
            <c:strRef>
              <c:f>'Duarte PR model'!$L$7:$L$18</c:f>
              <c:strCache>
                <c:ptCount val="12"/>
                <c:pt idx="0">
                  <c:v>-10</c:v>
                </c:pt>
                <c:pt idx="1">
                  <c:v>-7</c:v>
                </c:pt>
                <c:pt idx="2">
                  <c:v>-4</c:v>
                </c:pt>
                <c:pt idx="3">
                  <c:v>0.1</c:v>
                </c:pt>
                <c:pt idx="4">
                  <c:v>0</c:v>
                </c:pt>
                <c:pt idx="5">
                  <c:v>5</c:v>
                </c:pt>
                <c:pt idx="6">
                  <c:v>10</c:v>
                </c:pt>
                <c:pt idx="7">
                  <c:v>20</c:v>
                </c:pt>
                <c:pt idx="8">
                  <c:v>30</c:v>
                </c:pt>
                <c:pt idx="9">
                  <c:v>40</c:v>
                </c:pt>
                <c:pt idx="10">
                  <c:v>80</c:v>
                </c:pt>
                <c:pt idx="11">
                  <c:v>&gt;100</c:v>
                </c:pt>
              </c:strCache>
            </c:strRef>
          </c:cat>
          <c:val>
            <c:numRef>
              <c:f>'Duarte PR model'!$M$7:$M$18</c:f>
              <c:numCache>
                <c:formatCode>General</c:formatCode>
                <c:ptCount val="12"/>
                <c:pt idx="0">
                  <c:v>0</c:v>
                </c:pt>
                <c:pt idx="1">
                  <c:v>0</c:v>
                </c:pt>
                <c:pt idx="2">
                  <c:v>0</c:v>
                </c:pt>
                <c:pt idx="3">
                  <c:v>0</c:v>
                </c:pt>
                <c:pt idx="4">
                  <c:v>0</c:v>
                </c:pt>
                <c:pt idx="5">
                  <c:v>0</c:v>
                </c:pt>
                <c:pt idx="6">
                  <c:v>4</c:v>
                </c:pt>
                <c:pt idx="7">
                  <c:v>19</c:v>
                </c:pt>
                <c:pt idx="8">
                  <c:v>6</c:v>
                </c:pt>
                <c:pt idx="9">
                  <c:v>4</c:v>
                </c:pt>
                <c:pt idx="10">
                  <c:v>6</c:v>
                </c:pt>
                <c:pt idx="11">
                  <c:v>1</c:v>
                </c:pt>
              </c:numCache>
            </c:numRef>
          </c:val>
          <c:extLst>
            <c:ext xmlns:c15="http://schemas.microsoft.com/office/drawing/2012/chart" uri="{02D57815-91ED-43cb-92C2-25804820EDAC}">
              <c15:filteredSeriesTitle>
                <c15:tx>
                  <c:v>Duarte et al. 2004</c:v>
                </c15:tx>
              </c15:filteredSeriesTitle>
            </c:ext>
            <c:ext xmlns:c16="http://schemas.microsoft.com/office/drawing/2014/chart" uri="{C3380CC4-5D6E-409C-BE32-E72D297353CC}">
              <c16:uniqueId val="{00000001-C84A-45A0-8016-3E3855C93642}"/>
            </c:ext>
          </c:extLst>
        </c:ser>
        <c:dLbls>
          <c:showLegendKey val="0"/>
          <c:showVal val="0"/>
          <c:showCatName val="0"/>
          <c:showSerName val="0"/>
          <c:showPercent val="0"/>
          <c:showBubbleSize val="0"/>
        </c:dLbls>
        <c:gapWidth val="150"/>
        <c:axId val="304826944"/>
        <c:axId val="304827336"/>
      </c:barChart>
      <c:catAx>
        <c:axId val="304826944"/>
        <c:scaling>
          <c:orientation val="minMax"/>
        </c:scaling>
        <c:delete val="0"/>
        <c:axPos val="b"/>
        <c:numFmt formatCode="General" sourceLinked="1"/>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4827336"/>
        <c:crossesAt val="0"/>
        <c:auto val="1"/>
        <c:lblAlgn val="ctr"/>
        <c:lblOffset val="100"/>
        <c:noMultiLvlLbl val="1"/>
      </c:catAx>
      <c:valAx>
        <c:axId val="304827336"/>
        <c:scaling>
          <c:orientation val="minMax"/>
          <c:max val="20"/>
        </c:scaling>
        <c:delete val="0"/>
        <c:axPos val="l"/>
        <c:numFmt formatCode="0" sourceLinked="0"/>
        <c:majorTickMark val="out"/>
        <c:minorTickMark val="none"/>
        <c:tickLblPos val="nextTo"/>
        <c:spPr>
          <a:ln w="6350">
            <a:solidFill>
              <a:sysClr val="windowText" lastClr="000000"/>
            </a:solidFill>
          </a:ln>
        </c:spPr>
        <c:crossAx val="304826944"/>
        <c:crosses val="autoZero"/>
        <c:crossBetween val="between"/>
      </c:val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81660946227871"/>
          <c:y val="1.8190459320569261E-2"/>
          <c:w val="0.75460697220539741"/>
          <c:h val="0.74873743737085585"/>
        </c:manualLayout>
      </c:layout>
      <c:barChart>
        <c:barDir val="col"/>
        <c:grouping val="clustered"/>
        <c:varyColors val="0"/>
        <c:ser>
          <c:idx val="2"/>
          <c:order val="0"/>
          <c:spPr>
            <a:solidFill>
              <a:schemeClr val="bg1">
                <a:lumMod val="95000"/>
              </a:schemeClr>
            </a:solidFill>
            <a:ln w="12700">
              <a:solidFill>
                <a:schemeClr val="tx1"/>
              </a:solidFill>
            </a:ln>
          </c:spPr>
          <c:invertIfNegative val="0"/>
          <c:dPt>
            <c:idx val="1"/>
            <c:invertIfNegative val="0"/>
            <c:bubble3D val="0"/>
            <c:extLst>
              <c:ext xmlns:c16="http://schemas.microsoft.com/office/drawing/2014/chart" uri="{C3380CC4-5D6E-409C-BE32-E72D297353CC}">
                <c16:uniqueId val="{00000000-7924-45B3-9FEA-3FA58D527BEA}"/>
              </c:ext>
            </c:extLst>
          </c:dPt>
          <c:cat>
            <c:strRef>
              <c:f>'Duarte PR model'!$L$7:$L$18</c:f>
              <c:strCache>
                <c:ptCount val="12"/>
                <c:pt idx="0">
                  <c:v>-10</c:v>
                </c:pt>
                <c:pt idx="1">
                  <c:v>-7</c:v>
                </c:pt>
                <c:pt idx="2">
                  <c:v>-4</c:v>
                </c:pt>
                <c:pt idx="3">
                  <c:v>0.1</c:v>
                </c:pt>
                <c:pt idx="4">
                  <c:v>0</c:v>
                </c:pt>
                <c:pt idx="5">
                  <c:v>5</c:v>
                </c:pt>
                <c:pt idx="6">
                  <c:v>10</c:v>
                </c:pt>
                <c:pt idx="7">
                  <c:v>20</c:v>
                </c:pt>
                <c:pt idx="8">
                  <c:v>30</c:v>
                </c:pt>
                <c:pt idx="9">
                  <c:v>40</c:v>
                </c:pt>
                <c:pt idx="10">
                  <c:v>80</c:v>
                </c:pt>
                <c:pt idx="11">
                  <c:v>&gt;100</c:v>
                </c:pt>
              </c:strCache>
            </c:strRef>
          </c:cat>
          <c:val>
            <c:numRef>
              <c:f>'Duarte PR model'!$N$7:$N$18</c:f>
              <c:numCache>
                <c:formatCode>General</c:formatCode>
                <c:ptCount val="12"/>
                <c:pt idx="0">
                  <c:v>0</c:v>
                </c:pt>
                <c:pt idx="1">
                  <c:v>0</c:v>
                </c:pt>
                <c:pt idx="2">
                  <c:v>0</c:v>
                </c:pt>
                <c:pt idx="3">
                  <c:v>0</c:v>
                </c:pt>
                <c:pt idx="4">
                  <c:v>0</c:v>
                </c:pt>
                <c:pt idx="5">
                  <c:v>1</c:v>
                </c:pt>
                <c:pt idx="6">
                  <c:v>11</c:v>
                </c:pt>
                <c:pt idx="7">
                  <c:v>20</c:v>
                </c:pt>
                <c:pt idx="8">
                  <c:v>7</c:v>
                </c:pt>
                <c:pt idx="9">
                  <c:v>1</c:v>
                </c:pt>
                <c:pt idx="10">
                  <c:v>0</c:v>
                </c:pt>
                <c:pt idx="11">
                  <c:v>0</c:v>
                </c:pt>
              </c:numCache>
            </c:numRef>
          </c:val>
          <c:extLst>
            <c:ext xmlns:c15="http://schemas.microsoft.com/office/drawing/2012/chart" uri="{02D57815-91ED-43cb-92C2-25804820EDAC}">
              <c15:filteredSeriesTitle>
                <c15:tx>
                  <c:v>Duarte et al. 2004</c:v>
                </c15:tx>
              </c15:filteredSeriesTitle>
            </c:ext>
            <c:ext xmlns:c16="http://schemas.microsoft.com/office/drawing/2014/chart" uri="{C3380CC4-5D6E-409C-BE32-E72D297353CC}">
              <c16:uniqueId val="{00000001-7924-45B3-9FEA-3FA58D527BEA}"/>
            </c:ext>
          </c:extLst>
        </c:ser>
        <c:dLbls>
          <c:showLegendKey val="0"/>
          <c:showVal val="0"/>
          <c:showCatName val="0"/>
          <c:showSerName val="0"/>
          <c:showPercent val="0"/>
          <c:showBubbleSize val="0"/>
        </c:dLbls>
        <c:gapWidth val="150"/>
        <c:axId val="304828120"/>
        <c:axId val="304828512"/>
      </c:barChart>
      <c:catAx>
        <c:axId val="304828120"/>
        <c:scaling>
          <c:orientation val="minMax"/>
        </c:scaling>
        <c:delete val="0"/>
        <c:axPos val="b"/>
        <c:numFmt formatCode="General" sourceLinked="1"/>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4828512"/>
        <c:crossesAt val="0"/>
        <c:auto val="1"/>
        <c:lblAlgn val="ctr"/>
        <c:lblOffset val="100"/>
        <c:noMultiLvlLbl val="1"/>
      </c:catAx>
      <c:valAx>
        <c:axId val="304828512"/>
        <c:scaling>
          <c:orientation val="minMax"/>
          <c:max val="20"/>
        </c:scaling>
        <c:delete val="0"/>
        <c:axPos val="l"/>
        <c:title>
          <c:tx>
            <c:rich>
              <a:bodyPr/>
              <a:lstStyle/>
              <a:p>
                <a:pPr>
                  <a:defRPr b="0"/>
                </a:pPr>
                <a:r>
                  <a:rPr lang="en-US" b="0"/>
                  <a:t>Number of observations</a:t>
                </a:r>
              </a:p>
            </c:rich>
          </c:tx>
          <c:layout>
            <c:manualLayout>
              <c:xMode val="edge"/>
              <c:yMode val="edge"/>
              <c:x val="3.3908069183659732E-2"/>
              <c:y val="9.4193833614678993E-2"/>
            </c:manualLayout>
          </c:layout>
          <c:overlay val="0"/>
        </c:title>
        <c:numFmt formatCode="0" sourceLinked="0"/>
        <c:majorTickMark val="out"/>
        <c:minorTickMark val="none"/>
        <c:tickLblPos val="nextTo"/>
        <c:spPr>
          <a:ln w="6350">
            <a:solidFill>
              <a:sysClr val="windowText" lastClr="000000"/>
            </a:solidFill>
          </a:ln>
        </c:spPr>
        <c:crossAx val="304828120"/>
        <c:crosses val="autoZero"/>
        <c:crossBetween val="between"/>
      </c:val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81660946227871"/>
          <c:y val="1.8190459320569261E-2"/>
          <c:w val="0.75460697220539741"/>
          <c:h val="0.74873743737085585"/>
        </c:manualLayout>
      </c:layout>
      <c:barChart>
        <c:barDir val="col"/>
        <c:grouping val="clustered"/>
        <c:varyColors val="0"/>
        <c:ser>
          <c:idx val="2"/>
          <c:order val="0"/>
          <c:spPr>
            <a:solidFill>
              <a:schemeClr val="bg1">
                <a:lumMod val="95000"/>
              </a:schemeClr>
            </a:solidFill>
            <a:ln w="12700">
              <a:solidFill>
                <a:schemeClr val="tx1"/>
              </a:solidFill>
            </a:ln>
          </c:spPr>
          <c:invertIfNegative val="0"/>
          <c:dPt>
            <c:idx val="1"/>
            <c:invertIfNegative val="0"/>
            <c:bubble3D val="0"/>
            <c:extLst>
              <c:ext xmlns:c16="http://schemas.microsoft.com/office/drawing/2014/chart" uri="{C3380CC4-5D6E-409C-BE32-E72D297353CC}">
                <c16:uniqueId val="{00000000-BF18-44C5-BF96-FE4C971CAC8F}"/>
              </c:ext>
            </c:extLst>
          </c:dPt>
          <c:cat>
            <c:strRef>
              <c:f>'Duarte PR model'!$L$7:$L$18</c:f>
              <c:strCache>
                <c:ptCount val="12"/>
                <c:pt idx="0">
                  <c:v>-10</c:v>
                </c:pt>
                <c:pt idx="1">
                  <c:v>-7</c:v>
                </c:pt>
                <c:pt idx="2">
                  <c:v>-4</c:v>
                </c:pt>
                <c:pt idx="3">
                  <c:v>0.1</c:v>
                </c:pt>
                <c:pt idx="4">
                  <c:v>0</c:v>
                </c:pt>
                <c:pt idx="5">
                  <c:v>5</c:v>
                </c:pt>
                <c:pt idx="6">
                  <c:v>10</c:v>
                </c:pt>
                <c:pt idx="7">
                  <c:v>20</c:v>
                </c:pt>
                <c:pt idx="8">
                  <c:v>30</c:v>
                </c:pt>
                <c:pt idx="9">
                  <c:v>40</c:v>
                </c:pt>
                <c:pt idx="10">
                  <c:v>80</c:v>
                </c:pt>
                <c:pt idx="11">
                  <c:v>&gt;100</c:v>
                </c:pt>
              </c:strCache>
            </c:strRef>
          </c:cat>
          <c:val>
            <c:numRef>
              <c:f>'Duarte PR model'!$O$7:$O$18</c:f>
              <c:numCache>
                <c:formatCode>General</c:formatCode>
                <c:ptCount val="12"/>
                <c:pt idx="0">
                  <c:v>2</c:v>
                </c:pt>
                <c:pt idx="1">
                  <c:v>1</c:v>
                </c:pt>
                <c:pt idx="2">
                  <c:v>2</c:v>
                </c:pt>
                <c:pt idx="3">
                  <c:v>0</c:v>
                </c:pt>
                <c:pt idx="4">
                  <c:v>6</c:v>
                </c:pt>
                <c:pt idx="5">
                  <c:v>8</c:v>
                </c:pt>
                <c:pt idx="6">
                  <c:v>7</c:v>
                </c:pt>
                <c:pt idx="7">
                  <c:v>6</c:v>
                </c:pt>
                <c:pt idx="8">
                  <c:v>3</c:v>
                </c:pt>
                <c:pt idx="9">
                  <c:v>0</c:v>
                </c:pt>
                <c:pt idx="10">
                  <c:v>4</c:v>
                </c:pt>
                <c:pt idx="11">
                  <c:v>1</c:v>
                </c:pt>
              </c:numCache>
            </c:numRef>
          </c:val>
          <c:extLst>
            <c:ext xmlns:c15="http://schemas.microsoft.com/office/drawing/2012/chart" uri="{02D57815-91ED-43cb-92C2-25804820EDAC}">
              <c15:filteredSeriesTitle>
                <c15:tx>
                  <c:v>Duarte et al. 2004</c:v>
                </c15:tx>
              </c15:filteredSeriesTitle>
            </c:ext>
            <c:ext xmlns:c16="http://schemas.microsoft.com/office/drawing/2014/chart" uri="{C3380CC4-5D6E-409C-BE32-E72D297353CC}">
              <c16:uniqueId val="{00000001-BF18-44C5-BF96-FE4C971CAC8F}"/>
            </c:ext>
          </c:extLst>
        </c:ser>
        <c:dLbls>
          <c:showLegendKey val="0"/>
          <c:showVal val="0"/>
          <c:showCatName val="0"/>
          <c:showSerName val="0"/>
          <c:showPercent val="0"/>
          <c:showBubbleSize val="0"/>
        </c:dLbls>
        <c:gapWidth val="150"/>
        <c:axId val="305447680"/>
        <c:axId val="305448072"/>
      </c:barChart>
      <c:catAx>
        <c:axId val="305447680"/>
        <c:scaling>
          <c:orientation val="minMax"/>
        </c:scaling>
        <c:delete val="0"/>
        <c:axPos val="b"/>
        <c:title>
          <c:tx>
            <c:rich>
              <a:bodyPr/>
              <a:lstStyle/>
              <a:p>
                <a:pPr>
                  <a:defRPr b="0"/>
                </a:pPr>
                <a:r>
                  <a:rPr lang="en-US" b="0"/>
                  <a:t>Metabolism (mmol O2 m-3 d-1)</a:t>
                </a:r>
              </a:p>
            </c:rich>
          </c:tx>
          <c:layout>
            <c:manualLayout>
              <c:xMode val="edge"/>
              <c:yMode val="edge"/>
              <c:x val="0.29129584763443034"/>
              <c:y val="0.90811148773564043"/>
            </c:manualLayout>
          </c:layout>
          <c:overlay val="0"/>
        </c:title>
        <c:numFmt formatCode="General" sourceLinked="1"/>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5448072"/>
        <c:crossesAt val="0"/>
        <c:auto val="0"/>
        <c:lblAlgn val="ctr"/>
        <c:lblOffset val="100"/>
        <c:tickLblSkip val="2"/>
        <c:noMultiLvlLbl val="1"/>
      </c:catAx>
      <c:valAx>
        <c:axId val="305448072"/>
        <c:scaling>
          <c:orientation val="minMax"/>
          <c:max val="20"/>
        </c:scaling>
        <c:delete val="0"/>
        <c:axPos val="l"/>
        <c:numFmt formatCode="0" sourceLinked="0"/>
        <c:majorTickMark val="out"/>
        <c:minorTickMark val="none"/>
        <c:tickLblPos val="nextTo"/>
        <c:spPr>
          <a:ln w="6350">
            <a:solidFill>
              <a:sysClr val="windowText" lastClr="000000"/>
            </a:solidFill>
          </a:ln>
        </c:spPr>
        <c:crossAx val="305447680"/>
        <c:crossesAt val="1"/>
        <c:crossBetween val="between"/>
      </c:val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SUM!$V$5:$V$24</c:f>
              <c:numCache>
                <c:formatCode>0.0</c:formatCode>
                <c:ptCount val="20"/>
                <c:pt idx="0">
                  <c:v>16.008504184594223</c:v>
                </c:pt>
                <c:pt idx="1">
                  <c:v>-3.641134114293763</c:v>
                </c:pt>
                <c:pt idx="2">
                  <c:v>-0.48743717919114005</c:v>
                </c:pt>
                <c:pt idx="3">
                  <c:v>7.6947677471713938</c:v>
                </c:pt>
                <c:pt idx="4">
                  <c:v>-6.7678228301256169</c:v>
                </c:pt>
                <c:pt idx="5">
                  <c:v>-16.198369158084933</c:v>
                </c:pt>
                <c:pt idx="6">
                  <c:v>4.8503199168461535</c:v>
                </c:pt>
                <c:pt idx="7">
                  <c:v>-3.8573361149032408</c:v>
                </c:pt>
                <c:pt idx="8">
                  <c:v>3.2862487186862452</c:v>
                </c:pt>
                <c:pt idx="9">
                  <c:v>12.255888738938367</c:v>
                </c:pt>
                <c:pt idx="10">
                  <c:v>17.622653263726022</c:v>
                </c:pt>
                <c:pt idx="11">
                  <c:v>3.6349121691006765</c:v>
                </c:pt>
                <c:pt idx="12">
                  <c:v>78.079922973729623</c:v>
                </c:pt>
                <c:pt idx="13">
                  <c:v>21.351232503276592</c:v>
                </c:pt>
                <c:pt idx="14">
                  <c:v>19.711404835320831</c:v>
                </c:pt>
                <c:pt idx="15">
                  <c:v>29.545122867355559</c:v>
                </c:pt>
                <c:pt idx="16">
                  <c:v>10.660415277523278</c:v>
                </c:pt>
                <c:pt idx="17">
                  <c:v>70.067770851702392</c:v>
                </c:pt>
                <c:pt idx="18">
                  <c:v>65.941564391692424</c:v>
                </c:pt>
                <c:pt idx="19">
                  <c:v>41.461323140956075</c:v>
                </c:pt>
              </c:numCache>
            </c:numRef>
          </c:val>
          <c:extLst>
            <c:ext xmlns:c16="http://schemas.microsoft.com/office/drawing/2014/chart" uri="{C3380CC4-5D6E-409C-BE32-E72D297353CC}">
              <c16:uniqueId val="{00000000-FCE8-4BE5-B84F-561EFADCEC8E}"/>
            </c:ext>
          </c:extLst>
        </c:ser>
        <c:dLbls>
          <c:showLegendKey val="0"/>
          <c:showVal val="0"/>
          <c:showCatName val="0"/>
          <c:showSerName val="0"/>
          <c:showPercent val="0"/>
          <c:showBubbleSize val="0"/>
        </c:dLbls>
        <c:gapWidth val="260"/>
        <c:overlap val="1"/>
        <c:axId val="266532152"/>
        <c:axId val="266531760"/>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2-FCE8-4BE5-B84F-561EFADCEC8E}"/>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SUM!$S$5:$S$24</c:f>
              <c:numCache>
                <c:formatCode>0.0</c:formatCode>
                <c:ptCount val="20"/>
                <c:pt idx="0">
                  <c:v>27.784532667798814</c:v>
                </c:pt>
                <c:pt idx="1">
                  <c:v>18.56867561281663</c:v>
                </c:pt>
                <c:pt idx="2">
                  <c:v>16.024475627164986</c:v>
                </c:pt>
                <c:pt idx="3">
                  <c:v>22.274804945494843</c:v>
                </c:pt>
                <c:pt idx="4">
                  <c:v>12.574866015192491</c:v>
                </c:pt>
                <c:pt idx="5">
                  <c:v>16.429161624580058</c:v>
                </c:pt>
                <c:pt idx="6">
                  <c:v>25.702339142750848</c:v>
                </c:pt>
                <c:pt idx="7">
                  <c:v>23.100095066541261</c:v>
                </c:pt>
                <c:pt idx="8">
                  <c:v>40.111352456689104</c:v>
                </c:pt>
                <c:pt idx="9">
                  <c:v>28.200084082059689</c:v>
                </c:pt>
                <c:pt idx="10">
                  <c:v>31.884519272744924</c:v>
                </c:pt>
                <c:pt idx="11">
                  <c:v>32.100988520952441</c:v>
                </c:pt>
                <c:pt idx="12">
                  <c:v>110.23887609264591</c:v>
                </c:pt>
                <c:pt idx="13">
                  <c:v>57.180242258255547</c:v>
                </c:pt>
                <c:pt idx="14">
                  <c:v>37.246575193481505</c:v>
                </c:pt>
                <c:pt idx="15">
                  <c:v>71.733855873394333</c:v>
                </c:pt>
                <c:pt idx="16">
                  <c:v>39.815806972800878</c:v>
                </c:pt>
                <c:pt idx="17">
                  <c:v>71.797053293355802</c:v>
                </c:pt>
                <c:pt idx="18">
                  <c:v>110.542645890279</c:v>
                </c:pt>
                <c:pt idx="19">
                  <c:v>49.266298599069685</c:v>
                </c:pt>
              </c:numCache>
            </c:numRef>
          </c:val>
          <c:smooth val="0"/>
          <c:extLst>
            <c:ext xmlns:c16="http://schemas.microsoft.com/office/drawing/2014/chart" uri="{C3380CC4-5D6E-409C-BE32-E72D297353CC}">
              <c16:uniqueId val="{00000003-FCE8-4BE5-B84F-561EFADCEC8E}"/>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5-FCE8-4BE5-B84F-561EFADCEC8E}"/>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SUM!$T$5:$T$24</c:f>
              <c:numCache>
                <c:formatCode>0.0</c:formatCode>
                <c:ptCount val="20"/>
                <c:pt idx="0">
                  <c:v>-11.776028483204591</c:v>
                </c:pt>
                <c:pt idx="1">
                  <c:v>-22.209809727110393</c:v>
                </c:pt>
                <c:pt idx="2">
                  <c:v>-16.511912806356126</c:v>
                </c:pt>
                <c:pt idx="3">
                  <c:v>-14.580037198323449</c:v>
                </c:pt>
                <c:pt idx="4">
                  <c:v>-19.342688845318108</c:v>
                </c:pt>
                <c:pt idx="5">
                  <c:v>-32.627530782664991</c:v>
                </c:pt>
                <c:pt idx="6">
                  <c:v>-20.852019225904694</c:v>
                </c:pt>
                <c:pt idx="7">
                  <c:v>-26.957431181444502</c:v>
                </c:pt>
                <c:pt idx="8">
                  <c:v>-36.825103738002859</c:v>
                </c:pt>
                <c:pt idx="9">
                  <c:v>-15.944195343121322</c:v>
                </c:pt>
                <c:pt idx="10">
                  <c:v>-14.261866009018904</c:v>
                </c:pt>
                <c:pt idx="11">
                  <c:v>-28.466076351851765</c:v>
                </c:pt>
                <c:pt idx="12">
                  <c:v>-32.158953118916294</c:v>
                </c:pt>
                <c:pt idx="13">
                  <c:v>-35.829009754978955</c:v>
                </c:pt>
                <c:pt idx="14">
                  <c:v>-17.535170358160673</c:v>
                </c:pt>
                <c:pt idx="15">
                  <c:v>-42.188733006038774</c:v>
                </c:pt>
                <c:pt idx="16">
                  <c:v>-29.155391695277601</c:v>
                </c:pt>
                <c:pt idx="17">
                  <c:v>-1.7292824416534067</c:v>
                </c:pt>
                <c:pt idx="18">
                  <c:v>-44.601081498586574</c:v>
                </c:pt>
                <c:pt idx="19">
                  <c:v>-7.8049754581136126</c:v>
                </c:pt>
              </c:numCache>
            </c:numRef>
          </c:val>
          <c:smooth val="0"/>
          <c:extLst>
            <c:ext xmlns:c16="http://schemas.microsoft.com/office/drawing/2014/chart" uri="{C3380CC4-5D6E-409C-BE32-E72D297353CC}">
              <c16:uniqueId val="{00000006-FCE8-4BE5-B84F-561EFADCEC8E}"/>
            </c:ext>
          </c:extLst>
        </c:ser>
        <c:dLbls>
          <c:showLegendKey val="0"/>
          <c:showVal val="0"/>
          <c:showCatName val="0"/>
          <c:showSerName val="0"/>
          <c:showPercent val="0"/>
          <c:showBubbleSize val="0"/>
        </c:dLbls>
        <c:marker val="1"/>
        <c:smooth val="0"/>
        <c:axId val="266530976"/>
        <c:axId val="266531368"/>
      </c:lineChart>
      <c:scatterChart>
        <c:scatterStyle val="lineMarker"/>
        <c:varyColors val="0"/>
        <c:ser>
          <c:idx val="2"/>
          <c:order val="3"/>
          <c:tx>
            <c:v>Zero</c:v>
          </c:tx>
          <c:spPr>
            <a:ln w="6350">
              <a:solidFill>
                <a:sysClr val="windowText" lastClr="000000"/>
              </a:solidFill>
              <a:prstDash val="solid"/>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7-FCE8-4BE5-B84F-561EFADCEC8E}"/>
            </c:ext>
          </c:extLst>
        </c:ser>
        <c:dLbls>
          <c:showLegendKey val="0"/>
          <c:showVal val="0"/>
          <c:showCatName val="0"/>
          <c:showSerName val="0"/>
          <c:showPercent val="0"/>
          <c:showBubbleSize val="0"/>
        </c:dLbls>
        <c:axId val="266532152"/>
        <c:axId val="266531760"/>
      </c:scatterChart>
      <c:dateAx>
        <c:axId val="266530976"/>
        <c:scaling>
          <c:orientation val="minMax"/>
          <c:max val="41548"/>
          <c:min val="41365"/>
        </c:scaling>
        <c:delete val="0"/>
        <c:axPos val="b"/>
        <c:numFmt formatCode="mmm" sourceLinked="0"/>
        <c:majorTickMark val="out"/>
        <c:minorTickMark val="none"/>
        <c:tickLblPos val="nextTo"/>
        <c:crossAx val="266531368"/>
        <c:crossesAt val="-150"/>
        <c:auto val="1"/>
        <c:lblOffset val="100"/>
        <c:baseTimeUnit val="days"/>
        <c:majorUnit val="1"/>
        <c:majorTimeUnit val="months"/>
      </c:dateAx>
      <c:valAx>
        <c:axId val="266531368"/>
        <c:scaling>
          <c:orientation val="minMax"/>
          <c:max val="150"/>
          <c:min val="-100"/>
        </c:scaling>
        <c:delete val="0"/>
        <c:axPos val="l"/>
        <c:title>
          <c:tx>
            <c:rich>
              <a:bodyPr/>
              <a:lstStyle/>
              <a:p>
                <a:pPr>
                  <a:defRPr b="0"/>
                </a:pPr>
                <a:r>
                  <a:rPr lang="en-US" b="0"/>
                  <a:t>Plankton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266530976"/>
        <c:crosses val="autoZero"/>
        <c:crossBetween val="between"/>
        <c:majorUnit val="50"/>
      </c:valAx>
      <c:valAx>
        <c:axId val="266531760"/>
        <c:scaling>
          <c:orientation val="minMax"/>
          <c:max val="150"/>
          <c:min val="-100"/>
        </c:scaling>
        <c:delete val="0"/>
        <c:axPos val="r"/>
        <c:numFmt formatCode="0.0" sourceLinked="1"/>
        <c:majorTickMark val="out"/>
        <c:minorTickMark val="none"/>
        <c:tickLblPos val="none"/>
        <c:spPr>
          <a:ln>
            <a:solidFill>
              <a:schemeClr val="tx1"/>
            </a:solidFill>
          </a:ln>
        </c:spPr>
        <c:crossAx val="266532152"/>
        <c:crosses val="max"/>
        <c:crossBetween val="between"/>
        <c:majorUnit val="50"/>
      </c:valAx>
      <c:dateAx>
        <c:axId val="266532152"/>
        <c:scaling>
          <c:orientation val="minMax"/>
        </c:scaling>
        <c:delete val="1"/>
        <c:axPos val="b"/>
        <c:numFmt formatCode="m/d/yy;@" sourceLinked="1"/>
        <c:majorTickMark val="out"/>
        <c:minorTickMark val="none"/>
        <c:tickLblPos val="nextTo"/>
        <c:crossAx val="266531760"/>
        <c:crosses val="autoZero"/>
        <c:auto val="1"/>
        <c:lblOffset val="100"/>
        <c:baseTimeUnit val="days"/>
      </c:date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SUM!$V$25:$V$44</c:f>
              <c:numCache>
                <c:formatCode>0.0</c:formatCode>
                <c:ptCount val="20"/>
                <c:pt idx="0">
                  <c:v>46.891071187843856</c:v>
                </c:pt>
                <c:pt idx="1">
                  <c:v>-32.168568868961522</c:v>
                </c:pt>
                <c:pt idx="2">
                  <c:v>12.093370802933677</c:v>
                </c:pt>
                <c:pt idx="3">
                  <c:v>-6.5894875903094317</c:v>
                </c:pt>
                <c:pt idx="4">
                  <c:v>32.218997972168935</c:v>
                </c:pt>
                <c:pt idx="5">
                  <c:v>-44.210920411093582</c:v>
                </c:pt>
                <c:pt idx="6">
                  <c:v>42.022392977768575</c:v>
                </c:pt>
                <c:pt idx="7">
                  <c:v>-16.707514985053763</c:v>
                </c:pt>
                <c:pt idx="8">
                  <c:v>43.527385282312224</c:v>
                </c:pt>
                <c:pt idx="9">
                  <c:v>17.198685282312212</c:v>
                </c:pt>
                <c:pt idx="10">
                  <c:v>91.189393241780067</c:v>
                </c:pt>
                <c:pt idx="11">
                  <c:v>-19.162177886629706</c:v>
                </c:pt>
                <c:pt idx="12">
                  <c:v>160.72190665849726</c:v>
                </c:pt>
                <c:pt idx="13">
                  <c:v>6.5799635399212946</c:v>
                </c:pt>
                <c:pt idx="14">
                  <c:v>20.963888655669344</c:v>
                </c:pt>
                <c:pt idx="15">
                  <c:v>4.926526018718711</c:v>
                </c:pt>
                <c:pt idx="16">
                  <c:v>-140.57918680174737</c:v>
                </c:pt>
                <c:pt idx="17">
                  <c:v>529.20597608932985</c:v>
                </c:pt>
                <c:pt idx="18">
                  <c:v>266.16970087563874</c:v>
                </c:pt>
                <c:pt idx="19">
                  <c:v>156.6811141855498</c:v>
                </c:pt>
              </c:numCache>
            </c:numRef>
          </c:val>
          <c:extLst>
            <c:ext xmlns:c16="http://schemas.microsoft.com/office/drawing/2014/chart" uri="{C3380CC4-5D6E-409C-BE32-E72D297353CC}">
              <c16:uniqueId val="{00000000-95EC-45CF-ABB3-4B65E3E37670}"/>
            </c:ext>
          </c:extLst>
        </c:ser>
        <c:dLbls>
          <c:showLegendKey val="0"/>
          <c:showVal val="0"/>
          <c:showCatName val="0"/>
          <c:showSerName val="0"/>
          <c:showPercent val="0"/>
          <c:showBubbleSize val="0"/>
        </c:dLbls>
        <c:gapWidth val="260"/>
        <c:overlap val="1"/>
        <c:axId val="266534112"/>
        <c:axId val="266533720"/>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2-95EC-45CF-ABB3-4B65E3E37670}"/>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SUM!$S$25:$S$44</c:f>
              <c:numCache>
                <c:formatCode>0.0</c:formatCode>
                <c:ptCount val="20"/>
                <c:pt idx="0">
                  <c:v>84.746099073330939</c:v>
                </c:pt>
                <c:pt idx="1">
                  <c:v>45.991972162386652</c:v>
                </c:pt>
                <c:pt idx="2">
                  <c:v>63.928579999999997</c:v>
                </c:pt>
                <c:pt idx="3">
                  <c:v>65.185540000000003</c:v>
                </c:pt>
                <c:pt idx="4">
                  <c:v>105.72662</c:v>
                </c:pt>
                <c:pt idx="5">
                  <c:v>50.694040000000001</c:v>
                </c:pt>
                <c:pt idx="6">
                  <c:v>90.947199999999995</c:v>
                </c:pt>
                <c:pt idx="7">
                  <c:v>65.047849999999997</c:v>
                </c:pt>
                <c:pt idx="8">
                  <c:v>141.61884000000001</c:v>
                </c:pt>
                <c:pt idx="9">
                  <c:v>115.29013999999999</c:v>
                </c:pt>
                <c:pt idx="10">
                  <c:v>198.14718999999999</c:v>
                </c:pt>
                <c:pt idx="11">
                  <c:v>58.857230000000001</c:v>
                </c:pt>
                <c:pt idx="12">
                  <c:v>244.64127999999999</c:v>
                </c:pt>
                <c:pt idx="13">
                  <c:v>111.83781</c:v>
                </c:pt>
                <c:pt idx="14">
                  <c:v>65.535889999999995</c:v>
                </c:pt>
                <c:pt idx="15">
                  <c:v>60.215060000000001</c:v>
                </c:pt>
                <c:pt idx="16">
                  <c:v>68.688079999999999</c:v>
                </c:pt>
                <c:pt idx="17">
                  <c:v>669.90070000000003</c:v>
                </c:pt>
                <c:pt idx="18">
                  <c:v>302.64161999999999</c:v>
                </c:pt>
                <c:pt idx="19">
                  <c:v>194.71681000000001</c:v>
                </c:pt>
              </c:numCache>
            </c:numRef>
          </c:val>
          <c:smooth val="0"/>
          <c:extLst>
            <c:ext xmlns:c16="http://schemas.microsoft.com/office/drawing/2014/chart" uri="{C3380CC4-5D6E-409C-BE32-E72D297353CC}">
              <c16:uniqueId val="{00000003-95EC-45CF-ABB3-4B65E3E37670}"/>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5-95EC-45CF-ABB3-4B65E3E37670}"/>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SUM!$T$25:$T$44</c:f>
              <c:numCache>
                <c:formatCode>0.0</c:formatCode>
                <c:ptCount val="20"/>
                <c:pt idx="0">
                  <c:v>-37.855027885487083</c:v>
                </c:pt>
                <c:pt idx="1">
                  <c:v>-78.160541031348174</c:v>
                </c:pt>
                <c:pt idx="2">
                  <c:v>-51.83520919706632</c:v>
                </c:pt>
                <c:pt idx="3">
                  <c:v>-71.775027590309435</c:v>
                </c:pt>
                <c:pt idx="4">
                  <c:v>-73.507622027831061</c:v>
                </c:pt>
                <c:pt idx="5">
                  <c:v>-94.904960411093583</c:v>
                </c:pt>
                <c:pt idx="6">
                  <c:v>-48.92480702223142</c:v>
                </c:pt>
                <c:pt idx="7">
                  <c:v>-81.75536498505376</c:v>
                </c:pt>
                <c:pt idx="8">
                  <c:v>-98.091454717687782</c:v>
                </c:pt>
                <c:pt idx="9">
                  <c:v>-98.091454717687782</c:v>
                </c:pt>
                <c:pt idx="10">
                  <c:v>-106.95779675821993</c:v>
                </c:pt>
                <c:pt idx="11">
                  <c:v>-78.019407886629708</c:v>
                </c:pt>
                <c:pt idx="12">
                  <c:v>-83.919373341502734</c:v>
                </c:pt>
                <c:pt idx="13">
                  <c:v>-105.25784646007871</c:v>
                </c:pt>
                <c:pt idx="14">
                  <c:v>-44.572001344330651</c:v>
                </c:pt>
                <c:pt idx="15">
                  <c:v>-55.28853398128129</c:v>
                </c:pt>
                <c:pt idx="16">
                  <c:v>-209.26726680174735</c:v>
                </c:pt>
                <c:pt idx="17">
                  <c:v>-140.69472391067012</c:v>
                </c:pt>
                <c:pt idx="18">
                  <c:v>-36.471919124361264</c:v>
                </c:pt>
                <c:pt idx="19">
                  <c:v>-38.0356958144502</c:v>
                </c:pt>
              </c:numCache>
            </c:numRef>
          </c:val>
          <c:smooth val="0"/>
          <c:extLst>
            <c:ext xmlns:c16="http://schemas.microsoft.com/office/drawing/2014/chart" uri="{C3380CC4-5D6E-409C-BE32-E72D297353CC}">
              <c16:uniqueId val="{00000006-95EC-45CF-ABB3-4B65E3E37670}"/>
            </c:ext>
          </c:extLst>
        </c:ser>
        <c:dLbls>
          <c:showLegendKey val="0"/>
          <c:showVal val="0"/>
          <c:showCatName val="0"/>
          <c:showSerName val="0"/>
          <c:showPercent val="0"/>
          <c:showBubbleSize val="0"/>
        </c:dLbls>
        <c:marker val="1"/>
        <c:smooth val="0"/>
        <c:axId val="266532936"/>
        <c:axId val="266533328"/>
      </c:lineChart>
      <c:scatterChart>
        <c:scatterStyle val="lineMarker"/>
        <c:varyColors val="0"/>
        <c:ser>
          <c:idx val="2"/>
          <c:order val="3"/>
          <c:tx>
            <c:v>Zero</c:v>
          </c:tx>
          <c:spPr>
            <a:ln w="6350">
              <a:solidFill>
                <a:sysClr val="windowText" lastClr="000000"/>
              </a:solidFill>
              <a:prstDash val="solid"/>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7-95EC-45CF-ABB3-4B65E3E37670}"/>
            </c:ext>
          </c:extLst>
        </c:ser>
        <c:dLbls>
          <c:showLegendKey val="0"/>
          <c:showVal val="0"/>
          <c:showCatName val="0"/>
          <c:showSerName val="0"/>
          <c:showPercent val="0"/>
          <c:showBubbleSize val="0"/>
        </c:dLbls>
        <c:axId val="266534112"/>
        <c:axId val="266533720"/>
      </c:scatterChart>
      <c:dateAx>
        <c:axId val="266532936"/>
        <c:scaling>
          <c:orientation val="minMax"/>
          <c:max val="41548"/>
          <c:min val="41365"/>
        </c:scaling>
        <c:delete val="0"/>
        <c:axPos val="b"/>
        <c:numFmt formatCode="mmm" sourceLinked="0"/>
        <c:majorTickMark val="out"/>
        <c:minorTickMark val="none"/>
        <c:tickLblPos val="nextTo"/>
        <c:crossAx val="266533328"/>
        <c:crossesAt val="-300"/>
        <c:auto val="1"/>
        <c:lblOffset val="100"/>
        <c:baseTimeUnit val="days"/>
        <c:majorUnit val="1"/>
        <c:majorTimeUnit val="months"/>
      </c:dateAx>
      <c:valAx>
        <c:axId val="266533328"/>
        <c:scaling>
          <c:orientation val="minMax"/>
          <c:max val="700"/>
          <c:min val="-300"/>
        </c:scaling>
        <c:delete val="0"/>
        <c:axPos val="l"/>
        <c:title>
          <c:tx>
            <c:rich>
              <a:bodyPr/>
              <a:lstStyle/>
              <a:p>
                <a:pPr>
                  <a:defRPr b="0"/>
                </a:pPr>
                <a:r>
                  <a:rPr lang="en-US" b="0"/>
                  <a:t>Plankton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266532936"/>
        <c:crosses val="autoZero"/>
        <c:crossBetween val="between"/>
        <c:majorUnit val="200"/>
      </c:valAx>
      <c:valAx>
        <c:axId val="266533720"/>
        <c:scaling>
          <c:orientation val="minMax"/>
          <c:max val="700"/>
          <c:min val="-300"/>
        </c:scaling>
        <c:delete val="0"/>
        <c:axPos val="r"/>
        <c:numFmt formatCode="0.0" sourceLinked="1"/>
        <c:majorTickMark val="out"/>
        <c:minorTickMark val="none"/>
        <c:tickLblPos val="none"/>
        <c:spPr>
          <a:ln>
            <a:solidFill>
              <a:schemeClr val="tx1"/>
            </a:solidFill>
          </a:ln>
        </c:spPr>
        <c:crossAx val="266534112"/>
        <c:crosses val="max"/>
        <c:crossBetween val="between"/>
        <c:majorUnit val="200"/>
      </c:valAx>
      <c:dateAx>
        <c:axId val="266534112"/>
        <c:scaling>
          <c:orientation val="minMax"/>
        </c:scaling>
        <c:delete val="1"/>
        <c:axPos val="b"/>
        <c:numFmt formatCode="m/d/yy;@" sourceLinked="1"/>
        <c:majorTickMark val="out"/>
        <c:minorTickMark val="none"/>
        <c:tickLblPos val="nextTo"/>
        <c:crossAx val="266533720"/>
        <c:crosses val="autoZero"/>
        <c:auto val="1"/>
        <c:lblOffset val="100"/>
        <c:baseTimeUnit val="days"/>
      </c:dateAx>
      <c:spPr>
        <a:ln>
          <a:solidFill>
            <a:sysClr val="windowText" lastClr="000000"/>
          </a:solidFill>
        </a:ln>
      </c:spPr>
    </c:plotArea>
    <c:legend>
      <c:legendPos val="r"/>
      <c:legendEntry>
        <c:idx val="3"/>
        <c:delete val="1"/>
      </c:legendEntry>
      <c:layout>
        <c:manualLayout>
          <c:xMode val="edge"/>
          <c:yMode val="edge"/>
          <c:x val="0.38101388816464166"/>
          <c:y val="8.352414011971783E-2"/>
          <c:w val="0.23765830346475508"/>
          <c:h val="0.2446340981570852"/>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57136003160894"/>
          <c:y val="5.0925925925925923E-2"/>
          <c:w val="0.82950441090696991"/>
          <c:h val="0.83779308836395461"/>
        </c:manualLayout>
      </c:layout>
      <c:barChart>
        <c:barDir val="col"/>
        <c:grouping val="clustered"/>
        <c:varyColors val="0"/>
        <c:ser>
          <c:idx val="3"/>
          <c:order val="2"/>
          <c:tx>
            <c:v>Net Metabolism</c:v>
          </c:tx>
          <c:spPr>
            <a:solidFill>
              <a:schemeClr val="tx1"/>
            </a:solidFill>
            <a:ln w="3175">
              <a:solidFill>
                <a:schemeClr val="tx1"/>
              </a:solidFill>
            </a:ln>
          </c:spPr>
          <c:invertIfNegative val="0"/>
          <c:cat>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'SP01'!$Z$3:$Z$176</c:f>
              <c:numCache>
                <c:formatCode>0</c:formatCode>
                <c:ptCount val="174"/>
                <c:pt idx="3">
                  <c:v>-24.579795751787877</c:v>
                </c:pt>
                <c:pt idx="4">
                  <c:v>7.708272746862832E-2</c:v>
                </c:pt>
                <c:pt idx="5">
                  <c:v>5.4043053816537121</c:v>
                </c:pt>
                <c:pt idx="6">
                  <c:v>8.6620479997654733</c:v>
                </c:pt>
                <c:pt idx="7">
                  <c:v>13.123316362923051</c:v>
                </c:pt>
                <c:pt idx="8">
                  <c:v>6.5388238841972735</c:v>
                </c:pt>
                <c:pt idx="9">
                  <c:v>6.6505635280491093</c:v>
                </c:pt>
                <c:pt idx="10">
                  <c:v>9.4514440506507071</c:v>
                </c:pt>
                <c:pt idx="11">
                  <c:v>11.600811149941251</c:v>
                </c:pt>
                <c:pt idx="12">
                  <c:v>13.616538433636928</c:v>
                </c:pt>
                <c:pt idx="13">
                  <c:v>9.6237344944817558</c:v>
                </c:pt>
                <c:pt idx="14">
                  <c:v>4.6751212289392186</c:v>
                </c:pt>
                <c:pt idx="15">
                  <c:v>-2.7578468679158479</c:v>
                </c:pt>
                <c:pt idx="16">
                  <c:v>-2.9440946406011608</c:v>
                </c:pt>
                <c:pt idx="17">
                  <c:v>-5.9020198676293827</c:v>
                </c:pt>
                <c:pt idx="18">
                  <c:v>-6.0237124867173231</c:v>
                </c:pt>
                <c:pt idx="19">
                  <c:v>-12.779965205266391</c:v>
                </c:pt>
                <c:pt idx="20">
                  <c:v>-4.8574399816461726</c:v>
                </c:pt>
                <c:pt idx="21">
                  <c:v>-2.565561083548888</c:v>
                </c:pt>
                <c:pt idx="22">
                  <c:v>10.47815572516541</c:v>
                </c:pt>
                <c:pt idx="23">
                  <c:v>21.719287224318158</c:v>
                </c:pt>
                <c:pt idx="24">
                  <c:v>19.175959662898634</c:v>
                </c:pt>
                <c:pt idx="25">
                  <c:v>20.158590902339171</c:v>
                </c:pt>
                <c:pt idx="26">
                  <c:v>25.559536133241505</c:v>
                </c:pt>
                <c:pt idx="27">
                  <c:v>22.978425537631928</c:v>
                </c:pt>
                <c:pt idx="28">
                  <c:v>22.489705097449963</c:v>
                </c:pt>
                <c:pt idx="29">
                  <c:v>20.014626610942052</c:v>
                </c:pt>
                <c:pt idx="30">
                  <c:v>10.758472216216296</c:v>
                </c:pt>
                <c:pt idx="31">
                  <c:v>16.155681214249178</c:v>
                </c:pt>
                <c:pt idx="32">
                  <c:v>8.5827344539453936</c:v>
                </c:pt>
                <c:pt idx="33">
                  <c:v>10.374492637771704</c:v>
                </c:pt>
                <c:pt idx="34">
                  <c:v>8.1899955628079741</c:v>
                </c:pt>
                <c:pt idx="35">
                  <c:v>3.115606338471832</c:v>
                </c:pt>
                <c:pt idx="36">
                  <c:v>-6.4471632294033583</c:v>
                </c:pt>
                <c:pt idx="37">
                  <c:v>12.87735752153478</c:v>
                </c:pt>
                <c:pt idx="38">
                  <c:v>14.373346633002281</c:v>
                </c:pt>
                <c:pt idx="39">
                  <c:v>20.890030948039616</c:v>
                </c:pt>
                <c:pt idx="40">
                  <c:v>10.160939791388289</c:v>
                </c:pt>
                <c:pt idx="41">
                  <c:v>27.105320989853343</c:v>
                </c:pt>
                <c:pt idx="42">
                  <c:v>23.786950035149424</c:v>
                </c:pt>
                <c:pt idx="43">
                  <c:v>27.943666305094524</c:v>
                </c:pt>
                <c:pt idx="44">
                  <c:v>18.128854174673982</c:v>
                </c:pt>
                <c:pt idx="45">
                  <c:v>15.973608596199723</c:v>
                </c:pt>
                <c:pt idx="46">
                  <c:v>15.845727350125697</c:v>
                </c:pt>
                <c:pt idx="47">
                  <c:v>24.381136958344108</c:v>
                </c:pt>
                <c:pt idx="48">
                  <c:v>13.768656021598478</c:v>
                </c:pt>
                <c:pt idx="49">
                  <c:v>20.734306633269387</c:v>
                </c:pt>
                <c:pt idx="50">
                  <c:v>28.23564699961063</c:v>
                </c:pt>
                <c:pt idx="51">
                  <c:v>15.670151086657667</c:v>
                </c:pt>
                <c:pt idx="52">
                  <c:v>23.00126401972619</c:v>
                </c:pt>
                <c:pt idx="53">
                  <c:v>15.760989036410544</c:v>
                </c:pt>
                <c:pt idx="54">
                  <c:v>22.947828394786029</c:v>
                </c:pt>
                <c:pt idx="55">
                  <c:v>9.158480737903588</c:v>
                </c:pt>
                <c:pt idx="56">
                  <c:v>15.382897886170142</c:v>
                </c:pt>
                <c:pt idx="57">
                  <c:v>5.955514121884848</c:v>
                </c:pt>
                <c:pt idx="58">
                  <c:v>15.207883411131208</c:v>
                </c:pt>
                <c:pt idx="59">
                  <c:v>18.454953571391155</c:v>
                </c:pt>
                <c:pt idx="60">
                  <c:v>28.782085681111976</c:v>
                </c:pt>
                <c:pt idx="61">
                  <c:v>21.894103327583586</c:v>
                </c:pt>
                <c:pt idx="62">
                  <c:v>27.918814544675392</c:v>
                </c:pt>
                <c:pt idx="63">
                  <c:v>26.359356155507605</c:v>
                </c:pt>
                <c:pt idx="64">
                  <c:v>38.374903800360705</c:v>
                </c:pt>
                <c:pt idx="65">
                  <c:v>24.28507772063821</c:v>
                </c:pt>
                <c:pt idx="66">
                  <c:v>21.18313711590849</c:v>
                </c:pt>
                <c:pt idx="67">
                  <c:v>27.144902218470349</c:v>
                </c:pt>
                <c:pt idx="68">
                  <c:v>31.16648550597947</c:v>
                </c:pt>
                <c:pt idx="69">
                  <c:v>29.369321322664092</c:v>
                </c:pt>
                <c:pt idx="70">
                  <c:v>22.857917657735616</c:v>
                </c:pt>
                <c:pt idx="71">
                  <c:v>17.086551980544694</c:v>
                </c:pt>
                <c:pt idx="72">
                  <c:v>30.045284345131613</c:v>
                </c:pt>
                <c:pt idx="73">
                  <c:v>15.036388744001455</c:v>
                </c:pt>
                <c:pt idx="74">
                  <c:v>9.8454557328254939</c:v>
                </c:pt>
                <c:pt idx="75">
                  <c:v>4.48131497044246</c:v>
                </c:pt>
                <c:pt idx="76">
                  <c:v>11.72167306606371</c:v>
                </c:pt>
                <c:pt idx="77">
                  <c:v>12.91999370771787</c:v>
                </c:pt>
                <c:pt idx="93">
                  <c:v>-19.391452158702236</c:v>
                </c:pt>
                <c:pt idx="94">
                  <c:v>1.6391835605078557</c:v>
                </c:pt>
                <c:pt idx="95">
                  <c:v>-12.036958419749411</c:v>
                </c:pt>
                <c:pt idx="96">
                  <c:v>-16.420841393244299</c:v>
                </c:pt>
                <c:pt idx="97">
                  <c:v>-14.837577095952396</c:v>
                </c:pt>
                <c:pt idx="98">
                  <c:v>-15.188867163110745</c:v>
                </c:pt>
                <c:pt idx="99">
                  <c:v>-14.294494536447997</c:v>
                </c:pt>
                <c:pt idx="100">
                  <c:v>0.89312149212480862</c:v>
                </c:pt>
                <c:pt idx="101">
                  <c:v>-3.7364752148777285</c:v>
                </c:pt>
                <c:pt idx="102">
                  <c:v>-0.70596023456023305</c:v>
                </c:pt>
                <c:pt idx="103">
                  <c:v>-0.63502513787692905</c:v>
                </c:pt>
                <c:pt idx="104">
                  <c:v>5.7458147953023966</c:v>
                </c:pt>
                <c:pt idx="105">
                  <c:v>11.999506873694884</c:v>
                </c:pt>
                <c:pt idx="106">
                  <c:v>5.7391103833023873</c:v>
                </c:pt>
                <c:pt idx="107">
                  <c:v>9.361381682876722</c:v>
                </c:pt>
                <c:pt idx="108">
                  <c:v>-4.4397128277346711</c:v>
                </c:pt>
                <c:pt idx="109">
                  <c:v>3.8519507897490621</c:v>
                </c:pt>
                <c:pt idx="110">
                  <c:v>7.4240868564823739</c:v>
                </c:pt>
                <c:pt idx="111">
                  <c:v>3.1628989333114186</c:v>
                </c:pt>
                <c:pt idx="112">
                  <c:v>3.1842079227338282</c:v>
                </c:pt>
                <c:pt idx="113">
                  <c:v>2.9425828798546556</c:v>
                </c:pt>
                <c:pt idx="114">
                  <c:v>6.6128216368157249</c:v>
                </c:pt>
                <c:pt idx="115">
                  <c:v>10.533496615722555</c:v>
                </c:pt>
                <c:pt idx="116">
                  <c:v>3.5910100892709669</c:v>
                </c:pt>
                <c:pt idx="117">
                  <c:v>5.9690908331403261</c:v>
                </c:pt>
                <c:pt idx="118">
                  <c:v>3.5097412712096352</c:v>
                </c:pt>
                <c:pt idx="119">
                  <c:v>3.518954469851292</c:v>
                </c:pt>
                <c:pt idx="120">
                  <c:v>-6.9747308302772018</c:v>
                </c:pt>
                <c:pt idx="121">
                  <c:v>-18.286457031138422</c:v>
                </c:pt>
                <c:pt idx="122">
                  <c:v>-22.135308909270794</c:v>
                </c:pt>
                <c:pt idx="123">
                  <c:v>-23.81707726282772</c:v>
                </c:pt>
                <c:pt idx="124">
                  <c:v>-16.357712238954662</c:v>
                </c:pt>
                <c:pt idx="125">
                  <c:v>-6.9375462740084561</c:v>
                </c:pt>
                <c:pt idx="126">
                  <c:v>-6.9889516583725788</c:v>
                </c:pt>
                <c:pt idx="127">
                  <c:v>9.7247739778348308</c:v>
                </c:pt>
                <c:pt idx="128">
                  <c:v>14.397692779599156</c:v>
                </c:pt>
                <c:pt idx="129">
                  <c:v>18.986557693452017</c:v>
                </c:pt>
                <c:pt idx="130">
                  <c:v>17.311892626218476</c:v>
                </c:pt>
                <c:pt idx="131">
                  <c:v>1.5665901217267353</c:v>
                </c:pt>
                <c:pt idx="132">
                  <c:v>-0.98703705664831687</c:v>
                </c:pt>
                <c:pt idx="133">
                  <c:v>-5.0193825418554168</c:v>
                </c:pt>
                <c:pt idx="134">
                  <c:v>-3.648893073330695</c:v>
                </c:pt>
                <c:pt idx="135">
                  <c:v>-11.293419542988405</c:v>
                </c:pt>
                <c:pt idx="136">
                  <c:v>-2.8453583329011787</c:v>
                </c:pt>
                <c:pt idx="137">
                  <c:v>5.1405817033416907</c:v>
                </c:pt>
                <c:pt idx="138">
                  <c:v>16.087517196882853</c:v>
                </c:pt>
                <c:pt idx="139">
                  <c:v>25.982276157841476</c:v>
                </c:pt>
                <c:pt idx="140">
                  <c:v>28.790560155031123</c:v>
                </c:pt>
                <c:pt idx="141">
                  <c:v>32.301465039595278</c:v>
                </c:pt>
                <c:pt idx="142">
                  <c:v>51.777166177376024</c:v>
                </c:pt>
                <c:pt idx="143">
                  <c:v>41.590368083587123</c:v>
                </c:pt>
                <c:pt idx="144">
                  <c:v>38.614185976156612</c:v>
                </c:pt>
                <c:pt idx="145">
                  <c:v>36.992670100590239</c:v>
                </c:pt>
                <c:pt idx="146">
                  <c:v>20.429722323781977</c:v>
                </c:pt>
                <c:pt idx="147">
                  <c:v>-2.4234169245700952</c:v>
                </c:pt>
                <c:pt idx="148">
                  <c:v>6.2908576822971884</c:v>
                </c:pt>
                <c:pt idx="149">
                  <c:v>-20.984320936391157</c:v>
                </c:pt>
                <c:pt idx="150">
                  <c:v>-38.351276182550876</c:v>
                </c:pt>
                <c:pt idx="151">
                  <c:v>-42.695087414222485</c:v>
                </c:pt>
                <c:pt idx="152">
                  <c:v>-31.495428303840217</c:v>
                </c:pt>
                <c:pt idx="153">
                  <c:v>-20.281359561255368</c:v>
                </c:pt>
                <c:pt idx="154">
                  <c:v>-6.9763243965145056</c:v>
                </c:pt>
                <c:pt idx="155">
                  <c:v>-11.103007107816296</c:v>
                </c:pt>
                <c:pt idx="156">
                  <c:v>-0.18905223503912996</c:v>
                </c:pt>
                <c:pt idx="157">
                  <c:v>16.312165881002134</c:v>
                </c:pt>
                <c:pt idx="158">
                  <c:v>11.056919357254019</c:v>
                </c:pt>
                <c:pt idx="159">
                  <c:v>-5.3710577685830696</c:v>
                </c:pt>
                <c:pt idx="160">
                  <c:v>-14.352542685302113</c:v>
                </c:pt>
                <c:pt idx="161">
                  <c:v>-10.591349540163021</c:v>
                </c:pt>
                <c:pt idx="162">
                  <c:v>-28.110628800728698</c:v>
                </c:pt>
                <c:pt idx="163">
                  <c:v>-17.35529997511097</c:v>
                </c:pt>
                <c:pt idx="164">
                  <c:v>-17.243111616992614</c:v>
                </c:pt>
                <c:pt idx="165">
                  <c:v>-10.844775321792174</c:v>
                </c:pt>
                <c:pt idx="166">
                  <c:v>-7.6579560571677643</c:v>
                </c:pt>
                <c:pt idx="167">
                  <c:v>-9.011054361418859</c:v>
                </c:pt>
                <c:pt idx="168">
                  <c:v>-3.5433609538408626</c:v>
                </c:pt>
                <c:pt idx="169">
                  <c:v>-0.84365460394475833</c:v>
                </c:pt>
                <c:pt idx="170">
                  <c:v>-1.9396482128025485</c:v>
                </c:pt>
              </c:numCache>
            </c:numRef>
          </c:val>
          <c:extLst>
            <c:ext xmlns:c16="http://schemas.microsoft.com/office/drawing/2014/chart" uri="{C3380CC4-5D6E-409C-BE32-E72D297353CC}">
              <c16:uniqueId val="{00000000-0A4D-441A-B0A6-C69852457427}"/>
            </c:ext>
          </c:extLst>
        </c:ser>
        <c:dLbls>
          <c:showLegendKey val="0"/>
          <c:showVal val="0"/>
          <c:showCatName val="0"/>
          <c:showSerName val="0"/>
          <c:showPercent val="0"/>
          <c:showBubbleSize val="0"/>
        </c:dLbls>
        <c:gapWidth val="260"/>
        <c:overlap val="1"/>
        <c:axId val="301118584"/>
        <c:axId val="301118192"/>
      </c:barChart>
      <c:lineChart>
        <c:grouping val="standard"/>
        <c:varyColors val="0"/>
        <c:ser>
          <c:idx val="0"/>
          <c:order val="0"/>
          <c:tx>
            <c:v>Production</c:v>
          </c:tx>
          <c:spPr>
            <a:ln w="9525">
              <a:noFill/>
            </a:ln>
          </c:spPr>
          <c:marker>
            <c:symbol val="circle"/>
            <c:size val="4"/>
            <c:spPr>
              <a:solidFill>
                <a:schemeClr val="tx1"/>
              </a:solidFill>
              <a:ln>
                <a:solidFill>
                  <a:schemeClr val="tx1"/>
                </a:solidFill>
              </a:ln>
            </c:spPr>
          </c:marker>
          <c:dPt>
            <c:idx val="11"/>
            <c:bubble3D val="0"/>
            <c:extLst>
              <c:ext xmlns:c16="http://schemas.microsoft.com/office/drawing/2014/chart" uri="{C3380CC4-5D6E-409C-BE32-E72D297353CC}">
                <c16:uniqueId val="{00000001-0A4D-441A-B0A6-C69852457427}"/>
              </c:ext>
            </c:extLst>
          </c:dPt>
          <c:cat>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'SP01'!$X$3:$X$176</c:f>
              <c:numCache>
                <c:formatCode>0.0</c:formatCode>
                <c:ptCount val="174"/>
                <c:pt idx="3">
                  <c:v>126.31215746112559</c:v>
                </c:pt>
                <c:pt idx="4">
                  <c:v>117.68961892901143</c:v>
                </c:pt>
                <c:pt idx="5">
                  <c:v>113.43083951958474</c:v>
                </c:pt>
                <c:pt idx="6">
                  <c:v>121.61486838907675</c:v>
                </c:pt>
                <c:pt idx="7">
                  <c:v>117.0512105583483</c:v>
                </c:pt>
                <c:pt idx="8">
                  <c:v>107.31894010080757</c:v>
                </c:pt>
                <c:pt idx="9">
                  <c:v>85.018233302798834</c:v>
                </c:pt>
                <c:pt idx="10">
                  <c:v>73.840177056197987</c:v>
                </c:pt>
                <c:pt idx="11">
                  <c:v>72.486481370002053</c:v>
                </c:pt>
                <c:pt idx="12">
                  <c:v>73.580545887627778</c:v>
                </c:pt>
                <c:pt idx="13">
                  <c:v>61.511095133586743</c:v>
                </c:pt>
                <c:pt idx="14">
                  <c:v>49.050469073314844</c:v>
                </c:pt>
                <c:pt idx="15">
                  <c:v>50.806978710317445</c:v>
                </c:pt>
                <c:pt idx="16">
                  <c:v>62.378500976595255</c:v>
                </c:pt>
                <c:pt idx="17">
                  <c:v>67.692442625149923</c:v>
                </c:pt>
                <c:pt idx="18">
                  <c:v>70.657319798061252</c:v>
                </c:pt>
                <c:pt idx="19">
                  <c:v>76.101658739475099</c:v>
                </c:pt>
                <c:pt idx="20">
                  <c:v>91.606386692990867</c:v>
                </c:pt>
                <c:pt idx="21">
                  <c:v>106.66171136544837</c:v>
                </c:pt>
                <c:pt idx="22">
                  <c:v>119.58466325492255</c:v>
                </c:pt>
                <c:pt idx="23">
                  <c:v>125.25839263849674</c:v>
                </c:pt>
                <c:pt idx="24">
                  <c:v>144.43936998898238</c:v>
                </c:pt>
                <c:pt idx="25">
                  <c:v>152.72110588720417</c:v>
                </c:pt>
                <c:pt idx="26">
                  <c:v>153.93377804573544</c:v>
                </c:pt>
                <c:pt idx="27">
                  <c:v>163.52974270324381</c:v>
                </c:pt>
                <c:pt idx="28">
                  <c:v>164.51170482813581</c:v>
                </c:pt>
                <c:pt idx="29">
                  <c:v>150.43547409257863</c:v>
                </c:pt>
                <c:pt idx="30">
                  <c:v>147.61006516143169</c:v>
                </c:pt>
                <c:pt idx="31">
                  <c:v>135.66067547688871</c:v>
                </c:pt>
                <c:pt idx="32">
                  <c:v>155.00686465610164</c:v>
                </c:pt>
                <c:pt idx="33">
                  <c:v>187.9731081622802</c:v>
                </c:pt>
                <c:pt idx="34">
                  <c:v>201.50366585388591</c:v>
                </c:pt>
                <c:pt idx="35">
                  <c:v>239.31275277791977</c:v>
                </c:pt>
                <c:pt idx="36">
                  <c:v>287.77023413357159</c:v>
                </c:pt>
                <c:pt idx="37">
                  <c:v>334.10952095522424</c:v>
                </c:pt>
                <c:pt idx="38">
                  <c:v>344.03255150041241</c:v>
                </c:pt>
                <c:pt idx="39">
                  <c:v>332.34921418960738</c:v>
                </c:pt>
                <c:pt idx="40">
                  <c:v>314.35065658894695</c:v>
                </c:pt>
                <c:pt idx="41">
                  <c:v>299.51075365769896</c:v>
                </c:pt>
                <c:pt idx="42">
                  <c:v>263.10817290789868</c:v>
                </c:pt>
                <c:pt idx="43">
                  <c:v>245.0318946148935</c:v>
                </c:pt>
                <c:pt idx="44">
                  <c:v>228.39620969665037</c:v>
                </c:pt>
                <c:pt idx="45">
                  <c:v>229.7298735430775</c:v>
                </c:pt>
                <c:pt idx="46">
                  <c:v>248.30396077339944</c:v>
                </c:pt>
                <c:pt idx="47">
                  <c:v>276.80567440194358</c:v>
                </c:pt>
                <c:pt idx="48">
                  <c:v>284.24544414310736</c:v>
                </c:pt>
                <c:pt idx="49">
                  <c:v>317.955358095017</c:v>
                </c:pt>
                <c:pt idx="50">
                  <c:v>322.34885352478801</c:v>
                </c:pt>
                <c:pt idx="51">
                  <c:v>314.67214175211899</c:v>
                </c:pt>
                <c:pt idx="52">
                  <c:v>311.31197586427481</c:v>
                </c:pt>
                <c:pt idx="53">
                  <c:v>286.04920313297941</c:v>
                </c:pt>
                <c:pt idx="54">
                  <c:v>285.80824972520389</c:v>
                </c:pt>
                <c:pt idx="55">
                  <c:v>258.25114374902785</c:v>
                </c:pt>
                <c:pt idx="56">
                  <c:v>236.98845361518892</c:v>
                </c:pt>
                <c:pt idx="57">
                  <c:v>242.34046562316379</c:v>
                </c:pt>
                <c:pt idx="58">
                  <c:v>264.30915299694556</c:v>
                </c:pt>
                <c:pt idx="59">
                  <c:v>269.80794869303458</c:v>
                </c:pt>
                <c:pt idx="60">
                  <c:v>283.80336650295015</c:v>
                </c:pt>
                <c:pt idx="61">
                  <c:v>278.61948255809665</c:v>
                </c:pt>
                <c:pt idx="62">
                  <c:v>306.35309733147307</c:v>
                </c:pt>
                <c:pt idx="63">
                  <c:v>316.24054903356358</c:v>
                </c:pt>
                <c:pt idx="64">
                  <c:v>284.43732012671552</c:v>
                </c:pt>
                <c:pt idx="65">
                  <c:v>293.44497334705051</c:v>
                </c:pt>
                <c:pt idx="66">
                  <c:v>301.71493205229274</c:v>
                </c:pt>
                <c:pt idx="67">
                  <c:v>285.99804566964798</c:v>
                </c:pt>
                <c:pt idx="68">
                  <c:v>270.88202292251691</c:v>
                </c:pt>
                <c:pt idx="69">
                  <c:v>237.36494379562851</c:v>
                </c:pt>
                <c:pt idx="70">
                  <c:v>221.79196034996045</c:v>
                </c:pt>
                <c:pt idx="71">
                  <c:v>225.74004190300599</c:v>
                </c:pt>
                <c:pt idx="72">
                  <c:v>171.53879187414151</c:v>
                </c:pt>
                <c:pt idx="73">
                  <c:v>160.27611659684416</c:v>
                </c:pt>
                <c:pt idx="74">
                  <c:v>178.03429636432693</c:v>
                </c:pt>
                <c:pt idx="75">
                  <c:v>166.10968575359038</c:v>
                </c:pt>
                <c:pt idx="76">
                  <c:v>180.41160464049361</c:v>
                </c:pt>
                <c:pt idx="77">
                  <c:v>171.96307228807558</c:v>
                </c:pt>
                <c:pt idx="93">
                  <c:v>136.38273691483897</c:v>
                </c:pt>
                <c:pt idx="94">
                  <c:v>159.45922073925311</c:v>
                </c:pt>
                <c:pt idx="95">
                  <c:v>130.35525815750432</c:v>
                </c:pt>
                <c:pt idx="96">
                  <c:v>131.60375168082768</c:v>
                </c:pt>
                <c:pt idx="97">
                  <c:v>123.81872625175495</c:v>
                </c:pt>
                <c:pt idx="98">
                  <c:v>111.85499212622832</c:v>
                </c:pt>
                <c:pt idx="99">
                  <c:v>119.46308506692834</c:v>
                </c:pt>
                <c:pt idx="100">
                  <c:v>98.991794304607723</c:v>
                </c:pt>
                <c:pt idx="101">
                  <c:v>85.335664558086265</c:v>
                </c:pt>
                <c:pt idx="102">
                  <c:v>104.47369408986307</c:v>
                </c:pt>
                <c:pt idx="103">
                  <c:v>107.47160704524811</c:v>
                </c:pt>
                <c:pt idx="104">
                  <c:v>112.38117114994789</c:v>
                </c:pt>
                <c:pt idx="105">
                  <c:v>113.12836821924705</c:v>
                </c:pt>
                <c:pt idx="106">
                  <c:v>119.64001190013474</c:v>
                </c:pt>
                <c:pt idx="107">
                  <c:v>120.3033806106757</c:v>
                </c:pt>
                <c:pt idx="108">
                  <c:v>107.96585046447088</c:v>
                </c:pt>
                <c:pt idx="109">
                  <c:v>122.03892841510749</c:v>
                </c:pt>
                <c:pt idx="110">
                  <c:v>133.14920075729339</c:v>
                </c:pt>
                <c:pt idx="111">
                  <c:v>129.43308081952921</c:v>
                </c:pt>
                <c:pt idx="112">
                  <c:v>130.76007344879829</c:v>
                </c:pt>
                <c:pt idx="113">
                  <c:v>108.47505985311837</c:v>
                </c:pt>
                <c:pt idx="114">
                  <c:v>105.48357116250989</c:v>
                </c:pt>
                <c:pt idx="115">
                  <c:v>104.91851723558814</c:v>
                </c:pt>
                <c:pt idx="116">
                  <c:v>72.172883444530072</c:v>
                </c:pt>
                <c:pt idx="117">
                  <c:v>63.542504900779257</c:v>
                </c:pt>
                <c:pt idx="118">
                  <c:v>68.729145133865046</c:v>
                </c:pt>
                <c:pt idx="119">
                  <c:v>68.540852755733496</c:v>
                </c:pt>
                <c:pt idx="120">
                  <c:v>90.333063938132113</c:v>
                </c:pt>
                <c:pt idx="121">
                  <c:v>120.42038898529169</c:v>
                </c:pt>
                <c:pt idx="122">
                  <c:v>164.28065911256564</c:v>
                </c:pt>
                <c:pt idx="123">
                  <c:v>206.07242513510755</c:v>
                </c:pt>
                <c:pt idx="124">
                  <c:v>219.62584115039004</c:v>
                </c:pt>
                <c:pt idx="125">
                  <c:v>214.77079506286466</c:v>
                </c:pt>
                <c:pt idx="126">
                  <c:v>228.94518495335964</c:v>
                </c:pt>
                <c:pt idx="127">
                  <c:v>217.09781675129199</c:v>
                </c:pt>
                <c:pt idx="128">
                  <c:v>197.93001141053153</c:v>
                </c:pt>
                <c:pt idx="129">
                  <c:v>167.48565229071463</c:v>
                </c:pt>
                <c:pt idx="130">
                  <c:v>130.55586581014305</c:v>
                </c:pt>
                <c:pt idx="131">
                  <c:v>115.90678580079505</c:v>
                </c:pt>
                <c:pt idx="132">
                  <c:v>147.02874996876443</c:v>
                </c:pt>
                <c:pt idx="133">
                  <c:v>155.88662126287758</c:v>
                </c:pt>
                <c:pt idx="134">
                  <c:v>169.56242204886146</c:v>
                </c:pt>
                <c:pt idx="135">
                  <c:v>174.94287658056115</c:v>
                </c:pt>
                <c:pt idx="136">
                  <c:v>196.50688569904537</c:v>
                </c:pt>
                <c:pt idx="137">
                  <c:v>235.36902755400698</c:v>
                </c:pt>
                <c:pt idx="138">
                  <c:v>242.49986799238999</c:v>
                </c:pt>
                <c:pt idx="139">
                  <c:v>223.82078647692722</c:v>
                </c:pt>
                <c:pt idx="140">
                  <c:v>224.69181878918201</c:v>
                </c:pt>
                <c:pt idx="141">
                  <c:v>226.50620027609133</c:v>
                </c:pt>
                <c:pt idx="142">
                  <c:v>210.59010866149765</c:v>
                </c:pt>
                <c:pt idx="143">
                  <c:v>177.3491526823822</c:v>
                </c:pt>
                <c:pt idx="144">
                  <c:v>148.67441380252555</c:v>
                </c:pt>
                <c:pt idx="145">
                  <c:v>151.65381839059543</c:v>
                </c:pt>
                <c:pt idx="146">
                  <c:v>149.35794001585847</c:v>
                </c:pt>
                <c:pt idx="147">
                  <c:v>163.54754888921315</c:v>
                </c:pt>
                <c:pt idx="148">
                  <c:v>176.60810085779494</c:v>
                </c:pt>
                <c:pt idx="149">
                  <c:v>193.72746387375511</c:v>
                </c:pt>
                <c:pt idx="150">
                  <c:v>242.60172074036512</c:v>
                </c:pt>
                <c:pt idx="151">
                  <c:v>295.12515932899356</c:v>
                </c:pt>
                <c:pt idx="152">
                  <c:v>307.93259865703078</c:v>
                </c:pt>
                <c:pt idx="153">
                  <c:v>314.34898577637688</c:v>
                </c:pt>
                <c:pt idx="154">
                  <c:v>288.32453997703817</c:v>
                </c:pt>
                <c:pt idx="155">
                  <c:v>287.50578562728248</c:v>
                </c:pt>
                <c:pt idx="156">
                  <c:v>266.12334891129564</c:v>
                </c:pt>
                <c:pt idx="157">
                  <c:v>227.06701808585572</c:v>
                </c:pt>
                <c:pt idx="158">
                  <c:v>188.55985666811708</c:v>
                </c:pt>
                <c:pt idx="159">
                  <c:v>167.63732859938219</c:v>
                </c:pt>
                <c:pt idx="160">
                  <c:v>163.07996230355366</c:v>
                </c:pt>
                <c:pt idx="161">
                  <c:v>173.73181140886271</c:v>
                </c:pt>
                <c:pt idx="162">
                  <c:v>162.53151673504939</c:v>
                </c:pt>
                <c:pt idx="163">
                  <c:v>187.05476724611208</c:v>
                </c:pt>
                <c:pt idx="164">
                  <c:v>204.99317083411773</c:v>
                </c:pt>
                <c:pt idx="165">
                  <c:v>210.97196247178758</c:v>
                </c:pt>
                <c:pt idx="166">
                  <c:v>241.36729950605363</c:v>
                </c:pt>
                <c:pt idx="167">
                  <c:v>236.39974851444703</c:v>
                </c:pt>
                <c:pt idx="168">
                  <c:v>222.0874952265836</c:v>
                </c:pt>
                <c:pt idx="169">
                  <c:v>221.5078152871275</c:v>
                </c:pt>
                <c:pt idx="170">
                  <c:v>198.99550722689099</c:v>
                </c:pt>
              </c:numCache>
            </c:numRef>
          </c:val>
          <c:smooth val="0"/>
          <c:extLst>
            <c:ext xmlns:c16="http://schemas.microsoft.com/office/drawing/2014/chart" uri="{C3380CC4-5D6E-409C-BE32-E72D297353CC}">
              <c16:uniqueId val="{00000002-0A4D-441A-B0A6-C69852457427}"/>
            </c:ext>
          </c:extLst>
        </c:ser>
        <c:ser>
          <c:idx val="1"/>
          <c:order val="1"/>
          <c:tx>
            <c:v>Respiration</c:v>
          </c:tx>
          <c:spPr>
            <a:ln w="9525">
              <a:noFill/>
            </a:ln>
          </c:spPr>
          <c:marker>
            <c:symbol val="circle"/>
            <c:size val="4"/>
            <c:spPr>
              <a:solidFill>
                <a:schemeClr val="bg1">
                  <a:lumMod val="75000"/>
                </a:schemeClr>
              </a:solidFill>
              <a:ln>
                <a:solidFill>
                  <a:sysClr val="windowText" lastClr="000000"/>
                </a:solidFill>
              </a:ln>
            </c:spPr>
          </c:marker>
          <c:dPt>
            <c:idx val="11"/>
            <c:bubble3D val="0"/>
            <c:extLst>
              <c:ext xmlns:c16="http://schemas.microsoft.com/office/drawing/2014/chart" uri="{C3380CC4-5D6E-409C-BE32-E72D297353CC}">
                <c16:uniqueId val="{00000003-0A4D-441A-B0A6-C69852457427}"/>
              </c:ext>
            </c:extLst>
          </c:dPt>
          <c:cat>
            <c:numRef>
              <c:f>'SP01'!$A$3:$A$176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'SP01'!$Y$3:$Y$176</c:f>
              <c:numCache>
                <c:formatCode>0</c:formatCode>
                <c:ptCount val="174"/>
                <c:pt idx="3" formatCode="0.0">
                  <c:v>-124.69235068261712</c:v>
                </c:pt>
                <c:pt idx="4" formatCode="0.0">
                  <c:v>-117.6125362015428</c:v>
                </c:pt>
                <c:pt idx="5" formatCode="0.0">
                  <c:v>-108.02653413793099</c:v>
                </c:pt>
                <c:pt idx="6" formatCode="0.0">
                  <c:v>-112.95282038931124</c:v>
                </c:pt>
                <c:pt idx="7" formatCode="0.0">
                  <c:v>-103.92789419542525</c:v>
                </c:pt>
                <c:pt idx="8" formatCode="0.0">
                  <c:v>-100.78011621661028</c:v>
                </c:pt>
                <c:pt idx="9" formatCode="0.0">
                  <c:v>-78.367669774749714</c:v>
                </c:pt>
                <c:pt idx="10" formatCode="0.0">
                  <c:v>-64.388733005547294</c:v>
                </c:pt>
                <c:pt idx="11" formatCode="0.0">
                  <c:v>-60.885670220060824</c:v>
                </c:pt>
                <c:pt idx="12" formatCode="0.0">
                  <c:v>-59.964007453990853</c:v>
                </c:pt>
                <c:pt idx="13" formatCode="0.0">
                  <c:v>-51.887360639104983</c:v>
                </c:pt>
                <c:pt idx="14" formatCode="0.0">
                  <c:v>-44.375347844375632</c:v>
                </c:pt>
                <c:pt idx="15" formatCode="0.0">
                  <c:v>-53.56482557823329</c:v>
                </c:pt>
                <c:pt idx="16" formatCode="0.0">
                  <c:v>-65.322595617196413</c:v>
                </c:pt>
                <c:pt idx="17" formatCode="0.0">
                  <c:v>-73.5944624927793</c:v>
                </c:pt>
                <c:pt idx="18" formatCode="0.0">
                  <c:v>-76.681032284778567</c:v>
                </c:pt>
                <c:pt idx="19" formatCode="0.0">
                  <c:v>-88.881623944741492</c:v>
                </c:pt>
                <c:pt idx="20" formatCode="0.0">
                  <c:v>-96.463826674637033</c:v>
                </c:pt>
                <c:pt idx="21" formatCode="0.0">
                  <c:v>-109.22727244899727</c:v>
                </c:pt>
                <c:pt idx="22" formatCode="0.0">
                  <c:v>-109.10650752975712</c:v>
                </c:pt>
                <c:pt idx="23" formatCode="0.0">
                  <c:v>-103.53910541417859</c:v>
                </c:pt>
                <c:pt idx="24" formatCode="0.0">
                  <c:v>-125.26341032608376</c:v>
                </c:pt>
                <c:pt idx="25" formatCode="0.0">
                  <c:v>-132.562514984865</c:v>
                </c:pt>
                <c:pt idx="26" formatCode="0.0">
                  <c:v>-128.37424191249394</c:v>
                </c:pt>
                <c:pt idx="27" formatCode="0.0">
                  <c:v>-140.55131716561189</c:v>
                </c:pt>
                <c:pt idx="28" formatCode="0.0">
                  <c:v>-142.02199973068585</c:v>
                </c:pt>
                <c:pt idx="29" formatCode="0.0">
                  <c:v>-130.42084748163657</c:v>
                </c:pt>
                <c:pt idx="30" formatCode="0.0">
                  <c:v>-136.85159294521537</c:v>
                </c:pt>
                <c:pt idx="31" formatCode="0.0">
                  <c:v>-119.50499426263953</c:v>
                </c:pt>
                <c:pt idx="32" formatCode="0.0">
                  <c:v>-146.42413020215625</c:v>
                </c:pt>
                <c:pt idx="33" formatCode="0.0">
                  <c:v>-177.59861552450849</c:v>
                </c:pt>
                <c:pt idx="34" formatCode="0.0">
                  <c:v>-193.31367029107793</c:v>
                </c:pt>
                <c:pt idx="35" formatCode="0.0">
                  <c:v>-236.19714643944795</c:v>
                </c:pt>
                <c:pt idx="36" formatCode="0.0">
                  <c:v>-294.21739736297496</c:v>
                </c:pt>
                <c:pt idx="37" formatCode="0.0">
                  <c:v>-321.23216343368949</c:v>
                </c:pt>
                <c:pt idx="38" formatCode="0.0">
                  <c:v>-329.65920486741015</c:v>
                </c:pt>
                <c:pt idx="39" formatCode="0.0">
                  <c:v>-311.45918324156781</c:v>
                </c:pt>
                <c:pt idx="40" formatCode="0.0">
                  <c:v>-304.18971679755862</c:v>
                </c:pt>
                <c:pt idx="41" formatCode="0.0">
                  <c:v>-272.40543266784567</c:v>
                </c:pt>
                <c:pt idx="42" formatCode="0.0">
                  <c:v>-239.32122287274927</c:v>
                </c:pt>
                <c:pt idx="43" formatCode="0.0">
                  <c:v>-217.08822830979901</c:v>
                </c:pt>
                <c:pt idx="44" formatCode="0.0">
                  <c:v>-210.26735552197644</c:v>
                </c:pt>
                <c:pt idx="45" formatCode="0.0">
                  <c:v>-213.75626494687782</c:v>
                </c:pt>
                <c:pt idx="46" formatCode="0.0">
                  <c:v>-232.45823342327373</c:v>
                </c:pt>
                <c:pt idx="47" formatCode="0.0">
                  <c:v>-252.42453744359949</c:v>
                </c:pt>
                <c:pt idx="48" formatCode="0.0">
                  <c:v>-270.47678812150883</c:v>
                </c:pt>
                <c:pt idx="49" formatCode="0.0">
                  <c:v>-297.22105146174766</c:v>
                </c:pt>
                <c:pt idx="50" formatCode="0.0">
                  <c:v>-294.11320652517736</c:v>
                </c:pt>
                <c:pt idx="51" formatCode="0.0">
                  <c:v>-299.00199066546116</c:v>
                </c:pt>
                <c:pt idx="52" formatCode="0.0">
                  <c:v>-288.31071184454862</c:v>
                </c:pt>
                <c:pt idx="53" formatCode="0.0">
                  <c:v>-270.28821409656882</c:v>
                </c:pt>
                <c:pt idx="54" formatCode="0.0">
                  <c:v>-262.86042133041786</c:v>
                </c:pt>
                <c:pt idx="55" formatCode="0.0">
                  <c:v>-249.0926630111243</c:v>
                </c:pt>
                <c:pt idx="56" formatCode="0.0">
                  <c:v>-221.60555572901876</c:v>
                </c:pt>
                <c:pt idx="57" formatCode="0.0">
                  <c:v>-236.38495150127898</c:v>
                </c:pt>
                <c:pt idx="58" formatCode="0.0">
                  <c:v>-249.10126958581438</c:v>
                </c:pt>
                <c:pt idx="59" formatCode="0.0">
                  <c:v>-251.35299512164343</c:v>
                </c:pt>
                <c:pt idx="60" formatCode="0.0">
                  <c:v>-255.02128082183819</c:v>
                </c:pt>
                <c:pt idx="61" formatCode="0.0">
                  <c:v>-256.72537923051311</c:v>
                </c:pt>
                <c:pt idx="62" formatCode="0.0">
                  <c:v>-278.43428278679772</c:v>
                </c:pt>
                <c:pt idx="63" formatCode="0.0">
                  <c:v>-289.88119287805597</c:v>
                </c:pt>
                <c:pt idx="64" formatCode="0.0">
                  <c:v>-246.06241632635485</c:v>
                </c:pt>
                <c:pt idx="65" formatCode="0.0">
                  <c:v>-269.15989562641226</c:v>
                </c:pt>
                <c:pt idx="66" formatCode="0.0">
                  <c:v>-280.53179493638424</c:v>
                </c:pt>
                <c:pt idx="67" formatCode="0.0">
                  <c:v>-258.85314345117769</c:v>
                </c:pt>
                <c:pt idx="68" formatCode="0.0">
                  <c:v>-239.71553741653744</c:v>
                </c:pt>
                <c:pt idx="69" formatCode="0.0">
                  <c:v>-207.99562247296441</c:v>
                </c:pt>
                <c:pt idx="70" formatCode="0.0">
                  <c:v>-198.93404269222486</c:v>
                </c:pt>
                <c:pt idx="71" formatCode="0.0">
                  <c:v>-208.65348992246135</c:v>
                </c:pt>
                <c:pt idx="72" formatCode="0.0">
                  <c:v>-141.49350752900992</c:v>
                </c:pt>
                <c:pt idx="73" formatCode="0.0">
                  <c:v>-145.23972785284275</c:v>
                </c:pt>
                <c:pt idx="74" formatCode="0.0">
                  <c:v>-168.18884063150145</c:v>
                </c:pt>
                <c:pt idx="75" formatCode="0.0">
                  <c:v>-161.62837078314791</c:v>
                </c:pt>
                <c:pt idx="76" formatCode="0.0">
                  <c:v>-168.68993157442992</c:v>
                </c:pt>
                <c:pt idx="77" formatCode="0.0">
                  <c:v>-159.04307858035776</c:v>
                </c:pt>
                <c:pt idx="93" formatCode="0.0">
                  <c:v>-155.77418907354124</c:v>
                </c:pt>
                <c:pt idx="94" formatCode="0.0">
                  <c:v>-157.82003717874525</c:v>
                </c:pt>
                <c:pt idx="95" formatCode="0.0">
                  <c:v>-142.39221657725375</c:v>
                </c:pt>
                <c:pt idx="96" formatCode="0.0">
                  <c:v>-148.02459307407199</c:v>
                </c:pt>
                <c:pt idx="97" formatCode="0.0">
                  <c:v>-138.65630334770734</c:v>
                </c:pt>
                <c:pt idx="98" formatCode="0.0">
                  <c:v>-127.04385928933904</c:v>
                </c:pt>
                <c:pt idx="99" formatCode="0.0">
                  <c:v>-133.75757960337631</c:v>
                </c:pt>
                <c:pt idx="100" formatCode="0.0">
                  <c:v>-98.098672812482889</c:v>
                </c:pt>
                <c:pt idx="101" formatCode="0.0">
                  <c:v>-89.072139772963993</c:v>
                </c:pt>
                <c:pt idx="102" formatCode="0.0">
                  <c:v>-105.17965432442328</c:v>
                </c:pt>
                <c:pt idx="103" formatCode="0.0">
                  <c:v>-108.10663218312503</c:v>
                </c:pt>
                <c:pt idx="104" formatCode="0.0">
                  <c:v>-106.63535635464551</c:v>
                </c:pt>
                <c:pt idx="105" formatCode="0.0">
                  <c:v>-101.12886134555218</c:v>
                </c:pt>
                <c:pt idx="106" formatCode="0.0">
                  <c:v>-113.90090151683238</c:v>
                </c:pt>
                <c:pt idx="107" formatCode="0.0">
                  <c:v>-110.94199892779898</c:v>
                </c:pt>
                <c:pt idx="108" formatCode="0.0">
                  <c:v>-112.40556329220554</c:v>
                </c:pt>
                <c:pt idx="109" formatCode="0.0">
                  <c:v>-118.1869776253584</c:v>
                </c:pt>
                <c:pt idx="110" formatCode="0.0">
                  <c:v>-125.72511390081102</c:v>
                </c:pt>
                <c:pt idx="111" formatCode="0.0">
                  <c:v>-126.27018188621777</c:v>
                </c:pt>
                <c:pt idx="112" formatCode="0.0">
                  <c:v>-127.57586552606449</c:v>
                </c:pt>
                <c:pt idx="113" formatCode="0.0">
                  <c:v>-105.53247697326374</c:v>
                </c:pt>
                <c:pt idx="114" formatCode="0.0">
                  <c:v>-98.870749525694194</c:v>
                </c:pt>
                <c:pt idx="115" formatCode="0.0">
                  <c:v>-94.385020619865585</c:v>
                </c:pt>
                <c:pt idx="116" formatCode="0.0">
                  <c:v>-68.58187335525912</c:v>
                </c:pt>
                <c:pt idx="117" formatCode="0.0">
                  <c:v>-57.573414067638922</c:v>
                </c:pt>
                <c:pt idx="118" formatCode="0.0">
                  <c:v>-65.219403862655412</c:v>
                </c:pt>
                <c:pt idx="119" formatCode="0.0">
                  <c:v>-65.021898285882202</c:v>
                </c:pt>
                <c:pt idx="120" formatCode="0.0">
                  <c:v>-97.307794768409309</c:v>
                </c:pt>
                <c:pt idx="121" formatCode="0.0">
                  <c:v>-138.70684601643012</c:v>
                </c:pt>
                <c:pt idx="122" formatCode="0.0">
                  <c:v>-186.41596802183645</c:v>
                </c:pt>
                <c:pt idx="123" formatCode="0.0">
                  <c:v>-229.88950239793527</c:v>
                </c:pt>
                <c:pt idx="124" formatCode="0.0">
                  <c:v>-235.98355338934471</c:v>
                </c:pt>
                <c:pt idx="125" formatCode="0.0">
                  <c:v>-221.70834133687313</c:v>
                </c:pt>
                <c:pt idx="126" formatCode="0.0">
                  <c:v>-235.93413661173221</c:v>
                </c:pt>
                <c:pt idx="127" formatCode="0.0">
                  <c:v>-207.37304277345717</c:v>
                </c:pt>
                <c:pt idx="128" formatCode="0.0">
                  <c:v>-183.53231863093239</c:v>
                </c:pt>
                <c:pt idx="129" formatCode="0.0">
                  <c:v>-148.49909459726263</c:v>
                </c:pt>
                <c:pt idx="130" formatCode="0.0">
                  <c:v>-113.24397318392458</c:v>
                </c:pt>
                <c:pt idx="131" formatCode="0.0">
                  <c:v>-114.3401956790683</c:v>
                </c:pt>
                <c:pt idx="132" formatCode="0.0">
                  <c:v>-148.01578702541272</c:v>
                </c:pt>
                <c:pt idx="133" formatCode="0.0">
                  <c:v>-160.90600380473302</c:v>
                </c:pt>
                <c:pt idx="134" formatCode="0.0">
                  <c:v>-173.21131512219216</c:v>
                </c:pt>
                <c:pt idx="135" formatCode="0.0">
                  <c:v>-186.23629612354952</c:v>
                </c:pt>
                <c:pt idx="136" formatCode="0.0">
                  <c:v>-199.35224403194655</c:v>
                </c:pt>
                <c:pt idx="137" formatCode="0.0">
                  <c:v>-230.22844585066531</c:v>
                </c:pt>
                <c:pt idx="138" formatCode="0.0">
                  <c:v>-226.41235079550711</c:v>
                </c:pt>
                <c:pt idx="139" formatCode="0.0">
                  <c:v>-197.83851031908574</c:v>
                </c:pt>
                <c:pt idx="140" formatCode="0.0">
                  <c:v>-195.90125863415088</c:v>
                </c:pt>
                <c:pt idx="141" formatCode="0.0">
                  <c:v>-194.20473523649602</c:v>
                </c:pt>
                <c:pt idx="142" formatCode="0.0">
                  <c:v>-158.81294248412161</c:v>
                </c:pt>
                <c:pt idx="143" formatCode="0.0">
                  <c:v>-135.75878459879505</c:v>
                </c:pt>
                <c:pt idx="144" formatCode="0.0">
                  <c:v>-110.06022782636896</c:v>
                </c:pt>
                <c:pt idx="145" formatCode="0.0">
                  <c:v>-114.66114829000519</c:v>
                </c:pt>
                <c:pt idx="146" formatCode="0.0">
                  <c:v>-128.92821769207649</c:v>
                </c:pt>
                <c:pt idx="147" formatCode="0.0">
                  <c:v>-165.97096581378324</c:v>
                </c:pt>
                <c:pt idx="148" formatCode="0.0">
                  <c:v>-170.31724317549779</c:v>
                </c:pt>
                <c:pt idx="149" formatCode="0.0">
                  <c:v>-214.71178481014627</c:v>
                </c:pt>
                <c:pt idx="150" formatCode="0.0">
                  <c:v>-280.95299692291599</c:v>
                </c:pt>
                <c:pt idx="151" formatCode="0.0">
                  <c:v>-337.82024674321605</c:v>
                </c:pt>
                <c:pt idx="152" formatCode="0.0">
                  <c:v>-339.42802696087102</c:v>
                </c:pt>
                <c:pt idx="153" formatCode="0.0">
                  <c:v>-334.63034533763226</c:v>
                </c:pt>
                <c:pt idx="154" formatCode="0.0">
                  <c:v>-295.30086437355266</c:v>
                </c:pt>
                <c:pt idx="155" formatCode="0.0">
                  <c:v>-298.6087927350988</c:v>
                </c:pt>
                <c:pt idx="156" formatCode="0.0">
                  <c:v>-266.31240114633476</c:v>
                </c:pt>
                <c:pt idx="157" formatCode="0.0">
                  <c:v>-210.75485220485356</c:v>
                </c:pt>
                <c:pt idx="158" formatCode="0.0">
                  <c:v>-177.50293731086302</c:v>
                </c:pt>
                <c:pt idx="159" formatCode="0.0">
                  <c:v>-173.00838636796522</c:v>
                </c:pt>
                <c:pt idx="160" formatCode="0.0">
                  <c:v>-177.43250498885575</c:v>
                </c:pt>
                <c:pt idx="161" formatCode="0.0">
                  <c:v>-184.32316094902572</c:v>
                </c:pt>
                <c:pt idx="162" formatCode="0.0">
                  <c:v>-190.64214553577813</c:v>
                </c:pt>
                <c:pt idx="163" formatCode="0.0">
                  <c:v>-204.41006722122304</c:v>
                </c:pt>
                <c:pt idx="164" formatCode="0.0">
                  <c:v>-222.23628245111036</c:v>
                </c:pt>
                <c:pt idx="165" formatCode="0.0">
                  <c:v>-221.81673779357976</c:v>
                </c:pt>
                <c:pt idx="166" formatCode="0.0">
                  <c:v>-249.02525556322138</c:v>
                </c:pt>
                <c:pt idx="167" formatCode="0.0">
                  <c:v>-245.41080287586584</c:v>
                </c:pt>
                <c:pt idx="168" formatCode="0.0">
                  <c:v>-225.63085618042447</c:v>
                </c:pt>
                <c:pt idx="169" formatCode="0.0">
                  <c:v>-222.3514698910723</c:v>
                </c:pt>
                <c:pt idx="170" formatCode="0.0">
                  <c:v>-200.93515543969355</c:v>
                </c:pt>
              </c:numCache>
            </c:numRef>
          </c:val>
          <c:smooth val="0"/>
          <c:extLst>
            <c:ext xmlns:c16="http://schemas.microsoft.com/office/drawing/2014/chart" uri="{C3380CC4-5D6E-409C-BE32-E72D297353CC}">
              <c16:uniqueId val="{00000004-0A4D-441A-B0A6-C69852457427}"/>
            </c:ext>
          </c:extLst>
        </c:ser>
        <c:dLbls>
          <c:showLegendKey val="0"/>
          <c:showVal val="0"/>
          <c:showCatName val="0"/>
          <c:showSerName val="0"/>
          <c:showPercent val="0"/>
          <c:showBubbleSize val="0"/>
        </c:dLbls>
        <c:marker val="1"/>
        <c:smooth val="0"/>
        <c:axId val="301117408"/>
        <c:axId val="301117800"/>
      </c:lineChart>
      <c:scatterChart>
        <c:scatterStyle val="lineMarker"/>
        <c:varyColors val="0"/>
        <c:ser>
          <c:idx val="2"/>
          <c:order val="3"/>
          <c:tx>
            <c:v>Zero</c:v>
          </c:tx>
          <c:spPr>
            <a:ln w="6350">
              <a:solidFill>
                <a:schemeClr val="tx1"/>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5-0A4D-441A-B0A6-C69852457427}"/>
            </c:ext>
          </c:extLst>
        </c:ser>
        <c:ser>
          <c:idx val="4"/>
          <c:order val="4"/>
          <c:tx>
            <c:v>Sample Dates</c:v>
          </c:tx>
          <c:spPr>
            <a:ln>
              <a:noFill/>
            </a:ln>
          </c:spPr>
          <c:marker>
            <c:symbol val="triangle"/>
            <c:size val="7"/>
            <c:spPr>
              <a:noFill/>
              <a:ln>
                <a:solidFill>
                  <a:schemeClr val="tx1"/>
                </a:solidFill>
              </a:ln>
            </c:spPr>
          </c:marker>
          <c:xVal>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Lit>
              <c:formatCode>General</c:formatCode>
              <c:ptCount val="20"/>
              <c:pt idx="0">
                <c:v>-500</c:v>
              </c:pt>
              <c:pt idx="1">
                <c:v>-500</c:v>
              </c:pt>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numLit>
          </c:yVal>
          <c:smooth val="0"/>
          <c:extLst>
            <c:ext xmlns:c16="http://schemas.microsoft.com/office/drawing/2014/chart" uri="{C3380CC4-5D6E-409C-BE32-E72D297353CC}">
              <c16:uniqueId val="{00000006-0A4D-441A-B0A6-C69852457427}"/>
            </c:ext>
          </c:extLst>
        </c:ser>
        <c:dLbls>
          <c:showLegendKey val="0"/>
          <c:showVal val="0"/>
          <c:showCatName val="0"/>
          <c:showSerName val="0"/>
          <c:showPercent val="0"/>
          <c:showBubbleSize val="0"/>
        </c:dLbls>
        <c:axId val="301118584"/>
        <c:axId val="301118192"/>
      </c:scatterChart>
      <c:dateAx>
        <c:axId val="301117408"/>
        <c:scaling>
          <c:orientation val="minMax"/>
          <c:max val="41548"/>
          <c:min val="41365"/>
        </c:scaling>
        <c:delete val="0"/>
        <c:axPos val="b"/>
        <c:numFmt formatCode="mmm" sourceLinked="0"/>
        <c:majorTickMark val="out"/>
        <c:minorTickMark val="none"/>
        <c:tickLblPos val="nextTo"/>
        <c:crossAx val="301117800"/>
        <c:crossesAt val="-600"/>
        <c:auto val="1"/>
        <c:lblOffset val="100"/>
        <c:baseTimeUnit val="days"/>
        <c:majorUnit val="1"/>
        <c:majorTimeUnit val="months"/>
      </c:dateAx>
      <c:valAx>
        <c:axId val="301117800"/>
        <c:scaling>
          <c:orientation val="minMax"/>
          <c:max val="600"/>
          <c:min val="-600"/>
        </c:scaling>
        <c:delete val="0"/>
        <c:axPos val="l"/>
        <c:title>
          <c:tx>
            <c:rich>
              <a:bodyPr/>
              <a:lstStyle/>
              <a:p>
                <a:pPr>
                  <a:defRPr b="0"/>
                </a:pPr>
                <a:r>
                  <a:rPr lang="en-US" b="0"/>
                  <a:t>Open-water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1117408"/>
        <c:crosses val="autoZero"/>
        <c:crossBetween val="between"/>
      </c:valAx>
      <c:valAx>
        <c:axId val="301118192"/>
        <c:scaling>
          <c:orientation val="minMax"/>
          <c:max val="600"/>
          <c:min val="-600"/>
        </c:scaling>
        <c:delete val="0"/>
        <c:axPos val="r"/>
        <c:numFmt formatCode="0" sourceLinked="0"/>
        <c:majorTickMark val="out"/>
        <c:minorTickMark val="none"/>
        <c:tickLblPos val="none"/>
        <c:spPr>
          <a:ln>
            <a:solidFill>
              <a:schemeClr val="tx1"/>
            </a:solidFill>
          </a:ln>
        </c:spPr>
        <c:crossAx val="301118584"/>
        <c:crosses val="max"/>
        <c:crossBetween val="between"/>
        <c:majorUnit val="200"/>
      </c:valAx>
      <c:catAx>
        <c:axId val="301118584"/>
        <c:scaling>
          <c:orientation val="minMax"/>
        </c:scaling>
        <c:delete val="1"/>
        <c:axPos val="b"/>
        <c:numFmt formatCode="[$-409]d\-mmm;@" sourceLinked="1"/>
        <c:majorTickMark val="out"/>
        <c:minorTickMark val="none"/>
        <c:tickLblPos val="nextTo"/>
        <c:crossAx val="301118192"/>
        <c:crosses val="autoZero"/>
        <c:auto val="0"/>
        <c:lblAlgn val="ctr"/>
        <c:lblOffset val="100"/>
        <c:noMultiLvlLbl val="0"/>
      </c:catAx>
      <c:spPr>
        <a:ln>
          <a:solidFill>
            <a:sysClr val="windowText" lastClr="000000"/>
          </a:solidFill>
        </a:ln>
      </c:spPr>
    </c:plotArea>
    <c:legend>
      <c:legendPos val="r"/>
      <c:legendEntry>
        <c:idx val="3"/>
        <c:delete val="1"/>
      </c:legendEntry>
      <c:layout>
        <c:manualLayout>
          <c:xMode val="edge"/>
          <c:yMode val="edge"/>
          <c:x val="0.52324074074074078"/>
          <c:y val="7.1886419694432241E-2"/>
          <c:w val="0.20592592592592596"/>
          <c:h val="0.22999644755610213"/>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7669902912623"/>
          <c:y val="0.12222238799694554"/>
          <c:w val="0.83009708737864085"/>
          <c:h val="0.622223066166268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'SP01'!$F$3:$F$174</c:f>
              <c:numCache>
                <c:formatCode>0.00</c:formatCode>
                <c:ptCount val="172"/>
                <c:pt idx="0">
                  <c:v>1.025089037881294</c:v>
                </c:pt>
                <c:pt idx="1">
                  <c:v>1.0409051773893052</c:v>
                </c:pt>
                <c:pt idx="2">
                  <c:v>0.91428024866729585</c:v>
                </c:pt>
                <c:pt idx="3">
                  <c:v>0.98031449566868722</c:v>
                </c:pt>
                <c:pt idx="4">
                  <c:v>1.0825009392001343</c:v>
                </c:pt>
                <c:pt idx="5">
                  <c:v>1.073502273767353</c:v>
                </c:pt>
                <c:pt idx="6">
                  <c:v>1.0180098160277606</c:v>
                </c:pt>
                <c:pt idx="7">
                  <c:v>0.93401384407887644</c:v>
                </c:pt>
                <c:pt idx="8">
                  <c:v>1.0123492935139027</c:v>
                </c:pt>
                <c:pt idx="9">
                  <c:v>1.0576589010281126</c:v>
                </c:pt>
                <c:pt idx="10">
                  <c:v>1.0978436226976043</c:v>
                </c:pt>
                <c:pt idx="11">
                  <c:v>1.0884804936332872</c:v>
                </c:pt>
                <c:pt idx="12">
                  <c:v>1.0305918168965478</c:v>
                </c:pt>
                <c:pt idx="13">
                  <c:v>1.0290306317467235</c:v>
                </c:pt>
                <c:pt idx="14">
                  <c:v>1.0949237727281893</c:v>
                </c:pt>
                <c:pt idx="15">
                  <c:v>1.0856379707752879</c:v>
                </c:pt>
                <c:pt idx="16">
                  <c:v>1.0651360124024827</c:v>
                </c:pt>
                <c:pt idx="17">
                  <c:v>1.0485161459387407</c:v>
                </c:pt>
                <c:pt idx="18">
                  <c:v>1.0170207739732655</c:v>
                </c:pt>
                <c:pt idx="19">
                  <c:v>0.96557650693653418</c:v>
                </c:pt>
                <c:pt idx="20">
                  <c:v>0.97931539685658631</c:v>
                </c:pt>
                <c:pt idx="21">
                  <c:v>0.98512176565185072</c:v>
                </c:pt>
                <c:pt idx="22">
                  <c:v>1.0022994414872037</c:v>
                </c:pt>
                <c:pt idx="23">
                  <c:v>0.99166997870122497</c:v>
                </c:pt>
                <c:pt idx="24">
                  <c:v>1.0178347398314527</c:v>
                </c:pt>
                <c:pt idx="25">
                  <c:v>1.0563193818109473</c:v>
                </c:pt>
                <c:pt idx="26">
                  <c:v>1.1121832890106005</c:v>
                </c:pt>
                <c:pt idx="27">
                  <c:v>1.1281014735654342</c:v>
                </c:pt>
                <c:pt idx="28">
                  <c:v>1.0067452938687136</c:v>
                </c:pt>
                <c:pt idx="29">
                  <c:v>0.99751807807918913</c:v>
                </c:pt>
                <c:pt idx="30">
                  <c:v>1.0170730474294263</c:v>
                </c:pt>
                <c:pt idx="31">
                  <c:v>1.0503280153527765</c:v>
                </c:pt>
                <c:pt idx="32">
                  <c:v>1.0734657840598454</c:v>
                </c:pt>
                <c:pt idx="33">
                  <c:v>1.0752391338791987</c:v>
                </c:pt>
                <c:pt idx="34">
                  <c:v>1.070117049979294</c:v>
                </c:pt>
                <c:pt idx="35">
                  <c:v>1.0893740433463301</c:v>
                </c:pt>
                <c:pt idx="36">
                  <c:v>1.1157732956656092</c:v>
                </c:pt>
                <c:pt idx="37">
                  <c:v>1.1231965194487235</c:v>
                </c:pt>
                <c:pt idx="38">
                  <c:v>1.1319453661829653</c:v>
                </c:pt>
                <c:pt idx="39">
                  <c:v>1.0524197591558182</c:v>
                </c:pt>
                <c:pt idx="40">
                  <c:v>1.1188965260015709</c:v>
                </c:pt>
                <c:pt idx="41">
                  <c:v>1.0746233802610317</c:v>
                </c:pt>
                <c:pt idx="42">
                  <c:v>0.99997563894411401</c:v>
                </c:pt>
                <c:pt idx="43">
                  <c:v>1.0618404365276743</c:v>
                </c:pt>
                <c:pt idx="44">
                  <c:v>1.0536609185360841</c:v>
                </c:pt>
                <c:pt idx="45">
                  <c:v>1.0588639767523473</c:v>
                </c:pt>
                <c:pt idx="46">
                  <c:v>1.023942170275925</c:v>
                </c:pt>
                <c:pt idx="47">
                  <c:v>1.0252736142571477</c:v>
                </c:pt>
                <c:pt idx="48">
                  <c:v>1.0286415833726543</c:v>
                </c:pt>
                <c:pt idx="49">
                  <c:v>1.0373280376526866</c:v>
                </c:pt>
                <c:pt idx="50">
                  <c:v>1.0561931020733857</c:v>
                </c:pt>
                <c:pt idx="51">
                  <c:v>1.0550932375923843</c:v>
                </c:pt>
                <c:pt idx="52">
                  <c:v>1.1097625183176316</c:v>
                </c:pt>
                <c:pt idx="53">
                  <c:v>1.098830747403116</c:v>
                </c:pt>
                <c:pt idx="54">
                  <c:v>1.0444712853949942</c:v>
                </c:pt>
                <c:pt idx="55">
                  <c:v>1.031732575980987</c:v>
                </c:pt>
                <c:pt idx="56">
                  <c:v>0.97067633412972931</c:v>
                </c:pt>
                <c:pt idx="57">
                  <c:v>1.1185040122965588</c:v>
                </c:pt>
                <c:pt idx="58">
                  <c:v>0.86529282955145626</c:v>
                </c:pt>
                <c:pt idx="59">
                  <c:v>0.97807318438932345</c:v>
                </c:pt>
                <c:pt idx="60">
                  <c:v>1.1217038029672595</c:v>
                </c:pt>
                <c:pt idx="61">
                  <c:v>1.1021636274748068</c:v>
                </c:pt>
                <c:pt idx="62">
                  <c:v>1.0747305558830467</c:v>
                </c:pt>
                <c:pt idx="63">
                  <c:v>1.1098631421666683</c:v>
                </c:pt>
                <c:pt idx="64">
                  <c:v>1.1637987247637673</c:v>
                </c:pt>
                <c:pt idx="65">
                  <c:v>1.0831096713176522</c:v>
                </c:pt>
                <c:pt idx="66">
                  <c:v>1.1238071665635887</c:v>
                </c:pt>
                <c:pt idx="67">
                  <c:v>1.0970723779623299</c:v>
                </c:pt>
                <c:pt idx="68">
                  <c:v>1.1434942942592301</c:v>
                </c:pt>
                <c:pt idx="69">
                  <c:v>1.1026574139593022</c:v>
                </c:pt>
                <c:pt idx="70">
                  <c:v>1.0781602280918385</c:v>
                </c:pt>
                <c:pt idx="71">
                  <c:v>1.2066557332705898</c:v>
                </c:pt>
                <c:pt idx="72">
                  <c:v>1.0407143360853344</c:v>
                </c:pt>
                <c:pt idx="73">
                  <c:v>1.1136881571088042</c:v>
                </c:pt>
                <c:pt idx="74">
                  <c:v>1.1014446452312814</c:v>
                </c:pt>
                <c:pt idx="75">
                  <c:v>1.1117004595774198</c:v>
                </c:pt>
                <c:pt idx="76">
                  <c:v>1.0733985802031902</c:v>
                </c:pt>
                <c:pt idx="77">
                  <c:v>1.0686174004251776</c:v>
                </c:pt>
                <c:pt idx="78">
                  <c:v>0.99613873486962135</c:v>
                </c:pt>
                <c:pt idx="79">
                  <c:v>1.0183018382565263</c:v>
                </c:pt>
                <c:pt idx="80">
                  <c:v>1.0289385421395782</c:v>
                </c:pt>
                <c:pt idx="90">
                  <c:v>0.94747513656599169</c:v>
                </c:pt>
                <c:pt idx="91">
                  <c:v>1.0717870542108108</c:v>
                </c:pt>
                <c:pt idx="92">
                  <c:v>0.97530961749648126</c:v>
                </c:pt>
                <c:pt idx="93">
                  <c:v>0.9847546893478426</c:v>
                </c:pt>
                <c:pt idx="94">
                  <c:v>0.95506030455640956</c:v>
                </c:pt>
                <c:pt idx="95">
                  <c:v>0.992602212338623</c:v>
                </c:pt>
                <c:pt idx="96">
                  <c:v>1.0397173620205533</c:v>
                </c:pt>
                <c:pt idx="97">
                  <c:v>1.0479579043287348</c:v>
                </c:pt>
                <c:pt idx="98">
                  <c:v>0.91953484443698796</c:v>
                </c:pt>
                <c:pt idx="99">
                  <c:v>0.90332908968273262</c:v>
                </c:pt>
                <c:pt idx="100">
                  <c:v>0.91028374052934247</c:v>
                </c:pt>
                <c:pt idx="101">
                  <c:v>0.90887136898991783</c:v>
                </c:pt>
                <c:pt idx="102">
                  <c:v>0.95414674905153884</c:v>
                </c:pt>
                <c:pt idx="103">
                  <c:v>0.96797189845361753</c:v>
                </c:pt>
                <c:pt idx="104">
                  <c:v>1.0547577328761959</c:v>
                </c:pt>
                <c:pt idx="105">
                  <c:v>1.0424871754051337</c:v>
                </c:pt>
                <c:pt idx="106">
                  <c:v>0.93147203466074602</c:v>
                </c:pt>
                <c:pt idx="107">
                  <c:v>0.94714966480260177</c:v>
                </c:pt>
                <c:pt idx="108">
                  <c:v>0.98500052852809372</c:v>
                </c:pt>
                <c:pt idx="109">
                  <c:v>1.0641426882972318</c:v>
                </c:pt>
                <c:pt idx="110">
                  <c:v>0.99608809657590269</c:v>
                </c:pt>
                <c:pt idx="111">
                  <c:v>0.94683263466864676</c:v>
                </c:pt>
                <c:pt idx="112">
                  <c:v>1.0533090920876951</c:v>
                </c:pt>
                <c:pt idx="113">
                  <c:v>1.0044431187515579</c:v>
                </c:pt>
                <c:pt idx="114">
                  <c:v>0.97637629092668343</c:v>
                </c:pt>
                <c:pt idx="115">
                  <c:v>0.99104614745203978</c:v>
                </c:pt>
                <c:pt idx="116">
                  <c:v>0.96255627556929646</c:v>
                </c:pt>
                <c:pt idx="117">
                  <c:v>0.99067029127164385</c:v>
                </c:pt>
                <c:pt idx="118">
                  <c:v>0.97226465768382164</c:v>
                </c:pt>
                <c:pt idx="119">
                  <c:v>1.0257333075637105</c:v>
                </c:pt>
                <c:pt idx="120">
                  <c:v>1.015810028599972</c:v>
                </c:pt>
                <c:pt idx="121">
                  <c:v>1.01826205860526</c:v>
                </c:pt>
                <c:pt idx="122">
                  <c:v>1.0115622603727294</c:v>
                </c:pt>
                <c:pt idx="123">
                  <c:v>0.93190491138998122</c:v>
                </c:pt>
                <c:pt idx="124">
                  <c:v>0.8902350249157398</c:v>
                </c:pt>
                <c:pt idx="125">
                  <c:v>0.8382364557311871</c:v>
                </c:pt>
                <c:pt idx="126">
                  <c:v>0.78046968799558147</c:v>
                </c:pt>
                <c:pt idx="127">
                  <c:v>0.86467607198897856</c:v>
                </c:pt>
                <c:pt idx="128">
                  <c:v>0.91714348442152549</c:v>
                </c:pt>
                <c:pt idx="129">
                  <c:v>1.1363254451900102</c:v>
                </c:pt>
                <c:pt idx="130">
                  <c:v>1.0377092701004036</c:v>
                </c:pt>
                <c:pt idx="131">
                  <c:v>1.0845551096522519</c:v>
                </c:pt>
                <c:pt idx="132">
                  <c:v>1.0631113196259518</c:v>
                </c:pt>
                <c:pt idx="133">
                  <c:v>0.92018592220323203</c:v>
                </c:pt>
                <c:pt idx="134">
                  <c:v>0.88469071718392145</c:v>
                </c:pt>
                <c:pt idx="135">
                  <c:v>1.0256033429818618</c:v>
                </c:pt>
                <c:pt idx="136">
                  <c:v>1.0660162467286547</c:v>
                </c:pt>
                <c:pt idx="137">
                  <c:v>1.1361460877515124</c:v>
                </c:pt>
                <c:pt idx="138">
                  <c:v>1.1229135242828889</c:v>
                </c:pt>
                <c:pt idx="139">
                  <c:v>1.1766892247387197</c:v>
                </c:pt>
                <c:pt idx="140">
                  <c:v>1.1118922113030496</c:v>
                </c:pt>
                <c:pt idx="141">
                  <c:v>1.0600354491041704</c:v>
                </c:pt>
                <c:pt idx="142">
                  <c:v>1.1478116227505606</c:v>
                </c:pt>
                <c:pt idx="143">
                  <c:v>1.1913297731946855</c:v>
                </c:pt>
                <c:pt idx="144">
                  <c:v>1.1565587813221734</c:v>
                </c:pt>
                <c:pt idx="145">
                  <c:v>1.2944044343765582</c:v>
                </c:pt>
                <c:pt idx="146">
                  <c:v>1.3173909943917634</c:v>
                </c:pt>
                <c:pt idx="147">
                  <c:v>1.3116217185268015</c:v>
                </c:pt>
                <c:pt idx="148">
                  <c:v>1.3104363865349293</c:v>
                </c:pt>
                <c:pt idx="149">
                  <c:v>1.2431073884020192</c:v>
                </c:pt>
                <c:pt idx="150">
                  <c:v>1.2064402822666045</c:v>
                </c:pt>
                <c:pt idx="151">
                  <c:v>1.1017326671984575</c:v>
                </c:pt>
                <c:pt idx="152">
                  <c:v>1.0453923333623993</c:v>
                </c:pt>
                <c:pt idx="153">
                  <c:v>1.0600308728407513</c:v>
                </c:pt>
                <c:pt idx="154">
                  <c:v>0.98322711987963596</c:v>
                </c:pt>
                <c:pt idx="155">
                  <c:v>0.91493861264104837</c:v>
                </c:pt>
                <c:pt idx="156">
                  <c:v>1.0295834013335365</c:v>
                </c:pt>
                <c:pt idx="157">
                  <c:v>1.0461114206662494</c:v>
                </c:pt>
                <c:pt idx="158">
                  <c:v>1.0999986672159927</c:v>
                </c:pt>
                <c:pt idx="159">
                  <c:v>1.0594754066931167</c:v>
                </c:pt>
                <c:pt idx="160">
                  <c:v>1.0405102892447673</c:v>
                </c:pt>
                <c:pt idx="161">
                  <c:v>1.0715745063314073</c:v>
                </c:pt>
                <c:pt idx="162">
                  <c:v>0.93251378841917221</c:v>
                </c:pt>
                <c:pt idx="163">
                  <c:v>0.89847088053080781</c:v>
                </c:pt>
                <c:pt idx="164">
                  <c:v>1.0192091576297284</c:v>
                </c:pt>
                <c:pt idx="165">
                  <c:v>0.93342051304497631</c:v>
                </c:pt>
                <c:pt idx="166">
                  <c:v>1.0292404979674317</c:v>
                </c:pt>
                <c:pt idx="167">
                  <c:v>1.0523183812920707</c:v>
                </c:pt>
                <c:pt idx="168">
                  <c:v>1.0530181240102994</c:v>
                </c:pt>
                <c:pt idx="169">
                  <c:v>1.076814068967918</c:v>
                </c:pt>
                <c:pt idx="170">
                  <c:v>1.00348486140811</c:v>
                </c:pt>
                <c:pt idx="171">
                  <c:v>0.95556932052913046</c:v>
                </c:pt>
              </c:numCache>
            </c:numRef>
          </c:yVal>
          <c:smooth val="0"/>
          <c:extLst>
            <c:ext xmlns:c16="http://schemas.microsoft.com/office/drawing/2014/chart" uri="{C3380CC4-5D6E-409C-BE32-E72D297353CC}">
              <c16:uniqueId val="{00000000-846B-4BCB-9FBC-74674D5F2161}"/>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'SP02'!$F$3:$F$174</c:f>
              <c:numCache>
                <c:formatCode>0.00</c:formatCode>
                <c:ptCount val="172"/>
                <c:pt idx="0">
                  <c:v>0.98897156192992874</c:v>
                </c:pt>
                <c:pt idx="1">
                  <c:v>1.0005771345107934</c:v>
                </c:pt>
                <c:pt idx="2">
                  <c:v>0.93536465725541829</c:v>
                </c:pt>
                <c:pt idx="3">
                  <c:v>0.94400021736976181</c:v>
                </c:pt>
                <c:pt idx="4">
                  <c:v>0.99059839000595717</c:v>
                </c:pt>
                <c:pt idx="5">
                  <c:v>1.0122751478219705</c:v>
                </c:pt>
                <c:pt idx="6">
                  <c:v>1.0046885496533475</c:v>
                </c:pt>
                <c:pt idx="7">
                  <c:v>0.95371361535804156</c:v>
                </c:pt>
                <c:pt idx="8">
                  <c:v>0.97212323659118749</c:v>
                </c:pt>
                <c:pt idx="9">
                  <c:v>1.0226924751952164</c:v>
                </c:pt>
                <c:pt idx="10">
                  <c:v>1.0367705926017052</c:v>
                </c:pt>
                <c:pt idx="11">
                  <c:v>1.0294003405730143</c:v>
                </c:pt>
                <c:pt idx="12">
                  <c:v>1.0109141362994567</c:v>
                </c:pt>
                <c:pt idx="13">
                  <c:v>1.0094821216088945</c:v>
                </c:pt>
                <c:pt idx="14">
                  <c:v>1.0241306658520497</c:v>
                </c:pt>
                <c:pt idx="15">
                  <c:v>1.0237585425789431</c:v>
                </c:pt>
                <c:pt idx="16">
                  <c:v>1.0261943333338672</c:v>
                </c:pt>
                <c:pt idx="17">
                  <c:v>1.0144598109831187</c:v>
                </c:pt>
                <c:pt idx="18">
                  <c:v>0.99549043007400861</c:v>
                </c:pt>
                <c:pt idx="19">
                  <c:v>0.95723756312199981</c:v>
                </c:pt>
                <c:pt idx="20">
                  <c:v>0.94949305831817321</c:v>
                </c:pt>
                <c:pt idx="21">
                  <c:v>0.95003198362094354</c:v>
                </c:pt>
                <c:pt idx="22">
                  <c:v>0.95884530621450059</c:v>
                </c:pt>
                <c:pt idx="23">
                  <c:v>0.95870657260709813</c:v>
                </c:pt>
                <c:pt idx="24">
                  <c:v>0.9409686172963968</c:v>
                </c:pt>
                <c:pt idx="25">
                  <c:v>0.94170826162301813</c:v>
                </c:pt>
                <c:pt idx="26">
                  <c:v>0.96151966059650495</c:v>
                </c:pt>
                <c:pt idx="27">
                  <c:v>0.99674350885209773</c:v>
                </c:pt>
                <c:pt idx="28">
                  <c:v>0.97266458303734782</c:v>
                </c:pt>
                <c:pt idx="29">
                  <c:v>0.95847811079403034</c:v>
                </c:pt>
                <c:pt idx="30">
                  <c:v>0.97791405523854014</c:v>
                </c:pt>
                <c:pt idx="31">
                  <c:v>0.99210863023594253</c:v>
                </c:pt>
                <c:pt idx="32">
                  <c:v>1.0129752912728993</c:v>
                </c:pt>
                <c:pt idx="33">
                  <c:v>1.0177553206364223</c:v>
                </c:pt>
                <c:pt idx="34">
                  <c:v>1.0045048791344222</c:v>
                </c:pt>
                <c:pt idx="35">
                  <c:v>0.99955354689374909</c:v>
                </c:pt>
                <c:pt idx="36">
                  <c:v>0.99588555102961152</c:v>
                </c:pt>
                <c:pt idx="37">
                  <c:v>0.98870712936970329</c:v>
                </c:pt>
                <c:pt idx="38">
                  <c:v>1.0025125083336957</c:v>
                </c:pt>
                <c:pt idx="39">
                  <c:v>1.0076632385669109</c:v>
                </c:pt>
                <c:pt idx="40">
                  <c:v>0.99379276384387916</c:v>
                </c:pt>
                <c:pt idx="41">
                  <c:v>0.98469821671847013</c:v>
                </c:pt>
                <c:pt idx="42">
                  <c:v>0.95434544103292918</c:v>
                </c:pt>
                <c:pt idx="43">
                  <c:v>0.96055092572958678</c:v>
                </c:pt>
                <c:pt idx="44">
                  <c:v>0.97374725470839796</c:v>
                </c:pt>
                <c:pt idx="45">
                  <c:v>0.99041872589099222</c:v>
                </c:pt>
                <c:pt idx="46">
                  <c:v>0.97217208279330103</c:v>
                </c:pt>
                <c:pt idx="47">
                  <c:v>0.96255658097523156</c:v>
                </c:pt>
                <c:pt idx="48">
                  <c:v>0.96858274693700164</c:v>
                </c:pt>
                <c:pt idx="49">
                  <c:v>0.97375547717651856</c:v>
                </c:pt>
                <c:pt idx="50">
                  <c:v>0.97835012151933876</c:v>
                </c:pt>
                <c:pt idx="51">
                  <c:v>0.97813512208161846</c:v>
                </c:pt>
                <c:pt idx="52">
                  <c:v>0.98121406676249812</c:v>
                </c:pt>
                <c:pt idx="53">
                  <c:v>0.95681711467108332</c:v>
                </c:pt>
                <c:pt idx="54">
                  <c:v>0.96192034798036463</c:v>
                </c:pt>
                <c:pt idx="55">
                  <c:v>0.9639047296745088</c:v>
                </c:pt>
                <c:pt idx="56">
                  <c:v>0.96038532489956185</c:v>
                </c:pt>
                <c:pt idx="57">
                  <c:v>0.95798099007294413</c:v>
                </c:pt>
                <c:pt idx="58">
                  <c:v>0.91487214944543638</c:v>
                </c:pt>
                <c:pt idx="59">
                  <c:v>0.94002669263063865</c:v>
                </c:pt>
                <c:pt idx="60">
                  <c:v>0.98419609550023546</c:v>
                </c:pt>
                <c:pt idx="61">
                  <c:v>1.0004798802654167</c:v>
                </c:pt>
                <c:pt idx="62">
                  <c:v>0.98509481965627332</c:v>
                </c:pt>
                <c:pt idx="63">
                  <c:v>0.98717360377798558</c:v>
                </c:pt>
                <c:pt idx="64">
                  <c:v>1.0012758051348849</c:v>
                </c:pt>
                <c:pt idx="65">
                  <c:v>0.99021136075776039</c:v>
                </c:pt>
                <c:pt idx="66">
                  <c:v>0.98595577373585941</c:v>
                </c:pt>
                <c:pt idx="67">
                  <c:v>0.97367629609111495</c:v>
                </c:pt>
                <c:pt idx="68">
                  <c:v>1.0086826761830368</c:v>
                </c:pt>
                <c:pt idx="69">
                  <c:v>1.0186275358369088</c:v>
                </c:pt>
                <c:pt idx="70">
                  <c:v>1.01758334031838</c:v>
                </c:pt>
                <c:pt idx="71">
                  <c:v>1.0118886510521101</c:v>
                </c:pt>
                <c:pt idx="72">
                  <c:v>0.99575060805829441</c:v>
                </c:pt>
                <c:pt idx="73">
                  <c:v>1.0120554924173832</c:v>
                </c:pt>
                <c:pt idx="74">
                  <c:v>1.0355597377183872</c:v>
                </c:pt>
                <c:pt idx="75">
                  <c:v>1.0223250280991298</c:v>
                </c:pt>
                <c:pt idx="76">
                  <c:v>1.0067947246757967</c:v>
                </c:pt>
                <c:pt idx="77">
                  <c:v>0.99466236918971385</c:v>
                </c:pt>
                <c:pt idx="78">
                  <c:v>0.97393869527796439</c:v>
                </c:pt>
                <c:pt idx="79">
                  <c:v>0.96868730477697185</c:v>
                </c:pt>
                <c:pt idx="80">
                  <c:v>0.98919433424410241</c:v>
                </c:pt>
                <c:pt idx="90">
                  <c:v>1.0099193848215755</c:v>
                </c:pt>
                <c:pt idx="91">
                  <c:v>1.0433002467216932</c:v>
                </c:pt>
                <c:pt idx="92">
                  <c:v>1.0249291781848229</c:v>
                </c:pt>
                <c:pt idx="93">
                  <c:v>1.029841600400317</c:v>
                </c:pt>
                <c:pt idx="94">
                  <c:v>1.0141989728137211</c:v>
                </c:pt>
                <c:pt idx="95">
                  <c:v>0.99717372691286232</c:v>
                </c:pt>
                <c:pt idx="96">
                  <c:v>1.0550649152049274</c:v>
                </c:pt>
                <c:pt idx="97">
                  <c:v>1.067288643369998</c:v>
                </c:pt>
                <c:pt idx="98">
                  <c:v>1.001774041783692</c:v>
                </c:pt>
                <c:pt idx="99">
                  <c:v>0.97517674924746045</c:v>
                </c:pt>
                <c:pt idx="100">
                  <c:v>0.94460622322984023</c:v>
                </c:pt>
                <c:pt idx="101">
                  <c:v>0.91994771458178903</c:v>
                </c:pt>
                <c:pt idx="102">
                  <c:v>0.97433965092577923</c:v>
                </c:pt>
                <c:pt idx="103">
                  <c:v>1.0176062840011051</c:v>
                </c:pt>
                <c:pt idx="104">
                  <c:v>1.0655614621484741</c:v>
                </c:pt>
                <c:pt idx="105">
                  <c:v>1.0897007768881219</c:v>
                </c:pt>
                <c:pt idx="106">
                  <c:v>1.0190518421601147</c:v>
                </c:pt>
                <c:pt idx="107">
                  <c:v>1.0135530739680405</c:v>
                </c:pt>
                <c:pt idx="108">
                  <c:v>1.0542360521625072</c:v>
                </c:pt>
                <c:pt idx="109">
                  <c:v>1.0956602722018289</c:v>
                </c:pt>
                <c:pt idx="110">
                  <c:v>1.0608038244978475</c:v>
                </c:pt>
                <c:pt idx="111">
                  <c:v>1.0156657463394854</c:v>
                </c:pt>
                <c:pt idx="112">
                  <c:v>1.0409137302051878</c:v>
                </c:pt>
                <c:pt idx="113">
                  <c:v>1.034301403841978</c:v>
                </c:pt>
                <c:pt idx="114">
                  <c:v>1.0274096931520182</c:v>
                </c:pt>
                <c:pt idx="115">
                  <c:v>1.0235808068747472</c:v>
                </c:pt>
                <c:pt idx="116">
                  <c:v>1.019479177963903</c:v>
                </c:pt>
                <c:pt idx="117">
                  <c:v>1.0307340455704193</c:v>
                </c:pt>
                <c:pt idx="118">
                  <c:v>1.0225035369825979</c:v>
                </c:pt>
                <c:pt idx="119">
                  <c:v>1.0192890644747608</c:v>
                </c:pt>
                <c:pt idx="120">
                  <c:v>1.0269920785227049</c:v>
                </c:pt>
                <c:pt idx="121">
                  <c:v>1.0361094359284921</c:v>
                </c:pt>
                <c:pt idx="122">
                  <c:v>1.0302945529694039</c:v>
                </c:pt>
                <c:pt idx="123">
                  <c:v>0.97048818573242268</c:v>
                </c:pt>
                <c:pt idx="124">
                  <c:v>0.9890031083785531</c:v>
                </c:pt>
                <c:pt idx="125">
                  <c:v>0.98952030992348095</c:v>
                </c:pt>
                <c:pt idx="126">
                  <c:v>0.94597300282436125</c:v>
                </c:pt>
                <c:pt idx="127">
                  <c:v>0.92087745738128512</c:v>
                </c:pt>
                <c:pt idx="128">
                  <c:v>0.95938803269374784</c:v>
                </c:pt>
                <c:pt idx="129">
                  <c:v>1.0971592137936614</c:v>
                </c:pt>
                <c:pt idx="130">
                  <c:v>1.0952663260529434</c:v>
                </c:pt>
                <c:pt idx="131">
                  <c:v>1.0757580705997911</c:v>
                </c:pt>
                <c:pt idx="132">
                  <c:v>1.0526086280436773</c:v>
                </c:pt>
                <c:pt idx="133">
                  <c:v>0.97568787753830677</c:v>
                </c:pt>
                <c:pt idx="134">
                  <c:v>0.94031510040907751</c:v>
                </c:pt>
                <c:pt idx="135">
                  <c:v>0.98538991504180018</c:v>
                </c:pt>
                <c:pt idx="136">
                  <c:v>1.0485782047891765</c:v>
                </c:pt>
                <c:pt idx="137">
                  <c:v>1.1150880628053266</c:v>
                </c:pt>
                <c:pt idx="138">
                  <c:v>1.1671886649893497</c:v>
                </c:pt>
                <c:pt idx="139">
                  <c:v>1.2009387492547494</c:v>
                </c:pt>
                <c:pt idx="140">
                  <c:v>1.1493802319139625</c:v>
                </c:pt>
                <c:pt idx="141">
                  <c:v>1.1000556232427285</c:v>
                </c:pt>
                <c:pt idx="142">
                  <c:v>1.1824131644277829</c:v>
                </c:pt>
                <c:pt idx="143">
                  <c:v>1.1987462867511243</c:v>
                </c:pt>
                <c:pt idx="144">
                  <c:v>1.1863024171634338</c:v>
                </c:pt>
                <c:pt idx="145">
                  <c:v>1.2888765998649798</c:v>
                </c:pt>
                <c:pt idx="146">
                  <c:v>1.3534177141502226</c:v>
                </c:pt>
                <c:pt idx="147">
                  <c:v>1.3413986255093429</c:v>
                </c:pt>
                <c:pt idx="148">
                  <c:v>1.3201350453400555</c:v>
                </c:pt>
                <c:pt idx="149">
                  <c:v>1.2869241336338142</c:v>
                </c:pt>
                <c:pt idx="150">
                  <c:v>1.2857651495712246</c:v>
                </c:pt>
                <c:pt idx="151">
                  <c:v>1.1642836789685862</c:v>
                </c:pt>
                <c:pt idx="152">
                  <c:v>1.1373280649567583</c:v>
                </c:pt>
                <c:pt idx="153">
                  <c:v>1.0885053200857906</c:v>
                </c:pt>
                <c:pt idx="154">
                  <c:v>1.0615383383769583</c:v>
                </c:pt>
                <c:pt idx="155">
                  <c:v>0.97432504328062997</c:v>
                </c:pt>
                <c:pt idx="156">
                  <c:v>1.0424046284883579</c:v>
                </c:pt>
                <c:pt idx="157">
                  <c:v>1.044874423298823</c:v>
                </c:pt>
                <c:pt idx="158">
                  <c:v>1.115181179695935</c:v>
                </c:pt>
                <c:pt idx="159">
                  <c:v>1.0259933261045939</c:v>
                </c:pt>
                <c:pt idx="160">
                  <c:v>1.000507593422461</c:v>
                </c:pt>
                <c:pt idx="161">
                  <c:v>1.0245632721739639</c:v>
                </c:pt>
                <c:pt idx="162">
                  <c:v>0.99689024556977845</c:v>
                </c:pt>
                <c:pt idx="163">
                  <c:v>0.93867288250646419</c:v>
                </c:pt>
                <c:pt idx="164">
                  <c:v>0.96396630903002833</c:v>
                </c:pt>
                <c:pt idx="165">
                  <c:v>0.92729230478961744</c:v>
                </c:pt>
                <c:pt idx="166">
                  <c:v>0.97484489970776556</c:v>
                </c:pt>
                <c:pt idx="167">
                  <c:v>0.99338267062379881</c:v>
                </c:pt>
                <c:pt idx="168">
                  <c:v>0.98252500554013789</c:v>
                </c:pt>
                <c:pt idx="169">
                  <c:v>0.98975905557634991</c:v>
                </c:pt>
                <c:pt idx="170">
                  <c:v>0.98022340936603625</c:v>
                </c:pt>
                <c:pt idx="171">
                  <c:v>0.98436989061839142</c:v>
                </c:pt>
              </c:numCache>
            </c:numRef>
          </c:yVal>
          <c:smooth val="0"/>
          <c:extLst>
            <c:ext xmlns:c16="http://schemas.microsoft.com/office/drawing/2014/chart" uri="{C3380CC4-5D6E-409C-BE32-E72D297353CC}">
              <c16:uniqueId val="{00000001-846B-4BCB-9FBC-74674D5F2161}"/>
            </c:ext>
          </c:extLst>
        </c:ser>
        <c:ser>
          <c:idx val="2"/>
          <c:order val="2"/>
          <c:tx>
            <c:v>1:1</c:v>
          </c:tx>
          <c:spPr>
            <a:ln w="12700">
              <a:solidFill>
                <a:srgbClr val="000000"/>
              </a:solidFill>
              <a:prstDash val="lgDash"/>
            </a:ln>
          </c:spPr>
          <c:marker>
            <c:symbol val="none"/>
          </c:marker>
          <c:xVal>
            <c:numLit>
              <c:formatCode>General</c:formatCode>
              <c:ptCount val="2"/>
              <c:pt idx="0">
                <c:v>41365</c:v>
              </c:pt>
              <c:pt idx="1">
                <c:v>41547</c:v>
              </c:pt>
            </c:numLit>
          </c:xVal>
          <c:yVal>
            <c:numLit>
              <c:formatCode>General</c:formatCode>
              <c:ptCount val="2"/>
              <c:pt idx="0">
                <c:v>1</c:v>
              </c:pt>
              <c:pt idx="1">
                <c:v>1</c:v>
              </c:pt>
            </c:numLit>
          </c:yVal>
          <c:smooth val="0"/>
          <c:extLst>
            <c:ext xmlns:c16="http://schemas.microsoft.com/office/drawing/2014/chart" uri="{C3380CC4-5D6E-409C-BE32-E72D297353CC}">
              <c16:uniqueId val="{00000002-846B-4BCB-9FBC-74674D5F2161}"/>
            </c:ext>
          </c:extLst>
        </c:ser>
        <c:dLbls>
          <c:showLegendKey val="0"/>
          <c:showVal val="0"/>
          <c:showCatName val="0"/>
          <c:showSerName val="0"/>
          <c:showPercent val="0"/>
          <c:showBubbleSize val="0"/>
        </c:dLbls>
        <c:axId val="263337088"/>
        <c:axId val="263337480"/>
      </c:scatterChart>
      <c:valAx>
        <c:axId val="263337088"/>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7480"/>
        <c:crosses val="autoZero"/>
        <c:crossBetween val="midCat"/>
        <c:majorUnit val="30.6"/>
      </c:valAx>
      <c:valAx>
        <c:axId val="263337480"/>
        <c:scaling>
          <c:orientation val="minMax"/>
          <c:max val="1.35"/>
          <c:min val="0.75000000000000022"/>
        </c:scaling>
        <c:delete val="0"/>
        <c:axPos val="l"/>
        <c:title>
          <c:tx>
            <c:rich>
              <a:bodyPr/>
              <a:lstStyle/>
              <a:p>
                <a:pPr>
                  <a:defRPr sz="1000" b="0" i="0" u="none" strike="noStrike" baseline="0">
                    <a:solidFill>
                      <a:srgbClr val="000000"/>
                    </a:solidFill>
                    <a:latin typeface="Arial"/>
                    <a:ea typeface="Arial"/>
                    <a:cs typeface="Arial"/>
                  </a:defRPr>
                </a:pPr>
                <a:r>
                  <a:rPr lang="en-US"/>
                  <a:t>DO
(% sat.)</a:t>
                </a:r>
              </a:p>
            </c:rich>
          </c:tx>
          <c:layout>
            <c:manualLayout>
              <c:xMode val="edge"/>
              <c:yMode val="edge"/>
              <c:x val="9.7357830271216101E-3"/>
              <c:y val="0.210527147961926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7088"/>
        <c:crosses val="autoZero"/>
        <c:crossBetween val="midCat"/>
        <c:majorUnit val="0.2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'SP02'!$Z$3:$Z$176</c:f>
              <c:numCache>
                <c:formatCode>0</c:formatCode>
                <c:ptCount val="174"/>
                <c:pt idx="3">
                  <c:v>-7.4421019695142006</c:v>
                </c:pt>
                <c:pt idx="4">
                  <c:v>-8.8534629676238499</c:v>
                </c:pt>
                <c:pt idx="5">
                  <c:v>-1.5126914585145994</c:v>
                </c:pt>
                <c:pt idx="6">
                  <c:v>23.168068963560081</c:v>
                </c:pt>
                <c:pt idx="7">
                  <c:v>17.03037653869934</c:v>
                </c:pt>
                <c:pt idx="8">
                  <c:v>16.597259555037073</c:v>
                </c:pt>
                <c:pt idx="9">
                  <c:v>1.9696657887526985</c:v>
                </c:pt>
                <c:pt idx="10">
                  <c:v>15.184080210281467</c:v>
                </c:pt>
                <c:pt idx="11">
                  <c:v>18.352860216186439</c:v>
                </c:pt>
                <c:pt idx="12">
                  <c:v>4.1957625096731714</c:v>
                </c:pt>
                <c:pt idx="13">
                  <c:v>-12.823624976140982</c:v>
                </c:pt>
                <c:pt idx="14">
                  <c:v>-14.005694738706209</c:v>
                </c:pt>
                <c:pt idx="15">
                  <c:v>-27.740118801467133</c:v>
                </c:pt>
                <c:pt idx="16">
                  <c:v>-21.861964959732063</c:v>
                </c:pt>
                <c:pt idx="17">
                  <c:v>-28.21774231349583</c:v>
                </c:pt>
                <c:pt idx="18">
                  <c:v>-27.803708575342714</c:v>
                </c:pt>
                <c:pt idx="19">
                  <c:v>-13.383896092273449</c:v>
                </c:pt>
                <c:pt idx="20">
                  <c:v>-10.591307582815395</c:v>
                </c:pt>
                <c:pt idx="21">
                  <c:v>-13.967158696290729</c:v>
                </c:pt>
                <c:pt idx="22">
                  <c:v>-0.15196801543359278</c:v>
                </c:pt>
                <c:pt idx="23">
                  <c:v>15.867767720307736</c:v>
                </c:pt>
                <c:pt idx="24">
                  <c:v>5.4900469169132791</c:v>
                </c:pt>
                <c:pt idx="25">
                  <c:v>-6.225014084294842</c:v>
                </c:pt>
                <c:pt idx="26">
                  <c:v>-9.7482750960930726</c:v>
                </c:pt>
                <c:pt idx="27">
                  <c:v>-4.6866305218465545</c:v>
                </c:pt>
                <c:pt idx="28">
                  <c:v>9.232347692508954</c:v>
                </c:pt>
                <c:pt idx="29">
                  <c:v>9.1680101810991665</c:v>
                </c:pt>
                <c:pt idx="30">
                  <c:v>-5.5939989926244396</c:v>
                </c:pt>
                <c:pt idx="31">
                  <c:v>-1.9612247604342039</c:v>
                </c:pt>
                <c:pt idx="32">
                  <c:v>4.3302712680224067</c:v>
                </c:pt>
                <c:pt idx="33">
                  <c:v>-4.4012323023924642</c:v>
                </c:pt>
                <c:pt idx="34">
                  <c:v>-10.359600292494404</c:v>
                </c:pt>
                <c:pt idx="35">
                  <c:v>-16.572532269770935</c:v>
                </c:pt>
                <c:pt idx="36">
                  <c:v>-22.623584710509267</c:v>
                </c:pt>
                <c:pt idx="37">
                  <c:v>-14.499970710639953</c:v>
                </c:pt>
                <c:pt idx="38">
                  <c:v>-13.839529726181704</c:v>
                </c:pt>
                <c:pt idx="39">
                  <c:v>-13.386679662702297</c:v>
                </c:pt>
                <c:pt idx="40">
                  <c:v>-4.1871129193927015</c:v>
                </c:pt>
                <c:pt idx="41">
                  <c:v>2.2401118662094239</c:v>
                </c:pt>
                <c:pt idx="42">
                  <c:v>-6.7480587367628271</c:v>
                </c:pt>
                <c:pt idx="43">
                  <c:v>-9.3695901759459552</c:v>
                </c:pt>
                <c:pt idx="44">
                  <c:v>-12.223233373649668</c:v>
                </c:pt>
                <c:pt idx="45">
                  <c:v>-4.7221848840630951</c:v>
                </c:pt>
                <c:pt idx="46">
                  <c:v>1.6427988641462374</c:v>
                </c:pt>
                <c:pt idx="47">
                  <c:v>4.8610319384867547E-2</c:v>
                </c:pt>
                <c:pt idx="48">
                  <c:v>-5.3902387185325944</c:v>
                </c:pt>
                <c:pt idx="49">
                  <c:v>6.0709846335547423E-3</c:v>
                </c:pt>
                <c:pt idx="50">
                  <c:v>1.7076326812913354</c:v>
                </c:pt>
                <c:pt idx="51">
                  <c:v>-0.67333729742357618</c:v>
                </c:pt>
                <c:pt idx="52">
                  <c:v>2.2522913580362789</c:v>
                </c:pt>
                <c:pt idx="53">
                  <c:v>-5.0756201073752383</c:v>
                </c:pt>
                <c:pt idx="54">
                  <c:v>-9.0738046103865688</c:v>
                </c:pt>
                <c:pt idx="55">
                  <c:v>-13.296434013606634</c:v>
                </c:pt>
                <c:pt idx="56">
                  <c:v>-3.0589176047975286</c:v>
                </c:pt>
                <c:pt idx="57">
                  <c:v>3.8742583939625805</c:v>
                </c:pt>
                <c:pt idx="58">
                  <c:v>4.6640684408455551</c:v>
                </c:pt>
                <c:pt idx="59">
                  <c:v>-7.9757863820512762</c:v>
                </c:pt>
                <c:pt idx="60">
                  <c:v>0.93438865272323468</c:v>
                </c:pt>
                <c:pt idx="61">
                  <c:v>3.9040089255368287</c:v>
                </c:pt>
                <c:pt idx="62">
                  <c:v>8.2382875548953756</c:v>
                </c:pt>
                <c:pt idx="63">
                  <c:v>-2.5130397436902814</c:v>
                </c:pt>
                <c:pt idx="64">
                  <c:v>-8.0600290849939018</c:v>
                </c:pt>
                <c:pt idx="65">
                  <c:v>-1.4561011484624413</c:v>
                </c:pt>
                <c:pt idx="66">
                  <c:v>0.15020992706621428</c:v>
                </c:pt>
                <c:pt idx="67">
                  <c:v>4.805929885121567</c:v>
                </c:pt>
                <c:pt idx="68">
                  <c:v>4.6049906369107338</c:v>
                </c:pt>
                <c:pt idx="69">
                  <c:v>0.83755486272059243</c:v>
                </c:pt>
                <c:pt idx="70">
                  <c:v>6.9851801709617023</c:v>
                </c:pt>
                <c:pt idx="71">
                  <c:v>9.1660789568693311</c:v>
                </c:pt>
                <c:pt idx="72">
                  <c:v>1.3867275832541341</c:v>
                </c:pt>
                <c:pt idx="73">
                  <c:v>-1.2894780041334042</c:v>
                </c:pt>
                <c:pt idx="74">
                  <c:v>-9.9842183079144231</c:v>
                </c:pt>
                <c:pt idx="75">
                  <c:v>-20.491563486176432</c:v>
                </c:pt>
                <c:pt idx="76">
                  <c:v>1.1142062600764493E-2</c:v>
                </c:pt>
                <c:pt idx="77">
                  <c:v>-6.0702625817306046</c:v>
                </c:pt>
                <c:pt idx="93">
                  <c:v>-1.6676560823265834</c:v>
                </c:pt>
                <c:pt idx="94">
                  <c:v>3.9079450141142353</c:v>
                </c:pt>
                <c:pt idx="95">
                  <c:v>-13.421777620367022</c:v>
                </c:pt>
                <c:pt idx="96">
                  <c:v>-20.340788479509172</c:v>
                </c:pt>
                <c:pt idx="97">
                  <c:v>-30.510458324389386</c:v>
                </c:pt>
                <c:pt idx="98">
                  <c:v>-19.298381280072821</c:v>
                </c:pt>
                <c:pt idx="99">
                  <c:v>-16.69904554874693</c:v>
                </c:pt>
                <c:pt idx="100">
                  <c:v>-8.9915866091226544</c:v>
                </c:pt>
                <c:pt idx="101">
                  <c:v>-7.4707507298171913</c:v>
                </c:pt>
                <c:pt idx="102">
                  <c:v>14.910460912092649</c:v>
                </c:pt>
                <c:pt idx="103">
                  <c:v>13.753708672780109</c:v>
                </c:pt>
                <c:pt idx="104">
                  <c:v>21.391566741825933</c:v>
                </c:pt>
                <c:pt idx="105">
                  <c:v>27.184017534849982</c:v>
                </c:pt>
                <c:pt idx="106">
                  <c:v>27.302225625421528</c:v>
                </c:pt>
                <c:pt idx="107">
                  <c:v>6.5031422948702033</c:v>
                </c:pt>
                <c:pt idx="108">
                  <c:v>1.0494504308541508</c:v>
                </c:pt>
                <c:pt idx="109">
                  <c:v>-4.3439591618774687</c:v>
                </c:pt>
                <c:pt idx="110">
                  <c:v>-5.4718381928027782</c:v>
                </c:pt>
                <c:pt idx="111">
                  <c:v>-6.0152185444584303</c:v>
                </c:pt>
                <c:pt idx="112">
                  <c:v>-16.035677598228691</c:v>
                </c:pt>
                <c:pt idx="113">
                  <c:v>-12.899141293367004</c:v>
                </c:pt>
                <c:pt idx="114">
                  <c:v>-1.8870644119072406</c:v>
                </c:pt>
                <c:pt idx="115">
                  <c:v>-0.14453199516426757</c:v>
                </c:pt>
                <c:pt idx="116">
                  <c:v>-8.4583486564875194</c:v>
                </c:pt>
                <c:pt idx="117">
                  <c:v>12.305538947926729</c:v>
                </c:pt>
                <c:pt idx="118">
                  <c:v>8.5850499689153015</c:v>
                </c:pt>
                <c:pt idx="119">
                  <c:v>9.713463513947536</c:v>
                </c:pt>
                <c:pt idx="120">
                  <c:v>-3.4407158264607136</c:v>
                </c:pt>
                <c:pt idx="121">
                  <c:v>-4.7222179412883714</c:v>
                </c:pt>
                <c:pt idx="122">
                  <c:v>-10.27104388905488</c:v>
                </c:pt>
                <c:pt idx="123">
                  <c:v>-2.2221712069490382</c:v>
                </c:pt>
                <c:pt idx="124">
                  <c:v>-7.4313574287194273</c:v>
                </c:pt>
                <c:pt idx="125">
                  <c:v>1.1510383303402298</c:v>
                </c:pt>
                <c:pt idx="126">
                  <c:v>25.871441256697633</c:v>
                </c:pt>
                <c:pt idx="127">
                  <c:v>26.216161070337446</c:v>
                </c:pt>
                <c:pt idx="128">
                  <c:v>15.006141410970615</c:v>
                </c:pt>
                <c:pt idx="129">
                  <c:v>21.402778101213844</c:v>
                </c:pt>
                <c:pt idx="130">
                  <c:v>1.8208529072435908</c:v>
                </c:pt>
                <c:pt idx="131">
                  <c:v>-10.289087939511351</c:v>
                </c:pt>
                <c:pt idx="132">
                  <c:v>-1.2989899210862035</c:v>
                </c:pt>
                <c:pt idx="133">
                  <c:v>-12.780928793403916</c:v>
                </c:pt>
                <c:pt idx="134">
                  <c:v>8.2676976637418331</c:v>
                </c:pt>
                <c:pt idx="135">
                  <c:v>15.326000827753123</c:v>
                </c:pt>
                <c:pt idx="136">
                  <c:v>11.83514945211348</c:v>
                </c:pt>
                <c:pt idx="137">
                  <c:v>11.218877254654972</c:v>
                </c:pt>
                <c:pt idx="138">
                  <c:v>50.147140437337058</c:v>
                </c:pt>
                <c:pt idx="139">
                  <c:v>29.658293954571885</c:v>
                </c:pt>
                <c:pt idx="140">
                  <c:v>17.145403591309726</c:v>
                </c:pt>
                <c:pt idx="141">
                  <c:v>13.537258473820604</c:v>
                </c:pt>
                <c:pt idx="142">
                  <c:v>32.976881151555283</c:v>
                </c:pt>
                <c:pt idx="143">
                  <c:v>46.679499602973451</c:v>
                </c:pt>
                <c:pt idx="144">
                  <c:v>65.715480283494827</c:v>
                </c:pt>
                <c:pt idx="145">
                  <c:v>28.725948562416381</c:v>
                </c:pt>
                <c:pt idx="146">
                  <c:v>17.649302777123182</c:v>
                </c:pt>
                <c:pt idx="147">
                  <c:v>25.27408828671965</c:v>
                </c:pt>
                <c:pt idx="148">
                  <c:v>-14.410985227519896</c:v>
                </c:pt>
                <c:pt idx="149">
                  <c:v>-35.405192904579998</c:v>
                </c:pt>
                <c:pt idx="150">
                  <c:v>-55.254391979994217</c:v>
                </c:pt>
                <c:pt idx="151">
                  <c:v>-85.023288086861257</c:v>
                </c:pt>
                <c:pt idx="152">
                  <c:v>-60.695227149687057</c:v>
                </c:pt>
                <c:pt idx="153">
                  <c:v>-29.288781154646646</c:v>
                </c:pt>
                <c:pt idx="154">
                  <c:v>-44.056682427096042</c:v>
                </c:pt>
                <c:pt idx="155">
                  <c:v>-15.710130389249473</c:v>
                </c:pt>
                <c:pt idx="156">
                  <c:v>-14.300819057553696</c:v>
                </c:pt>
                <c:pt idx="157">
                  <c:v>-2.5974322410800204</c:v>
                </c:pt>
                <c:pt idx="158">
                  <c:v>11.810618768788727</c:v>
                </c:pt>
                <c:pt idx="159">
                  <c:v>3.3208527877014102E-2</c:v>
                </c:pt>
                <c:pt idx="160">
                  <c:v>-23.450195098495616</c:v>
                </c:pt>
                <c:pt idx="161">
                  <c:v>-16.313819590965597</c:v>
                </c:pt>
                <c:pt idx="162">
                  <c:v>-18.161405943952424</c:v>
                </c:pt>
                <c:pt idx="163">
                  <c:v>-7.0037426304639085</c:v>
                </c:pt>
                <c:pt idx="164">
                  <c:v>-12.889808994211903</c:v>
                </c:pt>
                <c:pt idx="165">
                  <c:v>7.2240101594123116</c:v>
                </c:pt>
                <c:pt idx="166">
                  <c:v>0.29400431906115898</c:v>
                </c:pt>
                <c:pt idx="167">
                  <c:v>11.782472702264428</c:v>
                </c:pt>
                <c:pt idx="168">
                  <c:v>10.747000879706439</c:v>
                </c:pt>
                <c:pt idx="169">
                  <c:v>17.099371099526874</c:v>
                </c:pt>
                <c:pt idx="170">
                  <c:v>7.392321591442963</c:v>
                </c:pt>
              </c:numCache>
            </c:numRef>
          </c:val>
          <c:extLst>
            <c:ext xmlns:c16="http://schemas.microsoft.com/office/drawing/2014/chart" uri="{C3380CC4-5D6E-409C-BE32-E72D297353CC}">
              <c16:uniqueId val="{00000000-E244-44A6-8F1D-B537D602F847}"/>
            </c:ext>
          </c:extLst>
        </c:ser>
        <c:dLbls>
          <c:showLegendKey val="0"/>
          <c:showVal val="0"/>
          <c:showCatName val="0"/>
          <c:showSerName val="0"/>
          <c:showPercent val="0"/>
          <c:showBubbleSize val="0"/>
        </c:dLbls>
        <c:gapWidth val="260"/>
        <c:overlap val="1"/>
        <c:axId val="301120544"/>
        <c:axId val="301120152"/>
      </c:barChart>
      <c:lineChart>
        <c:grouping val="standard"/>
        <c:varyColors val="0"/>
        <c:ser>
          <c:idx val="0"/>
          <c:order val="0"/>
          <c:tx>
            <c:v>Production</c:v>
          </c:tx>
          <c:spPr>
            <a:ln w="9525">
              <a:noFill/>
            </a:ln>
          </c:spPr>
          <c:marker>
            <c:symbol val="circle"/>
            <c:size val="4"/>
            <c:spPr>
              <a:solidFill>
                <a:schemeClr val="tx1"/>
              </a:solidFill>
              <a:ln>
                <a:solidFill>
                  <a:schemeClr val="tx1"/>
                </a:solidFill>
              </a:ln>
            </c:spPr>
          </c:marker>
          <c:dPt>
            <c:idx val="11"/>
            <c:bubble3D val="0"/>
            <c:extLst>
              <c:ext xmlns:c16="http://schemas.microsoft.com/office/drawing/2014/chart" uri="{C3380CC4-5D6E-409C-BE32-E72D297353CC}">
                <c16:uniqueId val="{00000001-E244-44A6-8F1D-B537D602F847}"/>
              </c:ext>
            </c:extLst>
          </c:dPt>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'SP02'!$X$3:$X$176</c:f>
              <c:numCache>
                <c:formatCode>0</c:formatCode>
                <c:ptCount val="174"/>
                <c:pt idx="3">
                  <c:v>58.153573129389841</c:v>
                </c:pt>
                <c:pt idx="4">
                  <c:v>51.923709020338165</c:v>
                </c:pt>
                <c:pt idx="5">
                  <c:v>77.293128023344025</c:v>
                </c:pt>
                <c:pt idx="6">
                  <c:v>133.74873112486415</c:v>
                </c:pt>
                <c:pt idx="7">
                  <c:v>145.57638362822786</c:v>
                </c:pt>
                <c:pt idx="8">
                  <c:v>152.64930689753609</c:v>
                </c:pt>
                <c:pt idx="9">
                  <c:v>140.93598300024678</c:v>
                </c:pt>
                <c:pt idx="10">
                  <c:v>147.43952306592428</c:v>
                </c:pt>
                <c:pt idx="11">
                  <c:v>155.81799486668152</c:v>
                </c:pt>
                <c:pt idx="12">
                  <c:v>111.51367558655606</c:v>
                </c:pt>
                <c:pt idx="13">
                  <c:v>71.602049261278282</c:v>
                </c:pt>
                <c:pt idx="14">
                  <c:v>50.103687872771779</c:v>
                </c:pt>
                <c:pt idx="15">
                  <c:v>29.604032745957284</c:v>
                </c:pt>
                <c:pt idx="16">
                  <c:v>32.904020552085967</c:v>
                </c:pt>
                <c:pt idx="17">
                  <c:v>37.904167484129971</c:v>
                </c:pt>
                <c:pt idx="18">
                  <c:v>42.556643358874453</c:v>
                </c:pt>
                <c:pt idx="19">
                  <c:v>71.379094450971692</c:v>
                </c:pt>
                <c:pt idx="20">
                  <c:v>82.532638773179272</c:v>
                </c:pt>
                <c:pt idx="21">
                  <c:v>94.640039904071187</c:v>
                </c:pt>
                <c:pt idx="22">
                  <c:v>96.364068660707034</c:v>
                </c:pt>
                <c:pt idx="23">
                  <c:v>79.212146736237983</c:v>
                </c:pt>
                <c:pt idx="24">
                  <c:v>60.495430291008695</c:v>
                </c:pt>
                <c:pt idx="25">
                  <c:v>65.657043384959763</c:v>
                </c:pt>
                <c:pt idx="26">
                  <c:v>62.413284061864225</c:v>
                </c:pt>
                <c:pt idx="27">
                  <c:v>72.139807120636249</c:v>
                </c:pt>
                <c:pt idx="28">
                  <c:v>67.594430840306302</c:v>
                </c:pt>
                <c:pt idx="29">
                  <c:v>71.424788005881553</c:v>
                </c:pt>
                <c:pt idx="30">
                  <c:v>92.78455626424433</c:v>
                </c:pt>
                <c:pt idx="31">
                  <c:v>94.485639168107156</c:v>
                </c:pt>
                <c:pt idx="32">
                  <c:v>77.5086937834227</c:v>
                </c:pt>
                <c:pt idx="33">
                  <c:v>64.979255388549703</c:v>
                </c:pt>
                <c:pt idx="34">
                  <c:v>54.851893169690371</c:v>
                </c:pt>
                <c:pt idx="35">
                  <c:v>60.249658949841482</c:v>
                </c:pt>
                <c:pt idx="36">
                  <c:v>69.576426494823224</c:v>
                </c:pt>
                <c:pt idx="37">
                  <c:v>68.092701361472606</c:v>
                </c:pt>
                <c:pt idx="38">
                  <c:v>73.486434531920509</c:v>
                </c:pt>
                <c:pt idx="39">
                  <c:v>80.203880271676212</c:v>
                </c:pt>
                <c:pt idx="40">
                  <c:v>82.74359978865445</c:v>
                </c:pt>
                <c:pt idx="41">
                  <c:v>73.393500543646809</c:v>
                </c:pt>
                <c:pt idx="42">
                  <c:v>84.267353464978854</c:v>
                </c:pt>
                <c:pt idx="43">
                  <c:v>88.808276347632997</c:v>
                </c:pt>
                <c:pt idx="44">
                  <c:v>104.0915221838428</c:v>
                </c:pt>
                <c:pt idx="45">
                  <c:v>119.88136934226405</c:v>
                </c:pt>
                <c:pt idx="46">
                  <c:v>124.48741859115289</c:v>
                </c:pt>
                <c:pt idx="47">
                  <c:v>139.05631564354292</c:v>
                </c:pt>
                <c:pt idx="48">
                  <c:v>148.87488459106075</c:v>
                </c:pt>
                <c:pt idx="49">
                  <c:v>137.81417200611628</c:v>
                </c:pt>
                <c:pt idx="50">
                  <c:v>112.08831691688668</c:v>
                </c:pt>
                <c:pt idx="51">
                  <c:v>97.078049421081616</c:v>
                </c:pt>
                <c:pt idx="52">
                  <c:v>83.806221149128277</c:v>
                </c:pt>
                <c:pt idx="53">
                  <c:v>81.064372720399206</c:v>
                </c:pt>
                <c:pt idx="54">
                  <c:v>65.50690214092414</c:v>
                </c:pt>
                <c:pt idx="55">
                  <c:v>59.761448778220071</c:v>
                </c:pt>
                <c:pt idx="56">
                  <c:v>60.679682370996474</c:v>
                </c:pt>
                <c:pt idx="57">
                  <c:v>85.704814074020618</c:v>
                </c:pt>
                <c:pt idx="58">
                  <c:v>93.623460667852754</c:v>
                </c:pt>
                <c:pt idx="59">
                  <c:v>103.78279458428418</c:v>
                </c:pt>
                <c:pt idx="60">
                  <c:v>105.06312887380707</c:v>
                </c:pt>
                <c:pt idx="61">
                  <c:v>141.68082966314222</c:v>
                </c:pt>
                <c:pt idx="62">
                  <c:v>149.39152870506589</c:v>
                </c:pt>
                <c:pt idx="63">
                  <c:v>149.78032215272771</c:v>
                </c:pt>
                <c:pt idx="64">
                  <c:v>150.81818977669712</c:v>
                </c:pt>
                <c:pt idx="65">
                  <c:v>191.67707649313022</c:v>
                </c:pt>
                <c:pt idx="66">
                  <c:v>226.07437167898303</c:v>
                </c:pt>
                <c:pt idx="67">
                  <c:v>243.86434693367758</c:v>
                </c:pt>
                <c:pt idx="68">
                  <c:v>225.02769944427669</c:v>
                </c:pt>
                <c:pt idx="69">
                  <c:v>216.79562092070654</c:v>
                </c:pt>
                <c:pt idx="70">
                  <c:v>218.66745827362408</c:v>
                </c:pt>
                <c:pt idx="71">
                  <c:v>226.15665753367784</c:v>
                </c:pt>
                <c:pt idx="72">
                  <c:v>194.05698894261249</c:v>
                </c:pt>
                <c:pt idx="73">
                  <c:v>156.62377127782159</c:v>
                </c:pt>
                <c:pt idx="74">
                  <c:v>141.49738812502741</c:v>
                </c:pt>
                <c:pt idx="75">
                  <c:v>148.73281136459704</c:v>
                </c:pt>
                <c:pt idx="76">
                  <c:v>179.97971042369724</c:v>
                </c:pt>
                <c:pt idx="77">
                  <c:v>184.46679898890156</c:v>
                </c:pt>
                <c:pt idx="93">
                  <c:v>216.27285732493829</c:v>
                </c:pt>
                <c:pt idx="94">
                  <c:v>230.14149189452183</c:v>
                </c:pt>
                <c:pt idx="95">
                  <c:v>200.16141294632311</c:v>
                </c:pt>
                <c:pt idx="96">
                  <c:v>211.57931673390922</c:v>
                </c:pt>
                <c:pt idx="97">
                  <c:v>205.98405507457375</c:v>
                </c:pt>
                <c:pt idx="98">
                  <c:v>175.3081396885878</c:v>
                </c:pt>
                <c:pt idx="99">
                  <c:v>181.69852966103943</c:v>
                </c:pt>
                <c:pt idx="100">
                  <c:v>179.51357484686579</c:v>
                </c:pt>
                <c:pt idx="101">
                  <c:v>193.47553342772443</c:v>
                </c:pt>
                <c:pt idx="102">
                  <c:v>236.03255624732711</c:v>
                </c:pt>
                <c:pt idx="103">
                  <c:v>228.41208469018065</c:v>
                </c:pt>
                <c:pt idx="104">
                  <c:v>238.57174677344983</c:v>
                </c:pt>
                <c:pt idx="105">
                  <c:v>282.53637929162034</c:v>
                </c:pt>
                <c:pt idx="106">
                  <c:v>280.38813821411412</c:v>
                </c:pt>
                <c:pt idx="107">
                  <c:v>264.14720069789325</c:v>
                </c:pt>
                <c:pt idx="108">
                  <c:v>238.17300082474216</c:v>
                </c:pt>
                <c:pt idx="109">
                  <c:v>229.04575661883342</c:v>
                </c:pt>
                <c:pt idx="110">
                  <c:v>246.54455853752629</c:v>
                </c:pt>
                <c:pt idx="111">
                  <c:v>247.54517007828443</c:v>
                </c:pt>
                <c:pt idx="112">
                  <c:v>237.17134261489863</c:v>
                </c:pt>
                <c:pt idx="113">
                  <c:v>233.45388623588931</c:v>
                </c:pt>
                <c:pt idx="114">
                  <c:v>222.68369105205193</c:v>
                </c:pt>
                <c:pt idx="115">
                  <c:v>215.90807584324168</c:v>
                </c:pt>
                <c:pt idx="116">
                  <c:v>219.73175234069504</c:v>
                </c:pt>
                <c:pt idx="117">
                  <c:v>221.74713139908505</c:v>
                </c:pt>
                <c:pt idx="118">
                  <c:v>209.85942368064698</c:v>
                </c:pt>
                <c:pt idx="119">
                  <c:v>209.29208427592357</c:v>
                </c:pt>
                <c:pt idx="120">
                  <c:v>209.20557247445794</c:v>
                </c:pt>
                <c:pt idx="121">
                  <c:v>217.73001556086822</c:v>
                </c:pt>
                <c:pt idx="122">
                  <c:v>248.88281851078847</c:v>
                </c:pt>
                <c:pt idx="123">
                  <c:v>246.54731089178421</c:v>
                </c:pt>
                <c:pt idx="124">
                  <c:v>236.47559271545111</c:v>
                </c:pt>
                <c:pt idx="125">
                  <c:v>244.09260784553203</c:v>
                </c:pt>
                <c:pt idx="126">
                  <c:v>259.48731962485402</c:v>
                </c:pt>
                <c:pt idx="127">
                  <c:v>250.05472295608547</c:v>
                </c:pt>
                <c:pt idx="128">
                  <c:v>262.91825347861277</c:v>
                </c:pt>
                <c:pt idx="129">
                  <c:v>241.09137223047099</c:v>
                </c:pt>
                <c:pt idx="130">
                  <c:v>221.53449019794638</c:v>
                </c:pt>
                <c:pt idx="131">
                  <c:v>241.64278737456149</c:v>
                </c:pt>
                <c:pt idx="132">
                  <c:v>265.29649981640506</c:v>
                </c:pt>
                <c:pt idx="133">
                  <c:v>270.37738879421215</c:v>
                </c:pt>
                <c:pt idx="134">
                  <c:v>313.08004925830301</c:v>
                </c:pt>
                <c:pt idx="135">
                  <c:v>335.75309080953173</c:v>
                </c:pt>
                <c:pt idx="136">
                  <c:v>400.64676774513561</c:v>
                </c:pt>
                <c:pt idx="137">
                  <c:v>456.65808823802502</c:v>
                </c:pt>
                <c:pt idx="138">
                  <c:v>448.18590956950442</c:v>
                </c:pt>
                <c:pt idx="139">
                  <c:v>448.17006236414142</c:v>
                </c:pt>
                <c:pt idx="140">
                  <c:v>480.99736996015497</c:v>
                </c:pt>
                <c:pt idx="141">
                  <c:v>494.98755140683943</c:v>
                </c:pt>
                <c:pt idx="142">
                  <c:v>517.04469191041767</c:v>
                </c:pt>
                <c:pt idx="143">
                  <c:v>490.86953053922343</c:v>
                </c:pt>
                <c:pt idx="144">
                  <c:v>465.74519929196418</c:v>
                </c:pt>
                <c:pt idx="145">
                  <c:v>473.69545286337274</c:v>
                </c:pt>
                <c:pt idx="146">
                  <c:v>481.45499716426446</c:v>
                </c:pt>
                <c:pt idx="147">
                  <c:v>496.0531360605425</c:v>
                </c:pt>
                <c:pt idx="148">
                  <c:v>451.94945660144731</c:v>
                </c:pt>
                <c:pt idx="149">
                  <c:v>473.30291883779608</c:v>
                </c:pt>
                <c:pt idx="150">
                  <c:v>449.62072539508165</c:v>
                </c:pt>
                <c:pt idx="151">
                  <c:v>478.24121136590139</c:v>
                </c:pt>
                <c:pt idx="152">
                  <c:v>493.13019025209906</c:v>
                </c:pt>
                <c:pt idx="153">
                  <c:v>476.65624018800366</c:v>
                </c:pt>
                <c:pt idx="154">
                  <c:v>401.16494895324473</c:v>
                </c:pt>
                <c:pt idx="155">
                  <c:v>416.38202788039797</c:v>
                </c:pt>
                <c:pt idx="156">
                  <c:v>332.02279980670602</c:v>
                </c:pt>
                <c:pt idx="157">
                  <c:v>297.03049554533169</c:v>
                </c:pt>
                <c:pt idx="158">
                  <c:v>257.28217291047866</c:v>
                </c:pt>
                <c:pt idx="159">
                  <c:v>238.53451757733896</c:v>
                </c:pt>
                <c:pt idx="160">
                  <c:v>219.46324999988059</c:v>
                </c:pt>
                <c:pt idx="161">
                  <c:v>219.53906735200499</c:v>
                </c:pt>
                <c:pt idx="162">
                  <c:v>184.98029788145968</c:v>
                </c:pt>
                <c:pt idx="163">
                  <c:v>194.79453385002898</c:v>
                </c:pt>
                <c:pt idx="164">
                  <c:v>213.77424395378551</c:v>
                </c:pt>
                <c:pt idx="165">
                  <c:v>216.64056521782348</c:v>
                </c:pt>
                <c:pt idx="166">
                  <c:v>204.45435567895589</c:v>
                </c:pt>
                <c:pt idx="167">
                  <c:v>199.84521208924022</c:v>
                </c:pt>
                <c:pt idx="168">
                  <c:v>197.31038456373011</c:v>
                </c:pt>
                <c:pt idx="169">
                  <c:v>208.18521850268812</c:v>
                </c:pt>
                <c:pt idx="170">
                  <c:v>184.69015083278777</c:v>
                </c:pt>
              </c:numCache>
            </c:numRef>
          </c:val>
          <c:smooth val="0"/>
          <c:extLst>
            <c:ext xmlns:c16="http://schemas.microsoft.com/office/drawing/2014/chart" uri="{C3380CC4-5D6E-409C-BE32-E72D297353CC}">
              <c16:uniqueId val="{00000002-E244-44A6-8F1D-B537D602F847}"/>
            </c:ext>
          </c:extLst>
        </c:ser>
        <c:ser>
          <c:idx val="1"/>
          <c:order val="2"/>
          <c:tx>
            <c:v>Respiration</c:v>
          </c:tx>
          <c:spPr>
            <a:ln w="9525">
              <a:noFill/>
            </a:ln>
          </c:spPr>
          <c:marker>
            <c:symbol val="circle"/>
            <c:size val="4"/>
            <c:spPr>
              <a:solidFill>
                <a:schemeClr val="bg1">
                  <a:lumMod val="75000"/>
                </a:schemeClr>
              </a:solidFill>
              <a:ln>
                <a:solidFill>
                  <a:sysClr val="windowText" lastClr="000000"/>
                </a:solidFill>
              </a:ln>
            </c:spPr>
          </c:marker>
          <c:dPt>
            <c:idx val="11"/>
            <c:bubble3D val="0"/>
            <c:extLst>
              <c:ext xmlns:c16="http://schemas.microsoft.com/office/drawing/2014/chart" uri="{C3380CC4-5D6E-409C-BE32-E72D297353CC}">
                <c16:uniqueId val="{00000003-E244-44A6-8F1D-B537D602F847}"/>
              </c:ext>
            </c:extLst>
          </c:dPt>
          <c:cat>
            <c:numRef>
              <c:f>'SP02'!$A$3:$A$176</c:f>
              <c:numCache>
                <c:formatCode>[$-409]d\-mmm;@</c:formatCode>
                <c:ptCount val="174"/>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pt idx="172">
                  <c:v>41548</c:v>
                </c:pt>
                <c:pt idx="173">
                  <c:v>41549</c:v>
                </c:pt>
              </c:numCache>
            </c:numRef>
          </c:cat>
          <c:val>
            <c:numRef>
              <c:f>'SP02'!$Y$3:$Y$176</c:f>
              <c:numCache>
                <c:formatCode>0</c:formatCode>
                <c:ptCount val="174"/>
                <c:pt idx="3">
                  <c:v>-65.595675098904039</c:v>
                </c:pt>
                <c:pt idx="4">
                  <c:v>-60.777171987962014</c:v>
                </c:pt>
                <c:pt idx="5">
                  <c:v>-78.80581948185862</c:v>
                </c:pt>
                <c:pt idx="6">
                  <c:v>-110.58066216130408</c:v>
                </c:pt>
                <c:pt idx="7">
                  <c:v>-128.54600708952853</c:v>
                </c:pt>
                <c:pt idx="8">
                  <c:v>-136.05204734249904</c:v>
                </c:pt>
                <c:pt idx="9">
                  <c:v>-138.96631721149407</c:v>
                </c:pt>
                <c:pt idx="10">
                  <c:v>-132.2554428556428</c:v>
                </c:pt>
                <c:pt idx="11">
                  <c:v>-137.46513465049506</c:v>
                </c:pt>
                <c:pt idx="12">
                  <c:v>-107.3179130768829</c:v>
                </c:pt>
                <c:pt idx="13">
                  <c:v>-84.425674237419273</c:v>
                </c:pt>
                <c:pt idx="14">
                  <c:v>-64.109382611477983</c:v>
                </c:pt>
                <c:pt idx="15">
                  <c:v>-57.344151547424424</c:v>
                </c:pt>
                <c:pt idx="16">
                  <c:v>-54.76598551181803</c:v>
                </c:pt>
                <c:pt idx="17">
                  <c:v>-66.121909797625804</c:v>
                </c:pt>
                <c:pt idx="18">
                  <c:v>-70.360351934217164</c:v>
                </c:pt>
                <c:pt idx="19">
                  <c:v>-84.762990543245138</c:v>
                </c:pt>
                <c:pt idx="20">
                  <c:v>-93.123946355994661</c:v>
                </c:pt>
                <c:pt idx="21">
                  <c:v>-108.60719860036193</c:v>
                </c:pt>
                <c:pt idx="22">
                  <c:v>-96.516036676140601</c:v>
                </c:pt>
                <c:pt idx="23">
                  <c:v>-63.344379015930222</c:v>
                </c:pt>
                <c:pt idx="24">
                  <c:v>-55.005383374095437</c:v>
                </c:pt>
                <c:pt idx="25">
                  <c:v>-71.882057469254619</c:v>
                </c:pt>
                <c:pt idx="26">
                  <c:v>-72.161559157957299</c:v>
                </c:pt>
                <c:pt idx="27">
                  <c:v>-76.826437642482801</c:v>
                </c:pt>
                <c:pt idx="28">
                  <c:v>-58.362083147797343</c:v>
                </c:pt>
                <c:pt idx="29">
                  <c:v>-62.256777824782382</c:v>
                </c:pt>
                <c:pt idx="30">
                  <c:v>-98.378555256868779</c:v>
                </c:pt>
                <c:pt idx="31">
                  <c:v>-96.446863928541347</c:v>
                </c:pt>
                <c:pt idx="32">
                  <c:v>-73.178422515400285</c:v>
                </c:pt>
                <c:pt idx="33">
                  <c:v>-69.380487690942161</c:v>
                </c:pt>
                <c:pt idx="34">
                  <c:v>-65.211493462184777</c:v>
                </c:pt>
                <c:pt idx="35">
                  <c:v>-76.822191219612407</c:v>
                </c:pt>
                <c:pt idx="36">
                  <c:v>-92.200011205332501</c:v>
                </c:pt>
                <c:pt idx="37">
                  <c:v>-82.592672072112563</c:v>
                </c:pt>
                <c:pt idx="38">
                  <c:v>-87.325964258102204</c:v>
                </c:pt>
                <c:pt idx="39">
                  <c:v>-93.59055993437849</c:v>
                </c:pt>
                <c:pt idx="40">
                  <c:v>-86.930712708047153</c:v>
                </c:pt>
                <c:pt idx="41">
                  <c:v>-71.153388677437391</c:v>
                </c:pt>
                <c:pt idx="42">
                  <c:v>-91.015412201741682</c:v>
                </c:pt>
                <c:pt idx="43">
                  <c:v>-98.177866523578942</c:v>
                </c:pt>
                <c:pt idx="44">
                  <c:v>-116.31475555749249</c:v>
                </c:pt>
                <c:pt idx="45">
                  <c:v>-124.60355422632713</c:v>
                </c:pt>
                <c:pt idx="46">
                  <c:v>-122.84461972700667</c:v>
                </c:pt>
                <c:pt idx="47">
                  <c:v>-139.00770532415802</c:v>
                </c:pt>
                <c:pt idx="48">
                  <c:v>-154.26512330959335</c:v>
                </c:pt>
                <c:pt idx="49">
                  <c:v>-137.80810102148274</c:v>
                </c:pt>
                <c:pt idx="50">
                  <c:v>-110.38068423559537</c:v>
                </c:pt>
                <c:pt idx="51">
                  <c:v>-97.751386718505202</c:v>
                </c:pt>
                <c:pt idx="52">
                  <c:v>-81.553929791091988</c:v>
                </c:pt>
                <c:pt idx="53">
                  <c:v>-86.139992827774435</c:v>
                </c:pt>
                <c:pt idx="54">
                  <c:v>-74.5807067513107</c:v>
                </c:pt>
                <c:pt idx="55">
                  <c:v>-73.0578827918267</c:v>
                </c:pt>
                <c:pt idx="56">
                  <c:v>-63.738599975793996</c:v>
                </c:pt>
                <c:pt idx="57">
                  <c:v>-81.83055568005804</c:v>
                </c:pt>
                <c:pt idx="58">
                  <c:v>-88.9593922270072</c:v>
                </c:pt>
                <c:pt idx="59">
                  <c:v>-111.75858096633546</c:v>
                </c:pt>
                <c:pt idx="60">
                  <c:v>-104.12874022108385</c:v>
                </c:pt>
                <c:pt idx="61">
                  <c:v>-137.77682073760539</c:v>
                </c:pt>
                <c:pt idx="62">
                  <c:v>-141.15324115017054</c:v>
                </c:pt>
                <c:pt idx="63">
                  <c:v>-152.29336189641799</c:v>
                </c:pt>
                <c:pt idx="64">
                  <c:v>-158.87821886169104</c:v>
                </c:pt>
                <c:pt idx="65">
                  <c:v>-193.13317764159265</c:v>
                </c:pt>
                <c:pt idx="66">
                  <c:v>-225.92416175191684</c:v>
                </c:pt>
                <c:pt idx="67">
                  <c:v>-239.05841704855604</c:v>
                </c:pt>
                <c:pt idx="68">
                  <c:v>-220.42270880736595</c:v>
                </c:pt>
                <c:pt idx="69">
                  <c:v>-215.95806605798589</c:v>
                </c:pt>
                <c:pt idx="70">
                  <c:v>-211.68227810266234</c:v>
                </c:pt>
                <c:pt idx="71">
                  <c:v>-216.9905785768085</c:v>
                </c:pt>
                <c:pt idx="72">
                  <c:v>-192.67026135935836</c:v>
                </c:pt>
                <c:pt idx="73">
                  <c:v>-157.91324928195496</c:v>
                </c:pt>
                <c:pt idx="74">
                  <c:v>-151.48160643294185</c:v>
                </c:pt>
                <c:pt idx="75">
                  <c:v>-169.22437485077347</c:v>
                </c:pt>
                <c:pt idx="76">
                  <c:v>-179.96856836109646</c:v>
                </c:pt>
                <c:pt idx="77">
                  <c:v>-190.53706157063218</c:v>
                </c:pt>
                <c:pt idx="93">
                  <c:v>-217.94051340726486</c:v>
                </c:pt>
                <c:pt idx="94">
                  <c:v>-226.23354688040757</c:v>
                </c:pt>
                <c:pt idx="95">
                  <c:v>-213.58319056669006</c:v>
                </c:pt>
                <c:pt idx="96">
                  <c:v>-231.92010521341837</c:v>
                </c:pt>
                <c:pt idx="97">
                  <c:v>-236.49451339896314</c:v>
                </c:pt>
                <c:pt idx="98">
                  <c:v>-194.60652096866059</c:v>
                </c:pt>
                <c:pt idx="99">
                  <c:v>-198.39757520978631</c:v>
                </c:pt>
                <c:pt idx="100">
                  <c:v>-188.50516145598846</c:v>
                </c:pt>
                <c:pt idx="101">
                  <c:v>-200.94628415754161</c:v>
                </c:pt>
                <c:pt idx="102">
                  <c:v>-221.12209533523446</c:v>
                </c:pt>
                <c:pt idx="103">
                  <c:v>-214.6583760174006</c:v>
                </c:pt>
                <c:pt idx="104">
                  <c:v>-217.18018003162391</c:v>
                </c:pt>
                <c:pt idx="105">
                  <c:v>-255.35236175677042</c:v>
                </c:pt>
                <c:pt idx="106">
                  <c:v>-253.08591258869268</c:v>
                </c:pt>
                <c:pt idx="107">
                  <c:v>-257.644058403023</c:v>
                </c:pt>
                <c:pt idx="108">
                  <c:v>-237.12355039388802</c:v>
                </c:pt>
                <c:pt idx="109">
                  <c:v>-233.38971578071087</c:v>
                </c:pt>
                <c:pt idx="110">
                  <c:v>-252.01639673032909</c:v>
                </c:pt>
                <c:pt idx="111">
                  <c:v>-253.56038862274292</c:v>
                </c:pt>
                <c:pt idx="112">
                  <c:v>-253.20702021312738</c:v>
                </c:pt>
                <c:pt idx="113">
                  <c:v>-246.35302752925631</c:v>
                </c:pt>
                <c:pt idx="114">
                  <c:v>-224.57075546395919</c:v>
                </c:pt>
                <c:pt idx="115">
                  <c:v>-216.05260783840598</c:v>
                </c:pt>
                <c:pt idx="116">
                  <c:v>-228.19010099718258</c:v>
                </c:pt>
                <c:pt idx="117">
                  <c:v>-209.44159245115833</c:v>
                </c:pt>
                <c:pt idx="118">
                  <c:v>-201.27437371173167</c:v>
                </c:pt>
                <c:pt idx="119">
                  <c:v>-199.57862076197603</c:v>
                </c:pt>
                <c:pt idx="120">
                  <c:v>-212.64628830091868</c:v>
                </c:pt>
                <c:pt idx="121">
                  <c:v>-222.45223350215659</c:v>
                </c:pt>
                <c:pt idx="122">
                  <c:v>-259.15386239984326</c:v>
                </c:pt>
                <c:pt idx="123">
                  <c:v>-248.76948209873322</c:v>
                </c:pt>
                <c:pt idx="124">
                  <c:v>-243.90695014417057</c:v>
                </c:pt>
                <c:pt idx="125">
                  <c:v>-242.94156951519179</c:v>
                </c:pt>
                <c:pt idx="126">
                  <c:v>-233.61587836815639</c:v>
                </c:pt>
                <c:pt idx="127">
                  <c:v>-223.83856188574802</c:v>
                </c:pt>
                <c:pt idx="128">
                  <c:v>-247.9121120676422</c:v>
                </c:pt>
                <c:pt idx="129">
                  <c:v>-219.68859412925713</c:v>
                </c:pt>
                <c:pt idx="130">
                  <c:v>-219.71363729070282</c:v>
                </c:pt>
                <c:pt idx="131">
                  <c:v>-251.93187531407281</c:v>
                </c:pt>
                <c:pt idx="132">
                  <c:v>-266.59548973749128</c:v>
                </c:pt>
                <c:pt idx="133">
                  <c:v>-283.15831758761612</c:v>
                </c:pt>
                <c:pt idx="134">
                  <c:v>-304.81235159456116</c:v>
                </c:pt>
                <c:pt idx="135">
                  <c:v>-320.42708998177852</c:v>
                </c:pt>
                <c:pt idx="136">
                  <c:v>-388.81161829302215</c:v>
                </c:pt>
                <c:pt idx="137">
                  <c:v>-445.43921098337006</c:v>
                </c:pt>
                <c:pt idx="138">
                  <c:v>-398.03876913216743</c:v>
                </c:pt>
                <c:pt idx="139">
                  <c:v>-418.51176840956958</c:v>
                </c:pt>
                <c:pt idx="140">
                  <c:v>-463.8519663688453</c:v>
                </c:pt>
                <c:pt idx="141">
                  <c:v>-481.45029293301889</c:v>
                </c:pt>
                <c:pt idx="142">
                  <c:v>-484.06781075886238</c:v>
                </c:pt>
                <c:pt idx="143">
                  <c:v>-444.19003093625003</c:v>
                </c:pt>
                <c:pt idx="144">
                  <c:v>-400.02971900846944</c:v>
                </c:pt>
                <c:pt idx="145">
                  <c:v>-444.96950430095637</c:v>
                </c:pt>
                <c:pt idx="146">
                  <c:v>-463.80569438714127</c:v>
                </c:pt>
                <c:pt idx="147">
                  <c:v>-470.77904777382281</c:v>
                </c:pt>
                <c:pt idx="148">
                  <c:v>-466.36044182896711</c:v>
                </c:pt>
                <c:pt idx="149">
                  <c:v>-508.70811174237605</c:v>
                </c:pt>
                <c:pt idx="150">
                  <c:v>-504.87511737507583</c:v>
                </c:pt>
                <c:pt idx="151">
                  <c:v>-563.26449945276261</c:v>
                </c:pt>
                <c:pt idx="152">
                  <c:v>-553.82541740178624</c:v>
                </c:pt>
                <c:pt idx="153">
                  <c:v>-505.94502134265042</c:v>
                </c:pt>
                <c:pt idx="154">
                  <c:v>-445.22163138034085</c:v>
                </c:pt>
                <c:pt idx="155">
                  <c:v>-432.09215826964754</c:v>
                </c:pt>
                <c:pt idx="156">
                  <c:v>-346.32361886425969</c:v>
                </c:pt>
                <c:pt idx="157">
                  <c:v>-299.62792778641176</c:v>
                </c:pt>
                <c:pt idx="158">
                  <c:v>-245.47155414168986</c:v>
                </c:pt>
                <c:pt idx="159">
                  <c:v>-238.50130904946192</c:v>
                </c:pt>
                <c:pt idx="160">
                  <c:v>-242.91344509837614</c:v>
                </c:pt>
                <c:pt idx="161">
                  <c:v>-235.8528869429706</c:v>
                </c:pt>
                <c:pt idx="162">
                  <c:v>-203.14170382541212</c:v>
                </c:pt>
                <c:pt idx="163">
                  <c:v>-201.79827648049286</c:v>
                </c:pt>
                <c:pt idx="164">
                  <c:v>-226.66405294799742</c:v>
                </c:pt>
                <c:pt idx="165">
                  <c:v>-209.41655505841118</c:v>
                </c:pt>
                <c:pt idx="166">
                  <c:v>-204.16035135989475</c:v>
                </c:pt>
                <c:pt idx="167">
                  <c:v>-188.06273938697572</c:v>
                </c:pt>
                <c:pt idx="168">
                  <c:v>-186.56338368402365</c:v>
                </c:pt>
                <c:pt idx="169">
                  <c:v>-191.08584740316127</c:v>
                </c:pt>
                <c:pt idx="170">
                  <c:v>-177.29782924134477</c:v>
                </c:pt>
              </c:numCache>
            </c:numRef>
          </c:val>
          <c:smooth val="0"/>
          <c:extLst>
            <c:ext xmlns:c16="http://schemas.microsoft.com/office/drawing/2014/chart" uri="{C3380CC4-5D6E-409C-BE32-E72D297353CC}">
              <c16:uniqueId val="{00000004-E244-44A6-8F1D-B537D602F847}"/>
            </c:ext>
          </c:extLst>
        </c:ser>
        <c:dLbls>
          <c:showLegendKey val="0"/>
          <c:showVal val="0"/>
          <c:showCatName val="0"/>
          <c:showSerName val="0"/>
          <c:showPercent val="0"/>
          <c:showBubbleSize val="0"/>
        </c:dLbls>
        <c:marker val="1"/>
        <c:smooth val="0"/>
        <c:axId val="301119368"/>
        <c:axId val="301119760"/>
      </c:lineChart>
      <c:scatterChart>
        <c:scatterStyle val="lineMarker"/>
        <c:varyColors val="0"/>
        <c:ser>
          <c:idx val="2"/>
          <c:order val="3"/>
          <c:tx>
            <c:v>Zero</c:v>
          </c:tx>
          <c:spPr>
            <a:ln w="6350">
              <a:solidFill>
                <a:schemeClr val="tx1"/>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5-E244-44A6-8F1D-B537D602F847}"/>
            </c:ext>
          </c:extLst>
        </c:ser>
        <c:ser>
          <c:idx val="4"/>
          <c:order val="4"/>
          <c:tx>
            <c:v>Sample Dates</c:v>
          </c:tx>
          <c:spPr>
            <a:ln>
              <a:noFill/>
            </a:ln>
          </c:spPr>
          <c:marker>
            <c:symbol val="triangle"/>
            <c:size val="7"/>
            <c:spPr>
              <a:noFill/>
              <a:ln>
                <a:solidFill>
                  <a:schemeClr val="tx1"/>
                </a:solidFill>
              </a:ln>
            </c:spPr>
          </c:marker>
          <c:xVal>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Lit>
              <c:formatCode>General</c:formatCode>
              <c:ptCount val="20"/>
              <c:pt idx="0">
                <c:v>-500</c:v>
              </c:pt>
              <c:pt idx="1">
                <c:v>-500</c:v>
              </c:pt>
              <c:pt idx="2">
                <c:v>-500</c:v>
              </c:pt>
              <c:pt idx="3">
                <c:v>-500</c:v>
              </c:pt>
              <c:pt idx="4">
                <c:v>-500</c:v>
              </c:pt>
              <c:pt idx="5">
                <c:v>-500</c:v>
              </c:pt>
              <c:pt idx="6">
                <c:v>-500</c:v>
              </c:pt>
              <c:pt idx="7">
                <c:v>-500</c:v>
              </c:pt>
              <c:pt idx="8">
                <c:v>-500</c:v>
              </c:pt>
              <c:pt idx="9">
                <c:v>-500</c:v>
              </c:pt>
              <c:pt idx="10">
                <c:v>-500</c:v>
              </c:pt>
              <c:pt idx="11">
                <c:v>-500</c:v>
              </c:pt>
              <c:pt idx="12">
                <c:v>-500</c:v>
              </c:pt>
              <c:pt idx="13">
                <c:v>-500</c:v>
              </c:pt>
              <c:pt idx="14">
                <c:v>-500</c:v>
              </c:pt>
              <c:pt idx="15">
                <c:v>-500</c:v>
              </c:pt>
              <c:pt idx="16">
                <c:v>-500</c:v>
              </c:pt>
              <c:pt idx="17">
                <c:v>-500</c:v>
              </c:pt>
              <c:pt idx="18">
                <c:v>-500</c:v>
              </c:pt>
              <c:pt idx="19">
                <c:v>-500</c:v>
              </c:pt>
            </c:numLit>
          </c:yVal>
          <c:smooth val="0"/>
          <c:extLst>
            <c:ext xmlns:c16="http://schemas.microsoft.com/office/drawing/2014/chart" uri="{C3380CC4-5D6E-409C-BE32-E72D297353CC}">
              <c16:uniqueId val="{00000006-E244-44A6-8F1D-B537D602F847}"/>
            </c:ext>
          </c:extLst>
        </c:ser>
        <c:dLbls>
          <c:showLegendKey val="0"/>
          <c:showVal val="0"/>
          <c:showCatName val="0"/>
          <c:showSerName val="0"/>
          <c:showPercent val="0"/>
          <c:showBubbleSize val="0"/>
        </c:dLbls>
        <c:axId val="301120544"/>
        <c:axId val="301120152"/>
      </c:scatterChart>
      <c:dateAx>
        <c:axId val="301119368"/>
        <c:scaling>
          <c:orientation val="minMax"/>
          <c:max val="41548"/>
          <c:min val="41365"/>
        </c:scaling>
        <c:delete val="0"/>
        <c:axPos val="b"/>
        <c:numFmt formatCode="mmm" sourceLinked="0"/>
        <c:majorTickMark val="out"/>
        <c:minorTickMark val="none"/>
        <c:tickLblPos val="nextTo"/>
        <c:crossAx val="301119760"/>
        <c:crossesAt val="-600"/>
        <c:auto val="1"/>
        <c:lblOffset val="100"/>
        <c:baseTimeUnit val="days"/>
        <c:majorUnit val="1"/>
        <c:majorTimeUnit val="months"/>
      </c:dateAx>
      <c:valAx>
        <c:axId val="301119760"/>
        <c:scaling>
          <c:orientation val="minMax"/>
          <c:max val="600"/>
          <c:min val="-600"/>
        </c:scaling>
        <c:delete val="0"/>
        <c:axPos val="l"/>
        <c:title>
          <c:tx>
            <c:rich>
              <a:bodyPr/>
              <a:lstStyle/>
              <a:p>
                <a:pPr>
                  <a:defRPr b="0"/>
                </a:pPr>
                <a:r>
                  <a:rPr lang="en-US" b="0"/>
                  <a:t>Open-</a:t>
                </a:r>
                <a:r>
                  <a:rPr lang="en-US" b="0" baseline="0"/>
                  <a:t>water</a:t>
                </a:r>
                <a:r>
                  <a:rPr lang="en-US" b="0"/>
                  <a:t>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1119368"/>
        <c:crosses val="autoZero"/>
        <c:crossBetween val="between"/>
      </c:valAx>
      <c:valAx>
        <c:axId val="301120152"/>
        <c:scaling>
          <c:orientation val="minMax"/>
          <c:max val="600"/>
          <c:min val="-600"/>
        </c:scaling>
        <c:delete val="0"/>
        <c:axPos val="r"/>
        <c:numFmt formatCode="0.0000" sourceLinked="1"/>
        <c:majorTickMark val="out"/>
        <c:minorTickMark val="none"/>
        <c:tickLblPos val="none"/>
        <c:spPr>
          <a:ln>
            <a:solidFill>
              <a:schemeClr val="tx1"/>
            </a:solidFill>
          </a:ln>
        </c:spPr>
        <c:crossAx val="301120544"/>
        <c:crosses val="max"/>
        <c:crossBetween val="between"/>
        <c:majorUnit val="200"/>
      </c:valAx>
      <c:catAx>
        <c:axId val="301120544"/>
        <c:scaling>
          <c:orientation val="minMax"/>
        </c:scaling>
        <c:delete val="1"/>
        <c:axPos val="b"/>
        <c:numFmt formatCode="[$-409]d\-mmm;@" sourceLinked="1"/>
        <c:majorTickMark val="out"/>
        <c:minorTickMark val="none"/>
        <c:tickLblPos val="nextTo"/>
        <c:crossAx val="301120152"/>
        <c:crosses val="autoZero"/>
        <c:auto val="0"/>
        <c:lblAlgn val="ctr"/>
        <c:lblOffset val="100"/>
        <c:noMultiLvlLbl val="0"/>
      </c:cat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SUM!$AL$5:$AL$24</c:f>
              <c:numCache>
                <c:formatCode>#,##0</c:formatCode>
                <c:ptCount val="20"/>
                <c:pt idx="0">
                  <c:v>416.33572658463657</c:v>
                </c:pt>
                <c:pt idx="1">
                  <c:v>323.4911341142938</c:v>
                </c:pt>
                <c:pt idx="2">
                  <c:v>190.0504001421541</c:v>
                </c:pt>
                <c:pt idx="3">
                  <c:v>588.96449151208799</c:v>
                </c:pt>
                <c:pt idx="4">
                  <c:v>633.48819320049597</c:v>
                </c:pt>
                <c:pt idx="5">
                  <c:v>449.58725804697394</c:v>
                </c:pt>
                <c:pt idx="6">
                  <c:v>545.40523563870931</c:v>
                </c:pt>
                <c:pt idx="7">
                  <c:v>608.84066944823667</c:v>
                </c:pt>
                <c:pt idx="8">
                  <c:v>553.40571556702798</c:v>
                </c:pt>
                <c:pt idx="9">
                  <c:v>512.6137541182045</c:v>
                </c:pt>
                <c:pt idx="10">
                  <c:v>393.36752530770252</c:v>
                </c:pt>
                <c:pt idx="11">
                  <c:v>582.08651640232802</c:v>
                </c:pt>
                <c:pt idx="12">
                  <c:v>288.82007702627038</c:v>
                </c:pt>
                <c:pt idx="13">
                  <c:v>325.00061934857536</c:v>
                </c:pt>
                <c:pt idx="14">
                  <c:v>559.11167208775612</c:v>
                </c:pt>
                <c:pt idx="15">
                  <c:v>399.9048771326444</c:v>
                </c:pt>
                <c:pt idx="16">
                  <c:v>542.66073856863045</c:v>
                </c:pt>
                <c:pt idx="17">
                  <c:v>487.53422914829764</c:v>
                </c:pt>
                <c:pt idx="18">
                  <c:v>523.07043560830755</c:v>
                </c:pt>
                <c:pt idx="19">
                  <c:v>502.39909352571067</c:v>
                </c:pt>
              </c:numCache>
            </c:numRef>
          </c:val>
          <c:extLst>
            <c:ext xmlns:c16="http://schemas.microsoft.com/office/drawing/2014/chart" uri="{C3380CC4-5D6E-409C-BE32-E72D297353CC}">
              <c16:uniqueId val="{00000000-A2BF-4007-8790-48776B961C71}"/>
            </c:ext>
          </c:extLst>
        </c:ser>
        <c:dLbls>
          <c:showLegendKey val="0"/>
          <c:showVal val="0"/>
          <c:showCatName val="0"/>
          <c:showSerName val="0"/>
          <c:showPercent val="0"/>
          <c:showBubbleSize val="0"/>
        </c:dLbls>
        <c:gapWidth val="260"/>
        <c:overlap val="1"/>
        <c:axId val="300909424"/>
        <c:axId val="300909032"/>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2-A2BF-4007-8790-48776B961C71}"/>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SUM!$AI$5:$AI$24</c:f>
              <c:numCache>
                <c:formatCode>#,##0</c:formatCode>
                <c:ptCount val="20"/>
                <c:pt idx="0">
                  <c:v>356.55969810143199</c:v>
                </c:pt>
                <c:pt idx="1">
                  <c:v>253.28132438718339</c:v>
                </c:pt>
                <c:pt idx="2">
                  <c:v>125.53848733579797</c:v>
                </c:pt>
                <c:pt idx="3">
                  <c:v>526.38445431376454</c:v>
                </c:pt>
                <c:pt idx="4">
                  <c:v>566.14550435517788</c:v>
                </c:pt>
                <c:pt idx="5">
                  <c:v>368.95972726430898</c:v>
                </c:pt>
                <c:pt idx="6">
                  <c:v>476.5532164128046</c:v>
                </c:pt>
                <c:pt idx="7">
                  <c:v>533.8832382667922</c:v>
                </c:pt>
                <c:pt idx="8">
                  <c:v>468.58061182902509</c:v>
                </c:pt>
                <c:pt idx="9">
                  <c:v>448.6695587750832</c:v>
                </c:pt>
                <c:pt idx="10">
                  <c:v>331.10565929868363</c:v>
                </c:pt>
                <c:pt idx="11">
                  <c:v>505.62044005047619</c:v>
                </c:pt>
                <c:pt idx="12">
                  <c:v>208.66112390735407</c:v>
                </c:pt>
                <c:pt idx="13">
                  <c:v>241.17160959359637</c:v>
                </c:pt>
                <c:pt idx="14">
                  <c:v>493.57650172959541</c:v>
                </c:pt>
                <c:pt idx="15">
                  <c:v>309.71614412660563</c:v>
                </c:pt>
                <c:pt idx="16">
                  <c:v>465.50534687335289</c:v>
                </c:pt>
                <c:pt idx="17">
                  <c:v>437.80494670664422</c:v>
                </c:pt>
                <c:pt idx="18">
                  <c:v>430.46935410972094</c:v>
                </c:pt>
                <c:pt idx="19">
                  <c:v>445.59411806759704</c:v>
                </c:pt>
              </c:numCache>
            </c:numRef>
          </c:val>
          <c:smooth val="0"/>
          <c:extLst>
            <c:ext xmlns:c16="http://schemas.microsoft.com/office/drawing/2014/chart" uri="{C3380CC4-5D6E-409C-BE32-E72D297353CC}">
              <c16:uniqueId val="{00000003-A2BF-4007-8790-48776B961C71}"/>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5-A2BF-4007-8790-48776B961C71}"/>
              </c:ext>
            </c:extLst>
          </c:dPt>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SUM!$AK$5:$AK$24</c:f>
              <c:numCache>
                <c:formatCode>#,##0</c:formatCode>
                <c:ptCount val="20"/>
                <c:pt idx="0">
                  <c:v>59.776028483204591</c:v>
                </c:pt>
                <c:pt idx="1">
                  <c:v>70.209809727110397</c:v>
                </c:pt>
                <c:pt idx="2">
                  <c:v>64.511912806356122</c:v>
                </c:pt>
                <c:pt idx="3">
                  <c:v>62.580037198323453</c:v>
                </c:pt>
                <c:pt idx="4">
                  <c:v>67.342688845318108</c:v>
                </c:pt>
                <c:pt idx="5">
                  <c:v>80.627530782664991</c:v>
                </c:pt>
                <c:pt idx="6">
                  <c:v>68.852019225904698</c:v>
                </c:pt>
                <c:pt idx="7">
                  <c:v>74.957431181444505</c:v>
                </c:pt>
                <c:pt idx="8">
                  <c:v>84.825103738002866</c:v>
                </c:pt>
                <c:pt idx="9">
                  <c:v>63.944195343121322</c:v>
                </c:pt>
                <c:pt idx="10">
                  <c:v>62.261866009018902</c:v>
                </c:pt>
                <c:pt idx="11">
                  <c:v>76.466076351851768</c:v>
                </c:pt>
                <c:pt idx="12">
                  <c:v>80.158953118916287</c:v>
                </c:pt>
                <c:pt idx="13">
                  <c:v>83.829009754978955</c:v>
                </c:pt>
                <c:pt idx="14">
                  <c:v>65.53517035816067</c:v>
                </c:pt>
                <c:pt idx="15">
                  <c:v>90.188733006038774</c:v>
                </c:pt>
                <c:pt idx="16">
                  <c:v>77.155391695277601</c:v>
                </c:pt>
                <c:pt idx="17">
                  <c:v>49.72928244165341</c:v>
                </c:pt>
                <c:pt idx="18">
                  <c:v>92.601081498586581</c:v>
                </c:pt>
                <c:pt idx="19">
                  <c:v>56.80497545811361</c:v>
                </c:pt>
              </c:numCache>
            </c:numRef>
          </c:val>
          <c:smooth val="0"/>
          <c:extLst>
            <c:ext xmlns:c16="http://schemas.microsoft.com/office/drawing/2014/chart" uri="{C3380CC4-5D6E-409C-BE32-E72D297353CC}">
              <c16:uniqueId val="{00000006-A2BF-4007-8790-48776B961C71}"/>
            </c:ext>
          </c:extLst>
        </c:ser>
        <c:dLbls>
          <c:showLegendKey val="0"/>
          <c:showVal val="0"/>
          <c:showCatName val="0"/>
          <c:showSerName val="0"/>
          <c:showPercent val="0"/>
          <c:showBubbleSize val="0"/>
        </c:dLbls>
        <c:marker val="1"/>
        <c:smooth val="0"/>
        <c:axId val="300908248"/>
        <c:axId val="300908640"/>
      </c:lineChart>
      <c:scatterChart>
        <c:scatterStyle val="lineMarker"/>
        <c:varyColors val="0"/>
        <c:ser>
          <c:idx val="2"/>
          <c:order val="3"/>
          <c:tx>
            <c:v>Zero</c:v>
          </c:tx>
          <c:spPr>
            <a:ln w="6350">
              <a:solidFill>
                <a:sysClr val="windowText" lastClr="000000"/>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7-A2BF-4007-8790-48776B961C71}"/>
            </c:ext>
          </c:extLst>
        </c:ser>
        <c:dLbls>
          <c:showLegendKey val="0"/>
          <c:showVal val="0"/>
          <c:showCatName val="0"/>
          <c:showSerName val="0"/>
          <c:showPercent val="0"/>
          <c:showBubbleSize val="0"/>
        </c:dLbls>
        <c:axId val="300909424"/>
        <c:axId val="300909032"/>
      </c:scatterChart>
      <c:dateAx>
        <c:axId val="300908248"/>
        <c:scaling>
          <c:orientation val="minMax"/>
          <c:max val="41548"/>
          <c:min val="41365"/>
        </c:scaling>
        <c:delete val="0"/>
        <c:axPos val="b"/>
        <c:numFmt formatCode="mmm" sourceLinked="0"/>
        <c:majorTickMark val="out"/>
        <c:minorTickMark val="none"/>
        <c:tickLblPos val="nextTo"/>
        <c:crossAx val="300908640"/>
        <c:crossesAt val="-600"/>
        <c:auto val="1"/>
        <c:lblOffset val="100"/>
        <c:baseTimeUnit val="days"/>
        <c:majorUnit val="1"/>
        <c:majorTimeUnit val="months"/>
      </c:dateAx>
      <c:valAx>
        <c:axId val="300908640"/>
        <c:scaling>
          <c:orientation val="minMax"/>
          <c:max val="350"/>
          <c:min val="-600"/>
        </c:scaling>
        <c:delete val="0"/>
        <c:axPos val="l"/>
        <c:title>
          <c:tx>
            <c:rich>
              <a:bodyPr/>
              <a:lstStyle/>
              <a:p>
                <a:pPr>
                  <a:defRPr b="0"/>
                </a:pPr>
                <a:r>
                  <a:rPr lang="en-US" b="0"/>
                  <a:t>Residual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0908248"/>
        <c:crosses val="autoZero"/>
        <c:crossBetween val="between"/>
        <c:majorUnit val="200"/>
      </c:valAx>
      <c:valAx>
        <c:axId val="300909032"/>
        <c:scaling>
          <c:orientation val="minMax"/>
          <c:max val="350"/>
          <c:min val="-600"/>
        </c:scaling>
        <c:delete val="0"/>
        <c:axPos val="r"/>
        <c:numFmt formatCode="#,##0" sourceLinked="1"/>
        <c:majorTickMark val="out"/>
        <c:minorTickMark val="none"/>
        <c:tickLblPos val="none"/>
        <c:spPr>
          <a:ln>
            <a:solidFill>
              <a:schemeClr val="tx1"/>
            </a:solidFill>
          </a:ln>
        </c:spPr>
        <c:crossAx val="300909424"/>
        <c:crosses val="max"/>
        <c:crossBetween val="between"/>
        <c:majorUnit val="200"/>
      </c:valAx>
      <c:dateAx>
        <c:axId val="300909424"/>
        <c:scaling>
          <c:orientation val="minMax"/>
        </c:scaling>
        <c:delete val="1"/>
        <c:axPos val="b"/>
        <c:numFmt formatCode="m/d/yy;@" sourceLinked="1"/>
        <c:majorTickMark val="out"/>
        <c:minorTickMark val="none"/>
        <c:tickLblPos val="nextTo"/>
        <c:crossAx val="300909032"/>
        <c:crosses val="autoZero"/>
        <c:auto val="1"/>
        <c:lblOffset val="100"/>
        <c:baseTimeUnit val="days"/>
      </c:dateAx>
      <c:spPr>
        <a:ln>
          <a:solidFill>
            <a:sysClr val="windowText" lastClr="000000"/>
          </a:solid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1569699620881"/>
          <c:y val="5.0925925925925923E-2"/>
          <c:w val="0.82114118547681536"/>
          <c:h val="0.83779308836395461"/>
        </c:manualLayout>
      </c:layout>
      <c:barChart>
        <c:barDir val="col"/>
        <c:grouping val="clustered"/>
        <c:varyColors val="0"/>
        <c:ser>
          <c:idx val="3"/>
          <c:order val="1"/>
          <c:tx>
            <c:v>Net Metabolism</c:v>
          </c:tx>
          <c:spPr>
            <a:solidFill>
              <a:schemeClr val="tx1"/>
            </a:solidFill>
            <a:ln w="3175">
              <a:solidFill>
                <a:schemeClr val="tx1"/>
              </a:solidFill>
            </a:ln>
          </c:spPr>
          <c:invertIfNegative val="0"/>
          <c:cat>
            <c:numRef>
              <c:f>SUM!$A$25:$A$44</c:f>
              <c:numCache>
                <c:formatCode>m/d</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SUM!$AL$25:$AL$44</c:f>
              <c:numCache>
                <c:formatCode>#,##0.0</c:formatCode>
                <c:ptCount val="20"/>
                <c:pt idx="0">
                  <c:v>385.45315958138701</c:v>
                </c:pt>
                <c:pt idx="1">
                  <c:v>352.01856886896155</c:v>
                </c:pt>
                <c:pt idx="2">
                  <c:v>177.46959216002926</c:v>
                </c:pt>
                <c:pt idx="3">
                  <c:v>603.24874684956876</c:v>
                </c:pt>
                <c:pt idx="4">
                  <c:v>594.5013723982014</c:v>
                </c:pt>
                <c:pt idx="5">
                  <c:v>477.59980929998267</c:v>
                </c:pt>
                <c:pt idx="6">
                  <c:v>508.23316257778686</c:v>
                </c:pt>
                <c:pt idx="7">
                  <c:v>621.69084831838722</c:v>
                </c:pt>
                <c:pt idx="8">
                  <c:v>4.472614717687776</c:v>
                </c:pt>
                <c:pt idx="9">
                  <c:v>30.801314717687788</c:v>
                </c:pt>
                <c:pt idx="10">
                  <c:v>-43.189393241780067</c:v>
                </c:pt>
                <c:pt idx="11">
                  <c:v>604.88360645805835</c:v>
                </c:pt>
                <c:pt idx="12">
                  <c:v>206.17809334150272</c:v>
                </c:pt>
                <c:pt idx="13">
                  <c:v>339.77188831193064</c:v>
                </c:pt>
                <c:pt idx="14">
                  <c:v>557.85918826740749</c:v>
                </c:pt>
                <c:pt idx="15">
                  <c:v>424.52347398128131</c:v>
                </c:pt>
                <c:pt idx="16">
                  <c:v>693.9003406479012</c:v>
                </c:pt>
                <c:pt idx="17">
                  <c:v>28.396023910670124</c:v>
                </c:pt>
                <c:pt idx="18">
                  <c:v>322.8422991243612</c:v>
                </c:pt>
                <c:pt idx="19">
                  <c:v>387.17930248111691</c:v>
                </c:pt>
              </c:numCache>
            </c:numRef>
          </c:val>
          <c:extLst>
            <c:ext xmlns:c16="http://schemas.microsoft.com/office/drawing/2014/chart" uri="{C3380CC4-5D6E-409C-BE32-E72D297353CC}">
              <c16:uniqueId val="{00000000-3092-4A9D-BAC1-4B5E7CA1FA51}"/>
            </c:ext>
          </c:extLst>
        </c:ser>
        <c:dLbls>
          <c:showLegendKey val="0"/>
          <c:showVal val="0"/>
          <c:showCatName val="0"/>
          <c:showSerName val="0"/>
          <c:showPercent val="0"/>
          <c:showBubbleSize val="0"/>
        </c:dLbls>
        <c:gapWidth val="260"/>
        <c:overlap val="1"/>
        <c:axId val="300911384"/>
        <c:axId val="300910992"/>
      </c:barChart>
      <c:lineChart>
        <c:grouping val="standard"/>
        <c:varyColors val="0"/>
        <c:ser>
          <c:idx val="0"/>
          <c:order val="0"/>
          <c:tx>
            <c:v>Production</c:v>
          </c:tx>
          <c:spPr>
            <a:ln w="9525">
              <a:solidFill>
                <a:srgbClr val="000000"/>
              </a:solidFill>
            </a:ln>
          </c:spPr>
          <c:marker>
            <c:symbol val="circle"/>
            <c:size val="8"/>
            <c:spPr>
              <a:solidFill>
                <a:schemeClr val="tx1"/>
              </a:solidFill>
              <a:ln>
                <a:solidFill>
                  <a:schemeClr val="tx1"/>
                </a:solidFill>
              </a:ln>
            </c:spPr>
          </c:marker>
          <c:dPt>
            <c:idx val="11"/>
            <c:bubble3D val="0"/>
            <c:spPr>
              <a:ln w="9525">
                <a:noFill/>
              </a:ln>
            </c:spPr>
            <c:extLst>
              <c:ext xmlns:c16="http://schemas.microsoft.com/office/drawing/2014/chart" uri="{C3380CC4-5D6E-409C-BE32-E72D297353CC}">
                <c16:uniqueId val="{00000002-3092-4A9D-BAC1-4B5E7CA1FA51}"/>
              </c:ext>
            </c:extLst>
          </c:dPt>
          <c:cat>
            <c:numRef>
              <c:f>SUM!$A$25:$A$44</c:f>
              <c:numCache>
                <c:formatCode>m/d</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SUM!$AI$25:$AI$44</c:f>
              <c:numCache>
                <c:formatCode>#,##0.0</c:formatCode>
                <c:ptCount val="20"/>
                <c:pt idx="0">
                  <c:v>299.59813169589989</c:v>
                </c:pt>
                <c:pt idx="1">
                  <c:v>225.85802783761338</c:v>
                </c:pt>
                <c:pt idx="2">
                  <c:v>77.63438296296296</c:v>
                </c:pt>
                <c:pt idx="3">
                  <c:v>483.47371925925933</c:v>
                </c:pt>
                <c:pt idx="4">
                  <c:v>472.99375037037032</c:v>
                </c:pt>
                <c:pt idx="5">
                  <c:v>334.69484888888906</c:v>
                </c:pt>
                <c:pt idx="6">
                  <c:v>411.30835555555547</c:v>
                </c:pt>
                <c:pt idx="7">
                  <c:v>491.93548333333348</c:v>
                </c:pt>
                <c:pt idx="8">
                  <c:v>-141.61884000000001</c:v>
                </c:pt>
                <c:pt idx="9">
                  <c:v>-115.29013999999999</c:v>
                </c:pt>
                <c:pt idx="10">
                  <c:v>-198.14718999999999</c:v>
                </c:pt>
                <c:pt idx="11">
                  <c:v>478.86419857142863</c:v>
                </c:pt>
                <c:pt idx="12">
                  <c:v>74.258719999999983</c:v>
                </c:pt>
                <c:pt idx="13">
                  <c:v>186.51404185185191</c:v>
                </c:pt>
                <c:pt idx="14">
                  <c:v>465.28718692307689</c:v>
                </c:pt>
                <c:pt idx="15">
                  <c:v>321.23493999999999</c:v>
                </c:pt>
                <c:pt idx="16">
                  <c:v>436.63307384615376</c:v>
                </c:pt>
                <c:pt idx="17">
                  <c:v>-160.2987</c:v>
                </c:pt>
                <c:pt idx="18">
                  <c:v>238.37037999999995</c:v>
                </c:pt>
                <c:pt idx="19">
                  <c:v>300.1436066666667</c:v>
                </c:pt>
              </c:numCache>
            </c:numRef>
          </c:val>
          <c:smooth val="0"/>
          <c:extLst>
            <c:ext xmlns:c16="http://schemas.microsoft.com/office/drawing/2014/chart" uri="{C3380CC4-5D6E-409C-BE32-E72D297353CC}">
              <c16:uniqueId val="{00000003-3092-4A9D-BAC1-4B5E7CA1FA51}"/>
            </c:ext>
          </c:extLst>
        </c:ser>
        <c:ser>
          <c:idx val="1"/>
          <c:order val="2"/>
          <c:tx>
            <c:v>Respiration</c:v>
          </c:tx>
          <c:spPr>
            <a:ln w="9525">
              <a:solidFill>
                <a:srgbClr val="000000"/>
              </a:solidFill>
            </a:ln>
          </c:spPr>
          <c:marker>
            <c:symbol val="circle"/>
            <c:size val="8"/>
            <c:spPr>
              <a:solidFill>
                <a:schemeClr val="bg1">
                  <a:lumMod val="75000"/>
                </a:schemeClr>
              </a:solidFill>
              <a:ln>
                <a:solidFill>
                  <a:sysClr val="windowText" lastClr="000000"/>
                </a:solidFill>
              </a:ln>
            </c:spPr>
          </c:marker>
          <c:dPt>
            <c:idx val="11"/>
            <c:bubble3D val="0"/>
            <c:spPr>
              <a:ln w="9525">
                <a:noFill/>
              </a:ln>
            </c:spPr>
            <c:extLst>
              <c:ext xmlns:c16="http://schemas.microsoft.com/office/drawing/2014/chart" uri="{C3380CC4-5D6E-409C-BE32-E72D297353CC}">
                <c16:uniqueId val="{00000005-3092-4A9D-BAC1-4B5E7CA1FA51}"/>
              </c:ext>
            </c:extLst>
          </c:dPt>
          <c:cat>
            <c:numRef>
              <c:f>SUM!$A$25:$A$44</c:f>
              <c:numCache>
                <c:formatCode>m/d</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SUM!$AK$25:$AK$44</c:f>
              <c:numCache>
                <c:formatCode>#,##0.0</c:formatCode>
                <c:ptCount val="20"/>
                <c:pt idx="0">
                  <c:v>85.85502788548709</c:v>
                </c:pt>
                <c:pt idx="1">
                  <c:v>126.16054103134817</c:v>
                </c:pt>
                <c:pt idx="2">
                  <c:v>99.83520919706632</c:v>
                </c:pt>
                <c:pt idx="3">
                  <c:v>119.77502759030943</c:v>
                </c:pt>
                <c:pt idx="4">
                  <c:v>121.50762202783106</c:v>
                </c:pt>
                <c:pt idx="5">
                  <c:v>142.90496041109358</c:v>
                </c:pt>
                <c:pt idx="6">
                  <c:v>96.92480702223142</c:v>
                </c:pt>
                <c:pt idx="7">
                  <c:v>129.75536498505375</c:v>
                </c:pt>
                <c:pt idx="8">
                  <c:v>146.09145471768778</c:v>
                </c:pt>
                <c:pt idx="9">
                  <c:v>146.09145471768778</c:v>
                </c:pt>
                <c:pt idx="10">
                  <c:v>154.95779675821993</c:v>
                </c:pt>
                <c:pt idx="11">
                  <c:v>126.01940788662971</c:v>
                </c:pt>
                <c:pt idx="12">
                  <c:v>131.91937334150273</c:v>
                </c:pt>
                <c:pt idx="13">
                  <c:v>153.25784646007872</c:v>
                </c:pt>
                <c:pt idx="14">
                  <c:v>92.572001344330658</c:v>
                </c:pt>
                <c:pt idx="15">
                  <c:v>103.28853398128129</c:v>
                </c:pt>
                <c:pt idx="16">
                  <c:v>257.26726680174738</c:v>
                </c:pt>
                <c:pt idx="17">
                  <c:v>188.69472391067012</c:v>
                </c:pt>
                <c:pt idx="18">
                  <c:v>84.471919124361264</c:v>
                </c:pt>
                <c:pt idx="19">
                  <c:v>87.035695814450207</c:v>
                </c:pt>
              </c:numCache>
            </c:numRef>
          </c:val>
          <c:smooth val="0"/>
          <c:extLst>
            <c:ext xmlns:c16="http://schemas.microsoft.com/office/drawing/2014/chart" uri="{C3380CC4-5D6E-409C-BE32-E72D297353CC}">
              <c16:uniqueId val="{00000006-3092-4A9D-BAC1-4B5E7CA1FA51}"/>
            </c:ext>
          </c:extLst>
        </c:ser>
        <c:dLbls>
          <c:showLegendKey val="0"/>
          <c:showVal val="0"/>
          <c:showCatName val="0"/>
          <c:showSerName val="0"/>
          <c:showPercent val="0"/>
          <c:showBubbleSize val="0"/>
        </c:dLbls>
        <c:marker val="1"/>
        <c:smooth val="0"/>
        <c:axId val="300910208"/>
        <c:axId val="300910600"/>
      </c:lineChart>
      <c:scatterChart>
        <c:scatterStyle val="lineMarker"/>
        <c:varyColors val="0"/>
        <c:ser>
          <c:idx val="2"/>
          <c:order val="3"/>
          <c:tx>
            <c:v>Zero</c:v>
          </c:tx>
          <c:spPr>
            <a:ln w="6350">
              <a:solidFill>
                <a:sysClr val="windowText" lastClr="000000"/>
              </a:solidFill>
              <a:prstDash val="dash"/>
            </a:ln>
          </c:spPr>
          <c:marker>
            <c:spPr>
              <a:noFill/>
              <a:ln>
                <a:noFill/>
              </a:ln>
            </c:spPr>
          </c:marker>
          <c:xVal>
            <c:numLit>
              <c:formatCode>General</c:formatCode>
              <c:ptCount val="2"/>
              <c:pt idx="0">
                <c:v>41365</c:v>
              </c:pt>
              <c:pt idx="1">
                <c:v>41548</c:v>
              </c:pt>
            </c:numLit>
          </c:xVal>
          <c:yVal>
            <c:numLit>
              <c:formatCode>General</c:formatCode>
              <c:ptCount val="2"/>
              <c:pt idx="0">
                <c:v>0</c:v>
              </c:pt>
              <c:pt idx="1">
                <c:v>0</c:v>
              </c:pt>
            </c:numLit>
          </c:yVal>
          <c:smooth val="0"/>
          <c:extLst>
            <c:ext xmlns:c16="http://schemas.microsoft.com/office/drawing/2014/chart" uri="{C3380CC4-5D6E-409C-BE32-E72D297353CC}">
              <c16:uniqueId val="{00000007-3092-4A9D-BAC1-4B5E7CA1FA51}"/>
            </c:ext>
          </c:extLst>
        </c:ser>
        <c:dLbls>
          <c:showLegendKey val="0"/>
          <c:showVal val="0"/>
          <c:showCatName val="0"/>
          <c:showSerName val="0"/>
          <c:showPercent val="0"/>
          <c:showBubbleSize val="0"/>
        </c:dLbls>
        <c:axId val="300911384"/>
        <c:axId val="300910992"/>
      </c:scatterChart>
      <c:dateAx>
        <c:axId val="300910208"/>
        <c:scaling>
          <c:orientation val="minMax"/>
          <c:max val="41548"/>
          <c:min val="41365"/>
        </c:scaling>
        <c:delete val="0"/>
        <c:axPos val="b"/>
        <c:numFmt formatCode="mmm" sourceLinked="0"/>
        <c:majorTickMark val="out"/>
        <c:minorTickMark val="none"/>
        <c:tickLblPos val="nextTo"/>
        <c:crossAx val="300910600"/>
        <c:crossesAt val="-600"/>
        <c:auto val="1"/>
        <c:lblOffset val="100"/>
        <c:baseTimeUnit val="days"/>
        <c:majorUnit val="1"/>
        <c:majorTimeUnit val="months"/>
      </c:dateAx>
      <c:valAx>
        <c:axId val="300910600"/>
        <c:scaling>
          <c:orientation val="minMax"/>
          <c:max val="350"/>
          <c:min val="-600"/>
        </c:scaling>
        <c:delete val="0"/>
        <c:axPos val="l"/>
        <c:title>
          <c:tx>
            <c:rich>
              <a:bodyPr/>
              <a:lstStyle/>
              <a:p>
                <a:pPr>
                  <a:defRPr b="0"/>
                </a:pPr>
                <a:r>
                  <a:rPr lang="en-US" b="0"/>
                  <a:t>Residual P and R </a:t>
                </a:r>
              </a:p>
              <a:p>
                <a:pPr>
                  <a:defRPr b="0"/>
                </a:pPr>
                <a:r>
                  <a:rPr lang="en-US" b="0"/>
                  <a:t>(mmol O</a:t>
                </a:r>
                <a:r>
                  <a:rPr lang="en-US" b="0" baseline="-25000"/>
                  <a:t>2</a:t>
                </a:r>
                <a:r>
                  <a:rPr lang="en-US" b="0"/>
                  <a:t> m</a:t>
                </a:r>
                <a:r>
                  <a:rPr lang="en-US" b="0" baseline="30000"/>
                  <a:t>-2</a:t>
                </a:r>
                <a:r>
                  <a:rPr lang="en-US" b="0"/>
                  <a:t> d</a:t>
                </a:r>
                <a:r>
                  <a:rPr lang="en-US" b="0" baseline="30000"/>
                  <a:t>-1</a:t>
                </a:r>
                <a:r>
                  <a:rPr lang="en-US" b="0"/>
                  <a:t>)</a:t>
                </a:r>
              </a:p>
            </c:rich>
          </c:tx>
          <c:layout>
            <c:manualLayout>
              <c:xMode val="edge"/>
              <c:yMode val="edge"/>
              <c:x val="5.4888451443569561E-3"/>
              <c:y val="0.24341035552374135"/>
            </c:manualLayout>
          </c:layout>
          <c:overlay val="0"/>
          <c:spPr>
            <a:noFill/>
            <a:ln w="25400">
              <a:noFill/>
            </a:ln>
          </c:spPr>
        </c:title>
        <c:numFmt formatCode="0" sourceLinked="0"/>
        <c:majorTickMark val="out"/>
        <c:minorTickMark val="none"/>
        <c:tickLblPos val="nextTo"/>
        <c:spPr>
          <a:ln w="6350">
            <a:solidFill>
              <a:sysClr val="windowText" lastClr="000000"/>
            </a:solidFill>
          </a:ln>
        </c:spPr>
        <c:crossAx val="300910208"/>
        <c:crosses val="autoZero"/>
        <c:crossBetween val="between"/>
        <c:majorUnit val="200"/>
      </c:valAx>
      <c:valAx>
        <c:axId val="300910992"/>
        <c:scaling>
          <c:orientation val="minMax"/>
          <c:max val="320"/>
          <c:min val="-600"/>
        </c:scaling>
        <c:delete val="0"/>
        <c:axPos val="r"/>
        <c:numFmt formatCode="#,##0.0" sourceLinked="1"/>
        <c:majorTickMark val="out"/>
        <c:minorTickMark val="none"/>
        <c:tickLblPos val="none"/>
        <c:spPr>
          <a:ln>
            <a:solidFill>
              <a:schemeClr val="tx1"/>
            </a:solidFill>
          </a:ln>
        </c:spPr>
        <c:crossAx val="300911384"/>
        <c:crosses val="max"/>
        <c:crossBetween val="between"/>
        <c:majorUnit val="200"/>
      </c:valAx>
      <c:dateAx>
        <c:axId val="300911384"/>
        <c:scaling>
          <c:orientation val="minMax"/>
        </c:scaling>
        <c:delete val="1"/>
        <c:axPos val="b"/>
        <c:numFmt formatCode="m/d" sourceLinked="1"/>
        <c:majorTickMark val="out"/>
        <c:minorTickMark val="none"/>
        <c:tickLblPos val="nextTo"/>
        <c:crossAx val="300910992"/>
        <c:crosses val="autoZero"/>
        <c:auto val="1"/>
        <c:lblOffset val="100"/>
        <c:baseTimeUnit val="days"/>
      </c:dateAx>
      <c:spPr>
        <a:ln>
          <a:solidFill>
            <a:sysClr val="windowText" lastClr="000000"/>
          </a:solidFill>
        </a:ln>
      </c:spPr>
    </c:plotArea>
    <c:legend>
      <c:legendPos val="r"/>
      <c:legendEntry>
        <c:idx val="3"/>
        <c:delete val="1"/>
      </c:legendEntry>
      <c:layout>
        <c:manualLayout>
          <c:xMode val="edge"/>
          <c:yMode val="edge"/>
          <c:x val="0.16212962962962965"/>
          <c:y val="0.62261127103929848"/>
          <c:w val="0.23023148148148148"/>
          <c:h val="0.23355467011263711"/>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13311505611537"/>
          <c:y val="1.8190459320569261E-2"/>
          <c:w val="0.76289020233673099"/>
          <c:h val="0.81210899458882468"/>
        </c:manualLayout>
      </c:layout>
      <c:scatterChart>
        <c:scatterStyle val="lineMarker"/>
        <c:varyColors val="0"/>
        <c:ser>
          <c:idx val="0"/>
          <c:order val="0"/>
          <c:tx>
            <c:v>Shoal</c:v>
          </c:tx>
          <c:spPr>
            <a:ln w="9525">
              <a:noFill/>
            </a:ln>
          </c:spPr>
          <c:marker>
            <c:symbol val="circle"/>
            <c:size val="8"/>
            <c:spPr>
              <a:solidFill>
                <a:schemeClr val="bg1"/>
              </a:solidFill>
              <a:ln>
                <a:solidFill>
                  <a:schemeClr val="tx1"/>
                </a:solidFill>
              </a:ln>
            </c:spPr>
          </c:marker>
          <c:xVal>
            <c:numRef>
              <c:f>SUM!$AR$5:$AR$24</c:f>
              <c:numCache>
                <c:formatCode>0.0</c:formatCode>
                <c:ptCount val="20"/>
                <c:pt idx="0">
                  <c:v>58.334660941337802</c:v>
                </c:pt>
                <c:pt idx="1">
                  <c:v>41.02765067381285</c:v>
                </c:pt>
                <c:pt idx="2">
                  <c:v>55.954519909162457</c:v>
                </c:pt>
                <c:pt idx="3">
                  <c:v>56.59815121940116</c:v>
                </c:pt>
                <c:pt idx="4">
                  <c:v>56.591791647357617</c:v>
                </c:pt>
                <c:pt idx="5">
                  <c:v>62.637824150584578</c:v>
                </c:pt>
                <c:pt idx="6">
                  <c:v>59.918382091673251</c:v>
                </c:pt>
                <c:pt idx="7">
                  <c:v>58.281995591931114</c:v>
                </c:pt>
                <c:pt idx="8">
                  <c:v>60.061601168994038</c:v>
                </c:pt>
                <c:pt idx="9">
                  <c:v>58.040041786303988</c:v>
                </c:pt>
                <c:pt idx="10">
                  <c:v>53.77589452276257</c:v>
                </c:pt>
                <c:pt idx="11">
                  <c:v>28.893201907592303</c:v>
                </c:pt>
                <c:pt idx="12">
                  <c:v>35.627778009514152</c:v>
                </c:pt>
                <c:pt idx="13">
                  <c:v>27.461661120012693</c:v>
                </c:pt>
                <c:pt idx="14">
                  <c:v>22.227808685396141</c:v>
                </c:pt>
                <c:pt idx="15">
                  <c:v>21.051446510705109</c:v>
                </c:pt>
                <c:pt idx="16">
                  <c:v>26.732130039939477</c:v>
                </c:pt>
                <c:pt idx="17">
                  <c:v>33.812372013229854</c:v>
                </c:pt>
                <c:pt idx="18">
                  <c:v>35.886064588601165</c:v>
                </c:pt>
                <c:pt idx="19">
                  <c:v>48.884608601325141</c:v>
                </c:pt>
              </c:numCache>
            </c:numRef>
          </c:xVal>
          <c:yVal>
            <c:numRef>
              <c:f>SUM!$AI$5:$AI$24</c:f>
              <c:numCache>
                <c:formatCode>#,##0</c:formatCode>
                <c:ptCount val="20"/>
                <c:pt idx="0">
                  <c:v>356.55969810143199</c:v>
                </c:pt>
                <c:pt idx="1">
                  <c:v>253.28132438718339</c:v>
                </c:pt>
                <c:pt idx="2">
                  <c:v>125.53848733579797</c:v>
                </c:pt>
                <c:pt idx="3">
                  <c:v>526.38445431376454</c:v>
                </c:pt>
                <c:pt idx="4">
                  <c:v>566.14550435517788</c:v>
                </c:pt>
                <c:pt idx="5">
                  <c:v>368.95972726430898</c:v>
                </c:pt>
                <c:pt idx="6">
                  <c:v>476.5532164128046</c:v>
                </c:pt>
                <c:pt idx="7">
                  <c:v>533.8832382667922</c:v>
                </c:pt>
                <c:pt idx="8">
                  <c:v>468.58061182902509</c:v>
                </c:pt>
                <c:pt idx="9">
                  <c:v>448.6695587750832</c:v>
                </c:pt>
                <c:pt idx="10">
                  <c:v>331.10565929868363</c:v>
                </c:pt>
                <c:pt idx="11">
                  <c:v>505.62044005047619</c:v>
                </c:pt>
                <c:pt idx="12">
                  <c:v>208.66112390735407</c:v>
                </c:pt>
                <c:pt idx="13">
                  <c:v>241.17160959359637</c:v>
                </c:pt>
                <c:pt idx="14">
                  <c:v>493.57650172959541</c:v>
                </c:pt>
                <c:pt idx="15">
                  <c:v>309.71614412660563</c:v>
                </c:pt>
                <c:pt idx="16">
                  <c:v>465.50534687335289</c:v>
                </c:pt>
                <c:pt idx="17">
                  <c:v>437.80494670664422</c:v>
                </c:pt>
                <c:pt idx="18">
                  <c:v>430.46935410972094</c:v>
                </c:pt>
                <c:pt idx="19">
                  <c:v>445.59411806759704</c:v>
                </c:pt>
              </c:numCache>
            </c:numRef>
          </c:yVal>
          <c:smooth val="0"/>
          <c:extLst>
            <c:ext xmlns:c16="http://schemas.microsoft.com/office/drawing/2014/chart" uri="{C3380CC4-5D6E-409C-BE32-E72D297353CC}">
              <c16:uniqueId val="{00000000-B2A7-43D8-84E9-5606844B01D5}"/>
            </c:ext>
          </c:extLst>
        </c:ser>
        <c:ser>
          <c:idx val="3"/>
          <c:order val="1"/>
          <c:tx>
            <c:v>Channel</c:v>
          </c:tx>
          <c:spPr>
            <a:ln w="28575">
              <a:noFill/>
            </a:ln>
          </c:spPr>
          <c:marker>
            <c:symbol val="circle"/>
            <c:size val="7"/>
            <c:spPr>
              <a:solidFill>
                <a:schemeClr val="tx1"/>
              </a:solidFill>
              <a:ln>
                <a:solidFill>
                  <a:schemeClr val="tx1"/>
                </a:solidFill>
              </a:ln>
            </c:spPr>
          </c:marker>
          <c:xVal>
            <c:numRef>
              <c:f>SUM!$AR$25:$AR$44</c:f>
              <c:numCache>
                <c:formatCode>0.0</c:formatCode>
                <c:ptCount val="20"/>
                <c:pt idx="0">
                  <c:v>12.62181684236886</c:v>
                </c:pt>
                <c:pt idx="1">
                  <c:v>3.3066298124763569</c:v>
                </c:pt>
                <c:pt idx="2">
                  <c:v>10.152544795304156</c:v>
                </c:pt>
                <c:pt idx="3">
                  <c:v>8.8985697906785948</c:v>
                </c:pt>
                <c:pt idx="4">
                  <c:v>9.4970306624752521</c:v>
                </c:pt>
                <c:pt idx="5">
                  <c:v>14.832091124938929</c:v>
                </c:pt>
                <c:pt idx="6">
                  <c:v>13.503086712159257</c:v>
                </c:pt>
                <c:pt idx="7">
                  <c:v>14.835033337087561</c:v>
                </c:pt>
                <c:pt idx="8">
                  <c:v>10.978326325823868</c:v>
                </c:pt>
                <c:pt idx="9">
                  <c:v>10.251789819241756</c:v>
                </c:pt>
                <c:pt idx="10">
                  <c:v>8.7158831043891549</c:v>
                </c:pt>
                <c:pt idx="11">
                  <c:v>0.46698679545745458</c:v>
                </c:pt>
                <c:pt idx="12">
                  <c:v>1.5212103600110711</c:v>
                </c:pt>
                <c:pt idx="13">
                  <c:v>0.47438049426086809</c:v>
                </c:pt>
                <c:pt idx="14">
                  <c:v>0.36691881959932127</c:v>
                </c:pt>
                <c:pt idx="15">
                  <c:v>0.20908902492163117</c:v>
                </c:pt>
                <c:pt idx="16">
                  <c:v>0.532606161436318</c:v>
                </c:pt>
                <c:pt idx="17">
                  <c:v>2.0443989308675952</c:v>
                </c:pt>
                <c:pt idx="18">
                  <c:v>2.8000469830724977</c:v>
                </c:pt>
                <c:pt idx="19">
                  <c:v>5.84545064245685</c:v>
                </c:pt>
              </c:numCache>
            </c:numRef>
          </c:xVal>
          <c:yVal>
            <c:numRef>
              <c:f>SUM!$AT$25:$AT$44</c:f>
              <c:numCache>
                <c:formatCode>#,##0.0</c:formatCode>
                <c:ptCount val="20"/>
                <c:pt idx="0">
                  <c:v>10.110075290737457</c:v>
                </c:pt>
                <c:pt idx="1">
                  <c:v>2.6486104797935619</c:v>
                </c:pt>
                <c:pt idx="2">
                  <c:v>8.1321883810386293</c:v>
                </c:pt>
                <c:pt idx="3">
                  <c:v>7.1277544023335544</c:v>
                </c:pt>
                <c:pt idx="4">
                  <c:v>7.6071215606426774</c:v>
                </c:pt>
                <c:pt idx="5">
                  <c:v>11.880504991076082</c:v>
                </c:pt>
                <c:pt idx="6">
                  <c:v>10.815972456439566</c:v>
                </c:pt>
                <c:pt idx="7">
                  <c:v>11.882861703007137</c:v>
                </c:pt>
                <c:pt idx="8">
                  <c:v>8.7936393869849194</c:v>
                </c:pt>
                <c:pt idx="9">
                  <c:v>8.2116836452126467</c:v>
                </c:pt>
                <c:pt idx="10">
                  <c:v>6.9814223666157131</c:v>
                </c:pt>
                <c:pt idx="11">
                  <c:v>0.37405642316142113</c:v>
                </c:pt>
                <c:pt idx="12">
                  <c:v>1.2184894983688681</c:v>
                </c:pt>
                <c:pt idx="13">
                  <c:v>0.37997877590295537</c:v>
                </c:pt>
                <c:pt idx="14">
                  <c:v>0.29390197449905636</c:v>
                </c:pt>
                <c:pt idx="15">
                  <c:v>0.16748030896222657</c:v>
                </c:pt>
                <c:pt idx="16">
                  <c:v>0.42661753531049074</c:v>
                </c:pt>
                <c:pt idx="17">
                  <c:v>1.6375635436249438</c:v>
                </c:pt>
                <c:pt idx="18">
                  <c:v>2.2428376334410709</c:v>
                </c:pt>
                <c:pt idx="19">
                  <c:v>4.6822059646079373</c:v>
                </c:pt>
              </c:numCache>
            </c:numRef>
          </c:yVal>
          <c:smooth val="0"/>
          <c:extLst>
            <c:ext xmlns:c16="http://schemas.microsoft.com/office/drawing/2014/chart" uri="{C3380CC4-5D6E-409C-BE32-E72D297353CC}">
              <c16:uniqueId val="{00000000-0DC3-49A7-85CE-151CF954553B}"/>
            </c:ext>
          </c:extLst>
        </c:ser>
        <c:ser>
          <c:idx val="2"/>
          <c:order val="2"/>
          <c:tx>
            <c:v>Microalgae, Murrell et al. 2009</c:v>
          </c:tx>
          <c:spPr>
            <a:ln w="19050">
              <a:solidFill>
                <a:sysClr val="windowText" lastClr="000000"/>
              </a:solidFill>
            </a:ln>
          </c:spPr>
          <c:marker>
            <c:symbol val="none"/>
          </c:marker>
          <c:xVal>
            <c:numRef>
              <c:f>F_10_not_included!$I$7:$I$9</c:f>
              <c:numCache>
                <c:formatCode>General</c:formatCode>
                <c:ptCount val="3"/>
                <c:pt idx="0">
                  <c:v>0</c:v>
                </c:pt>
                <c:pt idx="1">
                  <c:v>10</c:v>
                </c:pt>
                <c:pt idx="2">
                  <c:v>20</c:v>
                </c:pt>
              </c:numCache>
            </c:numRef>
          </c:xVal>
          <c:yVal>
            <c:numRef>
              <c:f>F_10_not_included!$J$7:$J$9</c:f>
              <c:numCache>
                <c:formatCode>General</c:formatCode>
                <c:ptCount val="3"/>
                <c:pt idx="0">
                  <c:v>0</c:v>
                </c:pt>
                <c:pt idx="1">
                  <c:v>8.01</c:v>
                </c:pt>
                <c:pt idx="2">
                  <c:v>16.02</c:v>
                </c:pt>
              </c:numCache>
            </c:numRef>
          </c:yVal>
          <c:smooth val="0"/>
          <c:extLst>
            <c:ext xmlns:c16="http://schemas.microsoft.com/office/drawing/2014/chart" uri="{C3380CC4-5D6E-409C-BE32-E72D297353CC}">
              <c16:uniqueId val="{00000000-5C52-4221-A190-B07037B2BDCA}"/>
            </c:ext>
          </c:extLst>
        </c:ser>
        <c:ser>
          <c:idx val="1"/>
          <c:order val="3"/>
          <c:tx>
            <c:v>Seagrass-associated, This Study</c:v>
          </c:tx>
          <c:spPr>
            <a:ln w="22225">
              <a:solidFill>
                <a:sysClr val="windowText" lastClr="000000"/>
              </a:solidFill>
              <a:prstDash val="dash"/>
            </a:ln>
          </c:spPr>
          <c:marker>
            <c:symbol val="none"/>
          </c:marker>
          <c:xVal>
            <c:numRef>
              <c:f>F_10_not_included!$I$7:$I$10</c:f>
              <c:numCache>
                <c:formatCode>General</c:formatCode>
                <c:ptCount val="4"/>
                <c:pt idx="0">
                  <c:v>0</c:v>
                </c:pt>
                <c:pt idx="1">
                  <c:v>10</c:v>
                </c:pt>
                <c:pt idx="2">
                  <c:v>20</c:v>
                </c:pt>
                <c:pt idx="3">
                  <c:v>65</c:v>
                </c:pt>
              </c:numCache>
            </c:numRef>
          </c:xVal>
          <c:yVal>
            <c:numRef>
              <c:f>F_10_not_included!$K$7:$K$10</c:f>
              <c:numCache>
                <c:formatCode>0</c:formatCode>
                <c:ptCount val="4"/>
                <c:pt idx="0">
                  <c:v>27.375494871423484</c:v>
                </c:pt>
                <c:pt idx="1">
                  <c:v>109.94673675764854</c:v>
                </c:pt>
                <c:pt idx="2">
                  <c:v>192.51797864387359</c:v>
                </c:pt>
                <c:pt idx="3">
                  <c:v>564.08856713188629</c:v>
                </c:pt>
              </c:numCache>
            </c:numRef>
          </c:yVal>
          <c:smooth val="0"/>
          <c:extLst>
            <c:ext xmlns:c16="http://schemas.microsoft.com/office/drawing/2014/chart" uri="{C3380CC4-5D6E-409C-BE32-E72D297353CC}">
              <c16:uniqueId val="{00000001-5C52-4221-A190-B07037B2BDCA}"/>
            </c:ext>
          </c:extLst>
        </c:ser>
        <c:dLbls>
          <c:showLegendKey val="0"/>
          <c:showVal val="0"/>
          <c:showCatName val="0"/>
          <c:showSerName val="0"/>
          <c:showPercent val="0"/>
          <c:showBubbleSize val="0"/>
        </c:dLbls>
        <c:axId val="305448856"/>
        <c:axId val="305449248"/>
      </c:scatterChart>
      <c:valAx>
        <c:axId val="305448856"/>
        <c:scaling>
          <c:orientation val="minMax"/>
          <c:max val="70"/>
          <c:min val="0"/>
        </c:scaling>
        <c:delete val="0"/>
        <c:axPos val="b"/>
        <c:title>
          <c:tx>
            <c:rich>
              <a:bodyPr/>
              <a:lstStyle/>
              <a:p>
                <a:pPr>
                  <a:defRPr b="0"/>
                </a:pPr>
                <a:r>
                  <a:rPr lang="en-US" b="0"/>
                  <a:t>% Surface Irradiance</a:t>
                </a:r>
                <a:r>
                  <a:rPr lang="en-US" b="0" baseline="0"/>
                  <a:t> at the Sediment-Water Interface</a:t>
                </a:r>
                <a:endParaRPr lang="en-US" b="0"/>
              </a:p>
            </c:rich>
          </c:tx>
          <c:layout>
            <c:manualLayout>
              <c:xMode val="edge"/>
              <c:yMode val="edge"/>
              <c:x val="0.24901723867084821"/>
              <c:y val="0.92440096742159716"/>
            </c:manualLayout>
          </c:layout>
          <c:overlay val="0"/>
        </c:title>
        <c:numFmt formatCode="General" sourceLinked="0"/>
        <c:majorTickMark val="out"/>
        <c:minorTickMark val="none"/>
        <c:tickLblPos val="nextTo"/>
        <c:spPr>
          <a:ln w="6350">
            <a:solidFill>
              <a:sysClr val="windowText" lastClr="000000"/>
            </a:solidFill>
          </a:ln>
        </c:spPr>
        <c:txPr>
          <a:bodyPr rot="0" vert="horz"/>
          <a:lstStyle/>
          <a:p>
            <a:pPr>
              <a:defRPr sz="1000" b="0" i="0" u="none" strike="noStrike" baseline="0">
                <a:solidFill>
                  <a:srgbClr val="000000"/>
                </a:solidFill>
                <a:latin typeface="Arial"/>
                <a:ea typeface="Arial"/>
                <a:cs typeface="Arial"/>
              </a:defRPr>
            </a:pPr>
            <a:endParaRPr lang="en-US"/>
          </a:p>
        </c:txPr>
        <c:crossAx val="305449248"/>
        <c:crossesAt val="-500"/>
        <c:crossBetween val="midCat"/>
      </c:valAx>
      <c:valAx>
        <c:axId val="305449248"/>
        <c:scaling>
          <c:orientation val="minMax"/>
          <c:max val="350"/>
          <c:min val="0"/>
        </c:scaling>
        <c:delete val="0"/>
        <c:axPos val="l"/>
        <c:title>
          <c:tx>
            <c:rich>
              <a:bodyPr/>
              <a:lstStyle/>
              <a:p>
                <a:pPr>
                  <a:defRPr b="0"/>
                </a:pPr>
                <a:r>
                  <a:rPr lang="en-US" b="0"/>
                  <a:t>Benthic Gross</a:t>
                </a:r>
                <a:r>
                  <a:rPr lang="en-US" b="0" baseline="0"/>
                  <a:t> Production</a:t>
                </a:r>
              </a:p>
              <a:p>
                <a:pPr>
                  <a:defRPr b="0"/>
                </a:pPr>
                <a:r>
                  <a:rPr lang="en-US" b="0" baseline="0"/>
                  <a:t>(mmol O</a:t>
                </a:r>
                <a:r>
                  <a:rPr lang="en-US" b="0" baseline="-25000"/>
                  <a:t>2</a:t>
                </a:r>
                <a:r>
                  <a:rPr lang="en-US" b="0" baseline="0"/>
                  <a:t> m</a:t>
                </a:r>
                <a:r>
                  <a:rPr lang="en-US" b="0" baseline="30000"/>
                  <a:t>-2</a:t>
                </a:r>
                <a:r>
                  <a:rPr lang="en-US" b="0" baseline="0"/>
                  <a:t> d</a:t>
                </a:r>
                <a:r>
                  <a:rPr lang="en-US" b="0" baseline="30000"/>
                  <a:t>-1</a:t>
                </a:r>
                <a:r>
                  <a:rPr lang="en-US" b="0" baseline="0"/>
                  <a:t>)</a:t>
                </a:r>
                <a:endParaRPr lang="en-US" b="0"/>
              </a:p>
            </c:rich>
          </c:tx>
          <c:layout>
            <c:manualLayout>
              <c:xMode val="edge"/>
              <c:yMode val="edge"/>
              <c:x val="2.7693703553083582E-2"/>
              <c:y val="0.18257724107222734"/>
            </c:manualLayout>
          </c:layout>
          <c:overlay val="0"/>
        </c:title>
        <c:numFmt formatCode="#,##0" sourceLinked="1"/>
        <c:majorTickMark val="out"/>
        <c:minorTickMark val="none"/>
        <c:tickLblPos val="nextTo"/>
        <c:spPr>
          <a:ln w="6350">
            <a:solidFill>
              <a:sysClr val="windowText" lastClr="000000"/>
            </a:solidFill>
          </a:ln>
        </c:spPr>
        <c:crossAx val="305448856"/>
        <c:crosses val="autoZero"/>
        <c:crossBetween val="midCat"/>
      </c:valAx>
      <c:spPr>
        <a:ln>
          <a:solidFill>
            <a:sysClr val="windowText" lastClr="000000"/>
          </a:solidFill>
        </a:ln>
      </c:spPr>
    </c:plotArea>
    <c:legend>
      <c:legendPos val="r"/>
      <c:layout>
        <c:manualLayout>
          <c:xMode val="edge"/>
          <c:yMode val="edge"/>
          <c:x val="0.20006090676839047"/>
          <c:y val="3.4041006398101412E-2"/>
          <c:w val="0.58000378779695982"/>
          <c:h val="0.23361593601232095"/>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189" l="0.70000000000000062" r="0.70000000000000062" t="0.75000000000000189"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54829239291772"/>
          <c:y val="2.6954177897574136E-2"/>
          <c:w val="0.78861832895888018"/>
          <c:h val="0.79887197433654122"/>
        </c:manualLayout>
      </c:layout>
      <c:scatterChart>
        <c:scatterStyle val="lineMarker"/>
        <c:varyColors val="0"/>
        <c:ser>
          <c:idx val="5"/>
          <c:order val="0"/>
          <c:tx>
            <c:v>Shoal</c:v>
          </c:tx>
          <c:spPr>
            <a:ln w="28575">
              <a:noFill/>
            </a:ln>
          </c:spPr>
          <c:marker>
            <c:symbol val="circle"/>
            <c:size val="7"/>
            <c:spPr>
              <a:noFill/>
              <a:ln>
                <a:solidFill>
                  <a:srgbClr val="000000"/>
                </a:solidFill>
                <a:prstDash val="solid"/>
              </a:ln>
            </c:spPr>
          </c:marker>
          <c:xVal>
            <c:numRef>
              <c:f>Raw!$F$5:$F$24</c:f>
              <c:numCache>
                <c:formatCode>0.00</c:formatCode>
                <c:ptCount val="2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numCache>
            </c:numRef>
          </c:xVal>
          <c:yVal>
            <c:numRef>
              <c:f>SUM!$P$5:$P$24</c:f>
              <c:numCache>
                <c:formatCode>0.00</c:formatCode>
                <c:ptCount val="20"/>
                <c:pt idx="0">
                  <c:v>0.3901909181613965</c:v>
                </c:pt>
                <c:pt idx="1">
                  <c:v>0.28287391395291067</c:v>
                </c:pt>
                <c:pt idx="2">
                  <c:v>0.94944309946302985</c:v>
                </c:pt>
                <c:pt idx="3">
                  <c:v>0.57769133951114338</c:v>
                </c:pt>
                <c:pt idx="4">
                  <c:v>0.893951747012805</c:v>
                </c:pt>
                <c:pt idx="5">
                  <c:v>3.141600493318998</c:v>
                </c:pt>
                <c:pt idx="6">
                  <c:v>2.4140436997324728</c:v>
                </c:pt>
                <c:pt idx="7">
                  <c:v>1.7574958373944287</c:v>
                </c:pt>
                <c:pt idx="8">
                  <c:v>3.8139786560847022</c:v>
                </c:pt>
                <c:pt idx="9">
                  <c:v>2.3945969579533468</c:v>
                </c:pt>
                <c:pt idx="10">
                  <c:v>2.0599179341227027</c:v>
                </c:pt>
                <c:pt idx="11">
                  <c:v>0.78294756801553733</c:v>
                </c:pt>
                <c:pt idx="12">
                  <c:v>4.4493509583883437</c:v>
                </c:pt>
                <c:pt idx="13">
                  <c:v>5.6222443597244958</c:v>
                </c:pt>
                <c:pt idx="14">
                  <c:v>4.7520926754370665</c:v>
                </c:pt>
                <c:pt idx="15">
                  <c:v>6.5895881777084711</c:v>
                </c:pt>
                <c:pt idx="16">
                  <c:v>3.0777392882390391</c:v>
                </c:pt>
                <c:pt idx="17">
                  <c:v>1.5563863110157001</c:v>
                </c:pt>
                <c:pt idx="18">
                  <c:v>4.8541813246388221</c:v>
                </c:pt>
                <c:pt idx="19">
                  <c:v>2.1051977588597603</c:v>
                </c:pt>
              </c:numCache>
            </c:numRef>
          </c:yVal>
          <c:smooth val="0"/>
          <c:extLst>
            <c:ext xmlns:c16="http://schemas.microsoft.com/office/drawing/2014/chart" uri="{C3380CC4-5D6E-409C-BE32-E72D297353CC}">
              <c16:uniqueId val="{00000000-08AB-4412-9AD6-357B89C97DD2}"/>
            </c:ext>
          </c:extLst>
        </c:ser>
        <c:ser>
          <c:idx val="0"/>
          <c:order val="1"/>
          <c:tx>
            <c:v>Channel</c:v>
          </c:tx>
          <c:spPr>
            <a:ln w="28575">
              <a:noFill/>
            </a:ln>
          </c:spPr>
          <c:marker>
            <c:symbol val="circle"/>
            <c:size val="7"/>
            <c:spPr>
              <a:solidFill>
                <a:srgbClr val="000000"/>
              </a:solidFill>
              <a:ln>
                <a:solidFill>
                  <a:srgbClr val="000000"/>
                </a:solidFill>
                <a:prstDash val="solid"/>
              </a:ln>
            </c:spPr>
          </c:marker>
          <c:xVal>
            <c:numRef>
              <c:f>Raw!$F$25:$F$44</c:f>
              <c:numCache>
                <c:formatCode>0.00</c:formatCode>
                <c:ptCount val="20"/>
                <c:pt idx="0">
                  <c:v>2.1960000000000002</c:v>
                </c:pt>
                <c:pt idx="1">
                  <c:v>3.2725</c:v>
                </c:pt>
                <c:pt idx="2">
                  <c:v>2.72</c:v>
                </c:pt>
                <c:pt idx="3">
                  <c:v>3.012</c:v>
                </c:pt>
                <c:pt idx="4">
                  <c:v>2.9552941176470591</c:v>
                </c:pt>
                <c:pt idx="5">
                  <c:v>2.8456470588235296</c:v>
                </c:pt>
                <c:pt idx="6">
                  <c:v>2.7359999999999998</c:v>
                </c:pt>
                <c:pt idx="7">
                  <c:v>1.6454</c:v>
                </c:pt>
                <c:pt idx="8">
                  <c:v>2.31</c:v>
                </c:pt>
                <c:pt idx="9">
                  <c:v>4.5628571428571432</c:v>
                </c:pt>
                <c:pt idx="10">
                  <c:v>3.37</c:v>
                </c:pt>
                <c:pt idx="11">
                  <c:v>8.2333333333333343</c:v>
                </c:pt>
                <c:pt idx="12">
                  <c:v>7.9857142857142858</c:v>
                </c:pt>
                <c:pt idx="13">
                  <c:v>7.6766666666666685</c:v>
                </c:pt>
                <c:pt idx="14">
                  <c:v>8.8509090909090915</c:v>
                </c:pt>
                <c:pt idx="15">
                  <c:v>9.9239999999999995</c:v>
                </c:pt>
                <c:pt idx="16">
                  <c:v>10.976666666666668</c:v>
                </c:pt>
                <c:pt idx="17">
                  <c:v>6.7240000000000002</c:v>
                </c:pt>
                <c:pt idx="18">
                  <c:v>4.706666666666667</c:v>
                </c:pt>
                <c:pt idx="19">
                  <c:v>5.3879999999999999</c:v>
                </c:pt>
              </c:numCache>
            </c:numRef>
          </c:xVal>
          <c:yVal>
            <c:numRef>
              <c:f>SUM!$P$25:$P$44</c:f>
              <c:numCache>
                <c:formatCode>0.00</c:formatCode>
                <c:ptCount val="20"/>
                <c:pt idx="0">
                  <c:v>0.88110852810648588</c:v>
                </c:pt>
                <c:pt idx="1">
                  <c:v>0.30078146358414415</c:v>
                </c:pt>
                <c:pt idx="2">
                  <c:v>0.59989252177746277</c:v>
                </c:pt>
                <c:pt idx="3">
                  <c:v>0.88685857782415423</c:v>
                </c:pt>
                <c:pt idx="4">
                  <c:v>0.63684615195920846</c:v>
                </c:pt>
                <c:pt idx="5">
                  <c:v>1.832134099435246</c:v>
                </c:pt>
                <c:pt idx="6">
                  <c:v>2.377855025021296</c:v>
                </c:pt>
                <c:pt idx="7">
                  <c:v>1.6663782681939532</c:v>
                </c:pt>
                <c:pt idx="8">
                  <c:v>3.2087348153653958</c:v>
                </c:pt>
                <c:pt idx="9">
                  <c:v>3.2087348153653958</c:v>
                </c:pt>
                <c:pt idx="10">
                  <c:v>2.2393689649071491</c:v>
                </c:pt>
                <c:pt idx="11">
                  <c:v>1.751242446204083</c:v>
                </c:pt>
                <c:pt idx="12">
                  <c:v>6.7343791405891782</c:v>
                </c:pt>
                <c:pt idx="13">
                  <c:v>3.3144619086160247</c:v>
                </c:pt>
                <c:pt idx="14">
                  <c:v>3.8988989940592127</c:v>
                </c:pt>
                <c:pt idx="15">
                  <c:v>9.1489718936791444</c:v>
                </c:pt>
                <c:pt idx="16">
                  <c:v>3.5888101695348293</c:v>
                </c:pt>
                <c:pt idx="17">
                  <c:v>0.38537131467797847</c:v>
                </c:pt>
                <c:pt idx="18">
                  <c:v>3.9737372418988035</c:v>
                </c:pt>
                <c:pt idx="19">
                  <c:v>2.2733689458029613</c:v>
                </c:pt>
              </c:numCache>
            </c:numRef>
          </c:yVal>
          <c:smooth val="0"/>
          <c:extLst>
            <c:ext xmlns:c16="http://schemas.microsoft.com/office/drawing/2014/chart" uri="{C3380CC4-5D6E-409C-BE32-E72D297353CC}">
              <c16:uniqueId val="{00000001-08AB-4412-9AD6-357B89C97DD2}"/>
            </c:ext>
          </c:extLst>
        </c:ser>
        <c:dLbls>
          <c:showLegendKey val="0"/>
          <c:showVal val="0"/>
          <c:showCatName val="0"/>
          <c:showSerName val="0"/>
          <c:showPercent val="0"/>
          <c:showBubbleSize val="0"/>
        </c:dLbls>
        <c:axId val="300637928"/>
        <c:axId val="300638320"/>
      </c:scatterChart>
      <c:valAx>
        <c:axId val="300637928"/>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en-US"/>
                  <a:t>Chlorophyll a</a:t>
                </a:r>
              </a:p>
            </c:rich>
          </c:tx>
          <c:layout>
            <c:manualLayout>
              <c:xMode val="edge"/>
              <c:yMode val="edge"/>
              <c:x val="0.40107414698162724"/>
              <c:y val="0.91262399018304519"/>
            </c:manualLayout>
          </c:layout>
          <c:overlay val="0"/>
          <c:spPr>
            <a:noFill/>
            <a:ln w="25400">
              <a:noFill/>
            </a:ln>
          </c:spPr>
        </c:title>
        <c:numFmt formatCode="General" sourceLinked="0"/>
        <c:majorTickMark val="out"/>
        <c:minorTickMark val="none"/>
        <c:tickLblPos val="low"/>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638320"/>
        <c:crosses val="autoZero"/>
        <c:crossBetween val="midCat"/>
      </c:valAx>
      <c:valAx>
        <c:axId val="30063832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US"/>
                  <a:t>NLI</a:t>
                </a:r>
              </a:p>
            </c:rich>
          </c:tx>
          <c:layout>
            <c:manualLayout>
              <c:xMode val="edge"/>
              <c:yMode val="edge"/>
              <c:x val="3.7656824146981627E-2"/>
              <c:y val="0.37218643124154938"/>
            </c:manualLayout>
          </c:layout>
          <c:overlay val="0"/>
          <c:spPr>
            <a:noFill/>
            <a:ln w="25400">
              <a:noFill/>
            </a:ln>
          </c:spPr>
        </c:title>
        <c:numFmt formatCode="#,##0" sourceLinked="0"/>
        <c:majorTickMark val="out"/>
        <c:minorTickMark val="none"/>
        <c:tickLblPos val="low"/>
        <c:spPr>
          <a:ln w="127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637928"/>
        <c:crossesAt val="0"/>
        <c:crossBetween val="midCat"/>
      </c:valAx>
      <c:spPr>
        <a:noFill/>
        <a:ln w="12700">
          <a:solidFill>
            <a:srgbClr val="000000"/>
          </a:solidFill>
          <a:prstDash val="solid"/>
        </a:ln>
      </c:spPr>
    </c:plotArea>
    <c:legend>
      <c:legendPos val="r"/>
      <c:layout>
        <c:manualLayout>
          <c:xMode val="edge"/>
          <c:yMode val="edge"/>
          <c:x val="0.70108552055993001"/>
          <c:y val="6.3634091193146308E-2"/>
          <c:w val="0.18718116711276508"/>
          <c:h val="0.144336832895888"/>
        </c:manualLayout>
      </c:layout>
      <c:overlay val="0"/>
      <c:txPr>
        <a:bodyPr/>
        <a:lstStyle/>
        <a:p>
          <a:pPr>
            <a:defRPr sz="11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0561440372564"/>
          <c:y val="8.6225436804165487E-2"/>
          <c:w val="0.84965920283096985"/>
          <c:h val="0.64916721347331585"/>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errBars>
            <c:errBarType val="plus"/>
            <c:errValType val="cust"/>
            <c:noEndCap val="0"/>
            <c:plus>
              <c:numRef>
                <c:f>SUM!$M$5:$M$24</c:f>
                <c:numCache>
                  <c:formatCode>General</c:formatCode>
                  <c:ptCount val="20"/>
                  <c:pt idx="0">
                    <c:v>0.45899001515413052</c:v>
                  </c:pt>
                  <c:pt idx="1">
                    <c:v>0.12544390274009912</c:v>
                  </c:pt>
                  <c:pt idx="2">
                    <c:v>3.4568034594593375</c:v>
                  </c:pt>
                  <c:pt idx="3">
                    <c:v>0.73300376034315329</c:v>
                  </c:pt>
                  <c:pt idx="4">
                    <c:v>9.63527600558238E-2</c:v>
                  </c:pt>
                  <c:pt idx="5">
                    <c:v>1.1491741425628614</c:v>
                  </c:pt>
                  <c:pt idx="6">
                    <c:v>1.1068482645484898</c:v>
                  </c:pt>
                  <c:pt idx="7">
                    <c:v>2.2646246144380258</c:v>
                  </c:pt>
                  <c:pt idx="8">
                    <c:v>1.9876667236650718</c:v>
                  </c:pt>
                  <c:pt idx="9">
                    <c:v>9.1397053764331577</c:v>
                  </c:pt>
                  <c:pt idx="10">
                    <c:v>3.2001556944522167</c:v>
                  </c:pt>
                  <c:pt idx="11">
                    <c:v>0.39376319069139293</c:v>
                  </c:pt>
                  <c:pt idx="12">
                    <c:v>0.50219539124910018</c:v>
                  </c:pt>
                  <c:pt idx="13">
                    <c:v>4.760548009978752</c:v>
                  </c:pt>
                  <c:pt idx="14">
                    <c:v>2.3687984271242843</c:v>
                  </c:pt>
                  <c:pt idx="15">
                    <c:v>3.937239990147595</c:v>
                  </c:pt>
                  <c:pt idx="16">
                    <c:v>0.94982801278793283</c:v>
                  </c:pt>
                  <c:pt idx="17">
                    <c:v>1.2651210614685406</c:v>
                  </c:pt>
                  <c:pt idx="18">
                    <c:v>1.7352909356868866</c:v>
                  </c:pt>
                  <c:pt idx="19">
                    <c:v>2.8283341958643184</c:v>
                  </c:pt>
                </c:numCache>
              </c:numRef>
            </c:plus>
            <c:minus>
              <c:numRef>
                <c:f>SUM!$M$5:$M$24</c:f>
                <c:numCache>
                  <c:formatCode>General</c:formatCode>
                  <c:ptCount val="20"/>
                  <c:pt idx="0">
                    <c:v>0.45899001515413052</c:v>
                  </c:pt>
                  <c:pt idx="1">
                    <c:v>0.12544390274009912</c:v>
                  </c:pt>
                  <c:pt idx="2">
                    <c:v>3.4568034594593375</c:v>
                  </c:pt>
                  <c:pt idx="3">
                    <c:v>0.73300376034315329</c:v>
                  </c:pt>
                  <c:pt idx="4">
                    <c:v>9.63527600558238E-2</c:v>
                  </c:pt>
                  <c:pt idx="5">
                    <c:v>1.1491741425628614</c:v>
                  </c:pt>
                  <c:pt idx="6">
                    <c:v>1.1068482645484898</c:v>
                  </c:pt>
                  <c:pt idx="7">
                    <c:v>2.2646246144380258</c:v>
                  </c:pt>
                  <c:pt idx="8">
                    <c:v>1.9876667236650718</c:v>
                  </c:pt>
                  <c:pt idx="9">
                    <c:v>9.1397053764331577</c:v>
                  </c:pt>
                  <c:pt idx="10">
                    <c:v>3.2001556944522167</c:v>
                  </c:pt>
                  <c:pt idx="11">
                    <c:v>0.39376319069139293</c:v>
                  </c:pt>
                  <c:pt idx="12">
                    <c:v>0.50219539124910018</c:v>
                  </c:pt>
                  <c:pt idx="13">
                    <c:v>4.760548009978752</c:v>
                  </c:pt>
                  <c:pt idx="14">
                    <c:v>2.3687984271242843</c:v>
                  </c:pt>
                  <c:pt idx="15">
                    <c:v>3.937239990147595</c:v>
                  </c:pt>
                  <c:pt idx="16">
                    <c:v>0.94982801278793283</c:v>
                  </c:pt>
                  <c:pt idx="17">
                    <c:v>1.2651210614685406</c:v>
                  </c:pt>
                  <c:pt idx="18">
                    <c:v>1.7352909356868866</c:v>
                  </c:pt>
                  <c:pt idx="19">
                    <c:v>2.8283341958643184</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SUM!$L$5:$L$24</c:f>
              <c:numCache>
                <c:formatCode>0.0</c:formatCode>
                <c:ptCount val="20"/>
                <c:pt idx="0">
                  <c:v>4.250398968514391</c:v>
                </c:pt>
                <c:pt idx="1">
                  <c:v>3.1728589530128661</c:v>
                </c:pt>
                <c:pt idx="2">
                  <c:v>7.2824289586917557</c:v>
                </c:pt>
                <c:pt idx="3">
                  <c:v>3.0297504574932232</c:v>
                </c:pt>
                <c:pt idx="4">
                  <c:v>1.0631214713666761</c:v>
                </c:pt>
                <c:pt idx="5">
                  <c:v>4.2884190029975606</c:v>
                </c:pt>
                <c:pt idx="6">
                  <c:v>5.3140061369933642</c:v>
                </c:pt>
                <c:pt idx="7">
                  <c:v>4.4878614409358875</c:v>
                </c:pt>
                <c:pt idx="8">
                  <c:v>7.3606122424428149</c:v>
                </c:pt>
                <c:pt idx="9">
                  <c:v>2.6516184634325004</c:v>
                </c:pt>
                <c:pt idx="10">
                  <c:v>3.7468626240770075</c:v>
                </c:pt>
                <c:pt idx="11">
                  <c:v>3.8583972384600886</c:v>
                </c:pt>
                <c:pt idx="12">
                  <c:v>14.596371626682238</c:v>
                </c:pt>
                <c:pt idx="13">
                  <c:v>5.8122513476593261</c:v>
                </c:pt>
                <c:pt idx="14">
                  <c:v>5.1633294273387884</c:v>
                </c:pt>
                <c:pt idx="15">
                  <c:v>8.4944090495184064</c:v>
                </c:pt>
                <c:pt idx="16">
                  <c:v>3.2892239710369964</c:v>
                </c:pt>
                <c:pt idx="17">
                  <c:v>10.11824907783771</c:v>
                </c:pt>
                <c:pt idx="18">
                  <c:v>8.2647101545908939</c:v>
                </c:pt>
                <c:pt idx="19">
                  <c:v>11.197489007788231</c:v>
                </c:pt>
              </c:numCache>
            </c:numRef>
          </c:val>
          <c:extLst>
            <c:ext xmlns:c16="http://schemas.microsoft.com/office/drawing/2014/chart" uri="{C3380CC4-5D6E-409C-BE32-E72D297353CC}">
              <c16:uniqueId val="{00000000-F0B2-450B-A009-72E8DBAE451B}"/>
            </c:ext>
          </c:extLst>
        </c:ser>
        <c:ser>
          <c:idx val="4"/>
          <c:order val="1"/>
          <c:tx>
            <c:v>Channel</c:v>
          </c:tx>
          <c:spPr>
            <a:solidFill>
              <a:srgbClr val="969696"/>
            </a:solidFill>
            <a:ln w="12700">
              <a:solidFill>
                <a:srgbClr val="000000"/>
              </a:solidFill>
              <a:prstDash val="solid"/>
            </a:ln>
          </c:spPr>
          <c:invertIfNegative val="0"/>
          <c:errBars>
            <c:errBarType val="plus"/>
            <c:errValType val="cust"/>
            <c:noEndCap val="0"/>
            <c:plus>
              <c:numRef>
                <c:f>SUM!$M$25:$M$44</c:f>
                <c:numCache>
                  <c:formatCode>General</c:formatCode>
                  <c:ptCount val="20"/>
                  <c:pt idx="0">
                    <c:v>0.78886935906431321</c:v>
                  </c:pt>
                  <c:pt idx="1">
                    <c:v>0.83097681020999414</c:v>
                  </c:pt>
                  <c:pt idx="2">
                    <c:v>0.55958200215205389</c:v>
                  </c:pt>
                  <c:pt idx="3">
                    <c:v>0.26888670312733876</c:v>
                  </c:pt>
                  <c:pt idx="4">
                    <c:v>0.11748744492718738</c:v>
                  </c:pt>
                  <c:pt idx="5">
                    <c:v>0.17032925501128623</c:v>
                  </c:pt>
                  <c:pt idx="6">
                    <c:v>6.9108264662352061</c:v>
                  </c:pt>
                  <c:pt idx="7">
                    <c:v>4.0434656559119073</c:v>
                  </c:pt>
                  <c:pt idx="8">
                    <c:v>1.39401752685606</c:v>
                  </c:pt>
                  <c:pt idx="9">
                    <c:v>0.87112410595019341</c:v>
                  </c:pt>
                  <c:pt idx="10">
                    <c:v>2.5087378910732538</c:v>
                  </c:pt>
                  <c:pt idx="11">
                    <c:v>0.87216254841692453</c:v>
                  </c:pt>
                  <c:pt idx="12">
                    <c:v>3.7972142396970132</c:v>
                  </c:pt>
                  <c:pt idx="13">
                    <c:v>1.9628901971198747</c:v>
                  </c:pt>
                  <c:pt idx="14">
                    <c:v>1.5859457676308069</c:v>
                  </c:pt>
                  <c:pt idx="15">
                    <c:v>2.3251433906265397</c:v>
                  </c:pt>
                  <c:pt idx="16">
                    <c:v>1.1194940775281592</c:v>
                  </c:pt>
                  <c:pt idx="17">
                    <c:v>2.6588051004597273</c:v>
                  </c:pt>
                  <c:pt idx="18">
                    <c:v>3.7072753340955367</c:v>
                  </c:pt>
                  <c:pt idx="19">
                    <c:v>2.6231652121146207</c:v>
                  </c:pt>
                </c:numCache>
              </c:numRef>
            </c:plus>
            <c:minus>
              <c:numRef>
                <c:f>SUM!$M$25:$M$44</c:f>
                <c:numCache>
                  <c:formatCode>General</c:formatCode>
                  <c:ptCount val="20"/>
                  <c:pt idx="0">
                    <c:v>0.78886935906431321</c:v>
                  </c:pt>
                  <c:pt idx="1">
                    <c:v>0.83097681020999414</c:v>
                  </c:pt>
                  <c:pt idx="2">
                    <c:v>0.55958200215205389</c:v>
                  </c:pt>
                  <c:pt idx="3">
                    <c:v>0.26888670312733876</c:v>
                  </c:pt>
                  <c:pt idx="4">
                    <c:v>0.11748744492718738</c:v>
                  </c:pt>
                  <c:pt idx="5">
                    <c:v>0.17032925501128623</c:v>
                  </c:pt>
                  <c:pt idx="6">
                    <c:v>6.9108264662352061</c:v>
                  </c:pt>
                  <c:pt idx="7">
                    <c:v>4.0434656559119073</c:v>
                  </c:pt>
                  <c:pt idx="8">
                    <c:v>1.39401752685606</c:v>
                  </c:pt>
                  <c:pt idx="9">
                    <c:v>0.87112410595019341</c:v>
                  </c:pt>
                  <c:pt idx="10">
                    <c:v>2.5087378910732538</c:v>
                  </c:pt>
                  <c:pt idx="11">
                    <c:v>0.87216254841692453</c:v>
                  </c:pt>
                  <c:pt idx="12">
                    <c:v>3.7972142396970132</c:v>
                  </c:pt>
                  <c:pt idx="13">
                    <c:v>1.9628901971198747</c:v>
                  </c:pt>
                  <c:pt idx="14">
                    <c:v>1.5859457676308069</c:v>
                  </c:pt>
                  <c:pt idx="15">
                    <c:v>2.3251433906265397</c:v>
                  </c:pt>
                  <c:pt idx="16">
                    <c:v>1.1194940775281592</c:v>
                  </c:pt>
                  <c:pt idx="17">
                    <c:v>2.6588051004597273</c:v>
                  </c:pt>
                  <c:pt idx="18">
                    <c:v>3.7072753340955367</c:v>
                  </c:pt>
                  <c:pt idx="19">
                    <c:v>2.6231652121146207</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SUM!$L$25:$L$44</c:f>
              <c:numCache>
                <c:formatCode>0.0</c:formatCode>
                <c:ptCount val="20"/>
                <c:pt idx="0">
                  <c:v>5.912323045208848</c:v>
                </c:pt>
                <c:pt idx="1">
                  <c:v>4.5453572412246102</c:v>
                </c:pt>
                <c:pt idx="2">
                  <c:v>7.2433067591553479</c:v>
                </c:pt>
                <c:pt idx="3">
                  <c:v>2.3482159940964165</c:v>
                </c:pt>
                <c:pt idx="4">
                  <c:v>2.0584439144426216</c:v>
                </c:pt>
                <c:pt idx="5">
                  <c:v>2.8416637376930325</c:v>
                </c:pt>
                <c:pt idx="6">
                  <c:v>4.0078626851082255</c:v>
                </c:pt>
                <c:pt idx="7">
                  <c:v>9.0579254539076199</c:v>
                </c:pt>
                <c:pt idx="8">
                  <c:v>7.6855388709628345</c:v>
                </c:pt>
                <c:pt idx="9">
                  <c:v>4.8027073180438293</c:v>
                </c:pt>
                <c:pt idx="10">
                  <c:v>9.9451667706191031</c:v>
                </c:pt>
                <c:pt idx="11">
                  <c:v>3.9991782312492266</c:v>
                </c:pt>
                <c:pt idx="12">
                  <c:v>15.932953167585511</c:v>
                </c:pt>
                <c:pt idx="13">
                  <c:v>11.146714956238389</c:v>
                </c:pt>
                <c:pt idx="14">
                  <c:v>3.6842377023443817</c:v>
                </c:pt>
                <c:pt idx="15">
                  <c:v>6.2952929789357288</c:v>
                </c:pt>
                <c:pt idx="16">
                  <c:v>6.8355969064851898</c:v>
                </c:pt>
                <c:pt idx="17">
                  <c:v>8.7182201472268019</c:v>
                </c:pt>
                <c:pt idx="18">
                  <c:v>9.7683685016435007</c:v>
                </c:pt>
                <c:pt idx="19">
                  <c:v>12.632595697128446</c:v>
                </c:pt>
              </c:numCache>
            </c:numRef>
          </c:val>
          <c:extLst>
            <c:ext xmlns:c16="http://schemas.microsoft.com/office/drawing/2014/chart" uri="{C3380CC4-5D6E-409C-BE32-E72D297353CC}">
              <c16:uniqueId val="{00000001-F0B2-450B-A009-72E8DBAE451B}"/>
            </c:ext>
          </c:extLst>
        </c:ser>
        <c:dLbls>
          <c:showLegendKey val="0"/>
          <c:showVal val="0"/>
          <c:showCatName val="0"/>
          <c:showSerName val="0"/>
          <c:showPercent val="0"/>
          <c:showBubbleSize val="0"/>
        </c:dLbls>
        <c:gapWidth val="50"/>
        <c:axId val="300639104"/>
        <c:axId val="300639496"/>
      </c:barChart>
      <c:catAx>
        <c:axId val="300639104"/>
        <c:scaling>
          <c:orientation val="minMax"/>
        </c:scaling>
        <c:delete val="0"/>
        <c:axPos val="b"/>
        <c:numFmt formatCode="m/d" sourceLinked="0"/>
        <c:majorTickMark val="none"/>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639496"/>
        <c:crosses val="autoZero"/>
        <c:auto val="0"/>
        <c:lblAlgn val="ctr"/>
        <c:lblOffset val="100"/>
        <c:tickLblSkip val="1"/>
        <c:tickMarkSkip val="1"/>
        <c:noMultiLvlLbl val="0"/>
      </c:catAx>
      <c:valAx>
        <c:axId val="300639496"/>
        <c:scaling>
          <c:orientation val="minMax"/>
          <c:max val="20"/>
          <c:min val="0"/>
        </c:scaling>
        <c:delete val="0"/>
        <c:axPos val="l"/>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a:ea typeface="Arial"/>
                    <a:cs typeface="Arial"/>
                  </a:defRPr>
                </a:pPr>
                <a:r>
                  <a:rPr lang="el-GR" sz="1000"/>
                  <a:t>α</a:t>
                </a:r>
                <a:endParaRPr lang="el-GR" sz="1000">
                  <a:effectLst/>
                </a:endParaRPr>
              </a:p>
            </c:rich>
          </c:tx>
          <c:layout>
            <c:manualLayout>
              <c:xMode val="edge"/>
              <c:yMode val="edge"/>
              <c:x val="3.3208829665522586E-3"/>
              <c:y val="0.288054461942257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639104"/>
        <c:crosses val="autoZero"/>
        <c:crossBetween val="between"/>
      </c:valAx>
      <c:spPr>
        <a:noFill/>
        <a:ln w="25400">
          <a:noFill/>
        </a:ln>
      </c:spPr>
    </c:plotArea>
    <c:legend>
      <c:legendPos val="r"/>
      <c:layout>
        <c:manualLayout>
          <c:xMode val="edge"/>
          <c:yMode val="edge"/>
          <c:x val="0.20133690019516795"/>
          <c:y val="8.836176727909012E-2"/>
          <c:w val="0.11388350494649707"/>
          <c:h val="0.2369892825896763"/>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0561440372564"/>
          <c:y val="8.6225436804165487E-2"/>
          <c:w val="0.84965920283096985"/>
          <c:h val="0.64916721347331585"/>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errBars>
            <c:errBarType val="plus"/>
            <c:errValType val="cust"/>
            <c:noEndCap val="0"/>
            <c:plus>
              <c:numRef>
                <c:f>SUM!$O$5:$O$24</c:f>
                <c:numCache>
                  <c:formatCode>General</c:formatCode>
                  <c:ptCount val="20"/>
                  <c:pt idx="0">
                    <c:v>4.5554031569636104E-2</c:v>
                  </c:pt>
                  <c:pt idx="1">
                    <c:v>6.5712395215502019E-3</c:v>
                  </c:pt>
                  <c:pt idx="2">
                    <c:v>0.14271613340815781</c:v>
                  </c:pt>
                  <c:pt idx="3">
                    <c:v>0.11231595991867548</c:v>
                  </c:pt>
                  <c:pt idx="4">
                    <c:v>1.7362744078918732E-2</c:v>
                  </c:pt>
                  <c:pt idx="5">
                    <c:v>0.12084610524520634</c:v>
                  </c:pt>
                  <c:pt idx="6">
                    <c:v>7.324394674305075E-2</c:v>
                  </c:pt>
                  <c:pt idx="7">
                    <c:v>9.0293216888693906E-2</c:v>
                  </c:pt>
                  <c:pt idx="8">
                    <c:v>0.11611391379865096</c:v>
                  </c:pt>
                  <c:pt idx="9">
                    <c:v>0.28430167015037283</c:v>
                  </c:pt>
                  <c:pt idx="10">
                    <c:v>4.8435885394680855E-2</c:v>
                  </c:pt>
                  <c:pt idx="11">
                    <c:v>1.4640083273071126E-2</c:v>
                  </c:pt>
                  <c:pt idx="12">
                    <c:v>3.7051025225290961E-2</c:v>
                  </c:pt>
                  <c:pt idx="13">
                    <c:v>3.8590701017382163E-2</c:v>
                  </c:pt>
                  <c:pt idx="14">
                    <c:v>8.1266263328797064E-2</c:v>
                  </c:pt>
                  <c:pt idx="15">
                    <c:v>3.5492233279228048E-2</c:v>
                  </c:pt>
                  <c:pt idx="16">
                    <c:v>8.7026480492171914E-3</c:v>
                  </c:pt>
                  <c:pt idx="17">
                    <c:v>5.0761714313422322E-2</c:v>
                  </c:pt>
                  <c:pt idx="18">
                    <c:v>4.9462759845935102E-2</c:v>
                  </c:pt>
                  <c:pt idx="19">
                    <c:v>9.4026307592342651E-2</c:v>
                  </c:pt>
                </c:numCache>
              </c:numRef>
            </c:plus>
            <c:minus>
              <c:numRef>
                <c:f>SUM!$O$5:$O$24</c:f>
                <c:numCache>
                  <c:formatCode>General</c:formatCode>
                  <c:ptCount val="20"/>
                  <c:pt idx="0">
                    <c:v>4.5554031569636104E-2</c:v>
                  </c:pt>
                  <c:pt idx="1">
                    <c:v>6.5712395215502019E-3</c:v>
                  </c:pt>
                  <c:pt idx="2">
                    <c:v>0.14271613340815781</c:v>
                  </c:pt>
                  <c:pt idx="3">
                    <c:v>0.11231595991867548</c:v>
                  </c:pt>
                  <c:pt idx="4">
                    <c:v>1.7362744078918732E-2</c:v>
                  </c:pt>
                  <c:pt idx="5">
                    <c:v>0.12084610524520634</c:v>
                  </c:pt>
                  <c:pt idx="6">
                    <c:v>7.324394674305075E-2</c:v>
                  </c:pt>
                  <c:pt idx="7">
                    <c:v>9.0293216888693906E-2</c:v>
                  </c:pt>
                  <c:pt idx="8">
                    <c:v>0.11611391379865096</c:v>
                  </c:pt>
                  <c:pt idx="9">
                    <c:v>0.28430167015037283</c:v>
                  </c:pt>
                  <c:pt idx="10">
                    <c:v>4.8435885394680855E-2</c:v>
                  </c:pt>
                  <c:pt idx="11">
                    <c:v>1.4640083273071126E-2</c:v>
                  </c:pt>
                  <c:pt idx="12">
                    <c:v>3.7051025225290961E-2</c:v>
                  </c:pt>
                  <c:pt idx="13">
                    <c:v>3.8590701017382163E-2</c:v>
                  </c:pt>
                  <c:pt idx="14">
                    <c:v>8.1266263328797064E-2</c:v>
                  </c:pt>
                  <c:pt idx="15">
                    <c:v>3.5492233279228048E-2</c:v>
                  </c:pt>
                  <c:pt idx="16">
                    <c:v>8.7026480492171914E-3</c:v>
                  </c:pt>
                  <c:pt idx="17">
                    <c:v>5.0761714313422322E-2</c:v>
                  </c:pt>
                  <c:pt idx="18">
                    <c:v>4.9462759845935102E-2</c:v>
                  </c:pt>
                  <c:pt idx="19">
                    <c:v>9.4026307592342651E-2</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SUM!$N$5:$N$24</c:f>
              <c:numCache>
                <c:formatCode>0.0</c:formatCode>
                <c:ptCount val="20"/>
                <c:pt idx="0">
                  <c:v>0.51233751975619812</c:v>
                </c:pt>
                <c:pt idx="1">
                  <c:v>0.23049164180493073</c:v>
                </c:pt>
                <c:pt idx="2">
                  <c:v>0.46925851743072416</c:v>
                </c:pt>
                <c:pt idx="3">
                  <c:v>0.53073255514508522</c:v>
                </c:pt>
                <c:pt idx="4">
                  <c:v>0.23694706895954468</c:v>
                </c:pt>
                <c:pt idx="5">
                  <c:v>0.43149312304241477</c:v>
                </c:pt>
                <c:pt idx="6">
                  <c:v>0.64871663054930917</c:v>
                </c:pt>
                <c:pt idx="7">
                  <c:v>0.44377547391236344</c:v>
                </c:pt>
                <c:pt idx="8">
                  <c:v>0.61925754043537495</c:v>
                </c:pt>
                <c:pt idx="9">
                  <c:v>0.36920642583153018</c:v>
                </c:pt>
                <c:pt idx="10">
                  <c:v>0.33701647270014096</c:v>
                </c:pt>
                <c:pt idx="11">
                  <c:v>0.19530218741631783</c:v>
                </c:pt>
                <c:pt idx="12">
                  <c:v>0.60116370714181977</c:v>
                </c:pt>
                <c:pt idx="13">
                  <c:v>0.55280388832435334</c:v>
                </c:pt>
                <c:pt idx="14">
                  <c:v>0.23751759843389267</c:v>
                </c:pt>
                <c:pt idx="15">
                  <c:v>0.39690353500847164</c:v>
                </c:pt>
                <c:pt idx="16">
                  <c:v>0.18260526960059176</c:v>
                </c:pt>
                <c:pt idx="17">
                  <c:v>0.46132174822450855</c:v>
                </c:pt>
                <c:pt idx="18">
                  <c:v>0.41725196065539732</c:v>
                </c:pt>
                <c:pt idx="19">
                  <c:v>0.51829610803158954</c:v>
                </c:pt>
              </c:numCache>
            </c:numRef>
          </c:val>
          <c:extLst>
            <c:ext xmlns:c16="http://schemas.microsoft.com/office/drawing/2014/chart" uri="{C3380CC4-5D6E-409C-BE32-E72D297353CC}">
              <c16:uniqueId val="{00000000-F0B2-450B-A009-72E8DBAE451B}"/>
            </c:ext>
          </c:extLst>
        </c:ser>
        <c:ser>
          <c:idx val="4"/>
          <c:order val="1"/>
          <c:tx>
            <c:v>Channel</c:v>
          </c:tx>
          <c:spPr>
            <a:solidFill>
              <a:srgbClr val="969696"/>
            </a:solidFill>
            <a:ln w="12700">
              <a:solidFill>
                <a:srgbClr val="000000"/>
              </a:solidFill>
              <a:prstDash val="solid"/>
            </a:ln>
          </c:spPr>
          <c:invertIfNegative val="0"/>
          <c:errBars>
            <c:errBarType val="plus"/>
            <c:errValType val="cust"/>
            <c:noEndCap val="0"/>
            <c:plus>
              <c:numRef>
                <c:f>SUM!$O$25:$O$44</c:f>
                <c:numCache>
                  <c:formatCode>General</c:formatCode>
                  <c:ptCount val="20"/>
                  <c:pt idx="0">
                    <c:v>9.4735210777761383E-2</c:v>
                  </c:pt>
                  <c:pt idx="1">
                    <c:v>1.7962237154306369E-2</c:v>
                  </c:pt>
                  <c:pt idx="2">
                    <c:v>2.8773017275414287E-2</c:v>
                  </c:pt>
                  <c:pt idx="3">
                    <c:v>5.0298994453301875E-2</c:v>
                  </c:pt>
                  <c:pt idx="4">
                    <c:v>2.4503767173931407E-2</c:v>
                  </c:pt>
                  <c:pt idx="5">
                    <c:v>1.9572384296855524E-2</c:v>
                  </c:pt>
                  <c:pt idx="6">
                    <c:v>3.0574657847869575E-2</c:v>
                  </c:pt>
                  <c:pt idx="7">
                    <c:v>0.16477780742835371</c:v>
                  </c:pt>
                  <c:pt idx="8">
                    <c:v>7.8357545942024071E-2</c:v>
                  </c:pt>
                  <c:pt idx="9">
                    <c:v>3.9669427610598912E-2</c:v>
                  </c:pt>
                  <c:pt idx="10">
                    <c:v>0.11391382443014794</c:v>
                  </c:pt>
                  <c:pt idx="11">
                    <c:v>7.1156757253524577E-2</c:v>
                  </c:pt>
                  <c:pt idx="12">
                    <c:v>3.1455851310836717E-2</c:v>
                  </c:pt>
                  <c:pt idx="13">
                    <c:v>3.476619875990463E-2</c:v>
                  </c:pt>
                  <c:pt idx="14">
                    <c:v>5.3263261379070163E-2</c:v>
                  </c:pt>
                  <c:pt idx="15">
                    <c:v>5.9082078841621095E-2</c:v>
                  </c:pt>
                  <c:pt idx="16">
                    <c:v>4.4344518342241332E-2</c:v>
                  </c:pt>
                  <c:pt idx="17">
                    <c:v>3.8395251797369433E-2</c:v>
                  </c:pt>
                  <c:pt idx="18">
                    <c:v>0.14987504271184943</c:v>
                  </c:pt>
                  <c:pt idx="19">
                    <c:v>7.9107337093192481E-2</c:v>
                  </c:pt>
                </c:numCache>
              </c:numRef>
            </c:plus>
            <c:minus>
              <c:numRef>
                <c:f>SUM!$O$25:$O$44</c:f>
                <c:numCache>
                  <c:formatCode>General</c:formatCode>
                  <c:ptCount val="20"/>
                  <c:pt idx="0">
                    <c:v>9.4735210777761383E-2</c:v>
                  </c:pt>
                  <c:pt idx="1">
                    <c:v>1.7962237154306369E-2</c:v>
                  </c:pt>
                  <c:pt idx="2">
                    <c:v>2.8773017275414287E-2</c:v>
                  </c:pt>
                  <c:pt idx="3">
                    <c:v>5.0298994453301875E-2</c:v>
                  </c:pt>
                  <c:pt idx="4">
                    <c:v>2.4503767173931407E-2</c:v>
                  </c:pt>
                  <c:pt idx="5">
                    <c:v>1.9572384296855524E-2</c:v>
                  </c:pt>
                  <c:pt idx="6">
                    <c:v>3.0574657847869575E-2</c:v>
                  </c:pt>
                  <c:pt idx="7">
                    <c:v>0.16477780742835371</c:v>
                  </c:pt>
                  <c:pt idx="8">
                    <c:v>7.8357545942024071E-2</c:v>
                  </c:pt>
                  <c:pt idx="9">
                    <c:v>3.9669427610598912E-2</c:v>
                  </c:pt>
                  <c:pt idx="10">
                    <c:v>0.11391382443014794</c:v>
                  </c:pt>
                  <c:pt idx="11">
                    <c:v>7.1156757253524577E-2</c:v>
                  </c:pt>
                  <c:pt idx="12">
                    <c:v>3.1455851310836717E-2</c:v>
                  </c:pt>
                  <c:pt idx="13">
                    <c:v>3.476619875990463E-2</c:v>
                  </c:pt>
                  <c:pt idx="14">
                    <c:v>5.3263261379070163E-2</c:v>
                  </c:pt>
                  <c:pt idx="15">
                    <c:v>5.9082078841621095E-2</c:v>
                  </c:pt>
                  <c:pt idx="16">
                    <c:v>4.4344518342241332E-2</c:v>
                  </c:pt>
                  <c:pt idx="17">
                    <c:v>3.8395251797369433E-2</c:v>
                  </c:pt>
                  <c:pt idx="18">
                    <c:v>0.14987504271184943</c:v>
                  </c:pt>
                  <c:pt idx="19">
                    <c:v>7.9107337093192481E-2</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SUM!$N$25:$N$44</c:f>
              <c:numCache>
                <c:formatCode>0.0</c:formatCode>
                <c:ptCount val="20"/>
                <c:pt idx="0">
                  <c:v>0.69335197541783111</c:v>
                </c:pt>
                <c:pt idx="1">
                  <c:v>0.33376063550460228</c:v>
                </c:pt>
                <c:pt idx="2">
                  <c:v>0.33558129316316709</c:v>
                </c:pt>
                <c:pt idx="3">
                  <c:v>0.37958602840793204</c:v>
                </c:pt>
                <c:pt idx="4">
                  <c:v>0.33129660465730182</c:v>
                </c:pt>
                <c:pt idx="5">
                  <c:v>0.38970179994010784</c:v>
                </c:pt>
                <c:pt idx="6">
                  <c:v>0.37482889140935333</c:v>
                </c:pt>
                <c:pt idx="7">
                  <c:v>0.49078539017321388</c:v>
                </c:pt>
                <c:pt idx="8">
                  <c:v>0.48831180118382528</c:v>
                </c:pt>
                <c:pt idx="9">
                  <c:v>0.24721358250289463</c:v>
                </c:pt>
                <c:pt idx="10">
                  <c:v>0.47724417083560633</c:v>
                </c:pt>
                <c:pt idx="11">
                  <c:v>0.10339468396743261</c:v>
                </c:pt>
                <c:pt idx="12">
                  <c:v>0.74488678302685407</c:v>
                </c:pt>
                <c:pt idx="13">
                  <c:v>0.36183368510974245</c:v>
                </c:pt>
                <c:pt idx="14">
                  <c:v>0.21559434934067717</c:v>
                </c:pt>
                <c:pt idx="15">
                  <c:v>0.30909810872467758</c:v>
                </c:pt>
                <c:pt idx="16">
                  <c:v>0.23959403925172426</c:v>
                </c:pt>
                <c:pt idx="17">
                  <c:v>0.58719754252566159</c:v>
                </c:pt>
                <c:pt idx="18">
                  <c:v>0.5220797266619075</c:v>
                </c:pt>
                <c:pt idx="19">
                  <c:v>0.59165417348354099</c:v>
                </c:pt>
              </c:numCache>
            </c:numRef>
          </c:val>
          <c:extLst>
            <c:ext xmlns:c16="http://schemas.microsoft.com/office/drawing/2014/chart" uri="{C3380CC4-5D6E-409C-BE32-E72D297353CC}">
              <c16:uniqueId val="{00000001-F0B2-450B-A009-72E8DBAE451B}"/>
            </c:ext>
          </c:extLst>
        </c:ser>
        <c:dLbls>
          <c:showLegendKey val="0"/>
          <c:showVal val="0"/>
          <c:showCatName val="0"/>
          <c:showSerName val="0"/>
          <c:showPercent val="0"/>
          <c:showBubbleSize val="0"/>
        </c:dLbls>
        <c:gapWidth val="50"/>
        <c:axId val="300640280"/>
        <c:axId val="300640672"/>
      </c:barChart>
      <c:catAx>
        <c:axId val="300640280"/>
        <c:scaling>
          <c:orientation val="minMax"/>
        </c:scaling>
        <c:delete val="0"/>
        <c:axPos val="b"/>
        <c:numFmt formatCode="m/d" sourceLinked="0"/>
        <c:majorTickMark val="none"/>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640672"/>
        <c:crosses val="autoZero"/>
        <c:auto val="0"/>
        <c:lblAlgn val="ctr"/>
        <c:lblOffset val="100"/>
        <c:tickLblSkip val="1"/>
        <c:tickMarkSkip val="1"/>
        <c:noMultiLvlLbl val="0"/>
      </c:catAx>
      <c:valAx>
        <c:axId val="300640672"/>
        <c:scaling>
          <c:orientation val="minMax"/>
          <c:min val="0"/>
        </c:scaling>
        <c:delete val="0"/>
        <c:axPos val="l"/>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a:ea typeface="Arial"/>
                    <a:cs typeface="Arial"/>
                  </a:defRPr>
                </a:pPr>
                <a:r>
                  <a:rPr lang="en-US" sz="1000">
                    <a:effectLst/>
                  </a:rPr>
                  <a:t>PBm</a:t>
                </a:r>
              </a:p>
            </c:rich>
          </c:tx>
          <c:layout>
            <c:manualLayout>
              <c:xMode val="edge"/>
              <c:yMode val="edge"/>
              <c:x val="3.3208829665522586E-3"/>
              <c:y val="0.288054461942257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64028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65812853070404"/>
          <c:y val="8.6225436804165487E-2"/>
          <c:w val="0.83566906920352313"/>
          <c:h val="0.64916721347331585"/>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errBars>
            <c:errBarType val="plus"/>
            <c:errValType val="cust"/>
            <c:noEndCap val="0"/>
            <c:plus>
              <c:numRef>
                <c:f>SUM!$D$5:$D$24</c:f>
                <c:numCache>
                  <c:formatCode>General</c:formatCode>
                  <c:ptCount val="20"/>
                  <c:pt idx="0">
                    <c:v>0.64470996525755608</c:v>
                  </c:pt>
                  <c:pt idx="1">
                    <c:v>0.17050271479178836</c:v>
                  </c:pt>
                  <c:pt idx="2">
                    <c:v>1.1623286418903338</c:v>
                  </c:pt>
                  <c:pt idx="3">
                    <c:v>0.98574652672922036</c:v>
                  </c:pt>
                  <c:pt idx="4">
                    <c:v>0.18200894290659947</c:v>
                  </c:pt>
                  <c:pt idx="5">
                    <c:v>0.90796642817030537</c:v>
                  </c:pt>
                  <c:pt idx="6">
                    <c:v>1.4098972526567841</c:v>
                  </c:pt>
                  <c:pt idx="7">
                    <c:v>3.4239947047868493</c:v>
                  </c:pt>
                  <c:pt idx="8">
                    <c:v>3.864942180936783</c:v>
                  </c:pt>
                  <c:pt idx="9">
                    <c:v>18.078164724511055</c:v>
                  </c:pt>
                  <c:pt idx="10">
                    <c:v>7.9344666061078142</c:v>
                  </c:pt>
                  <c:pt idx="11">
                    <c:v>1.8588175202885571</c:v>
                  </c:pt>
                  <c:pt idx="12">
                    <c:v>1.6201957849209749</c:v>
                  </c:pt>
                  <c:pt idx="13">
                    <c:v>9.3099892420360781</c:v>
                  </c:pt>
                  <c:pt idx="14">
                    <c:v>10.330791708680744</c:v>
                  </c:pt>
                  <c:pt idx="15">
                    <c:v>15.004547943381692</c:v>
                  </c:pt>
                  <c:pt idx="16">
                    <c:v>5.6562709197732177</c:v>
                  </c:pt>
                  <c:pt idx="17">
                    <c:v>5.7505115427456834</c:v>
                  </c:pt>
                  <c:pt idx="18">
                    <c:v>15.165155507536552</c:v>
                  </c:pt>
                  <c:pt idx="19">
                    <c:v>7.7204882334206495</c:v>
                  </c:pt>
                </c:numCache>
              </c:numRef>
            </c:plus>
            <c:minus>
              <c:numRef>
                <c:f>SUM!$D$5:$D$24</c:f>
                <c:numCache>
                  <c:formatCode>General</c:formatCode>
                  <c:ptCount val="20"/>
                  <c:pt idx="0">
                    <c:v>0.64470996525755608</c:v>
                  </c:pt>
                  <c:pt idx="1">
                    <c:v>0.17050271479178836</c:v>
                  </c:pt>
                  <c:pt idx="2">
                    <c:v>1.1623286418903338</c:v>
                  </c:pt>
                  <c:pt idx="3">
                    <c:v>0.98574652672922036</c:v>
                  </c:pt>
                  <c:pt idx="4">
                    <c:v>0.18200894290659947</c:v>
                  </c:pt>
                  <c:pt idx="5">
                    <c:v>0.90796642817030537</c:v>
                  </c:pt>
                  <c:pt idx="6">
                    <c:v>1.4098972526567841</c:v>
                  </c:pt>
                  <c:pt idx="7">
                    <c:v>3.4239947047868493</c:v>
                  </c:pt>
                  <c:pt idx="8">
                    <c:v>3.864942180936783</c:v>
                  </c:pt>
                  <c:pt idx="9">
                    <c:v>18.078164724511055</c:v>
                  </c:pt>
                  <c:pt idx="10">
                    <c:v>7.9344666061078142</c:v>
                  </c:pt>
                  <c:pt idx="11">
                    <c:v>1.8588175202885571</c:v>
                  </c:pt>
                  <c:pt idx="12">
                    <c:v>1.6201957849209749</c:v>
                  </c:pt>
                  <c:pt idx="13">
                    <c:v>9.3099892420360781</c:v>
                  </c:pt>
                  <c:pt idx="14">
                    <c:v>10.330791708680744</c:v>
                  </c:pt>
                  <c:pt idx="15">
                    <c:v>15.004547943381692</c:v>
                  </c:pt>
                  <c:pt idx="16">
                    <c:v>5.6562709197732177</c:v>
                  </c:pt>
                  <c:pt idx="17">
                    <c:v>5.7505115427456834</c:v>
                  </c:pt>
                  <c:pt idx="18">
                    <c:v>15.165155507536552</c:v>
                  </c:pt>
                  <c:pt idx="19">
                    <c:v>7.7204882334206495</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SUM!$C$5:$C$24</c:f>
              <c:numCache>
                <c:formatCode>0.0</c:formatCode>
                <c:ptCount val="20"/>
                <c:pt idx="0">
                  <c:v>5.9702269784702642</c:v>
                </c:pt>
                <c:pt idx="1">
                  <c:v>4.3125337567100104</c:v>
                </c:pt>
                <c:pt idx="2">
                  <c:v>2.4486713984436164</c:v>
                </c:pt>
                <c:pt idx="3">
                  <c:v>4.074421103831801</c:v>
                </c:pt>
                <c:pt idx="4">
                  <c:v>2.0082207823901554</c:v>
                </c:pt>
                <c:pt idx="5">
                  <c:v>3.3882945503504178</c:v>
                </c:pt>
                <c:pt idx="6">
                  <c:v>6.7689518908036455</c:v>
                </c:pt>
                <c:pt idx="7">
                  <c:v>6.7854132254915838</c:v>
                </c:pt>
                <c:pt idx="8">
                  <c:v>14.31242994342675</c:v>
                </c:pt>
                <c:pt idx="9">
                  <c:v>5.2448512719121361</c:v>
                </c:pt>
                <c:pt idx="10">
                  <c:v>9.2899718660411637</c:v>
                </c:pt>
                <c:pt idx="11">
                  <c:v>18.214136203258292</c:v>
                </c:pt>
                <c:pt idx="12">
                  <c:v>47.09119238603337</c:v>
                </c:pt>
                <c:pt idx="13">
                  <c:v>11.366758071821135</c:v>
                </c:pt>
                <c:pt idx="14">
                  <c:v>22.518286159914013</c:v>
                </c:pt>
                <c:pt idx="15">
                  <c:v>32.37160248121333</c:v>
                </c:pt>
                <c:pt idx="16">
                  <c:v>19.587484939919758</c:v>
                </c:pt>
                <c:pt idx="17">
                  <c:v>45.991731452910045</c:v>
                </c:pt>
                <c:pt idx="18">
                  <c:v>72.227435838864267</c:v>
                </c:pt>
                <c:pt idx="19">
                  <c:v>30.565723900271824</c:v>
                </c:pt>
              </c:numCache>
            </c:numRef>
          </c:val>
          <c:extLst>
            <c:ext xmlns:c16="http://schemas.microsoft.com/office/drawing/2014/chart" uri="{C3380CC4-5D6E-409C-BE32-E72D297353CC}">
              <c16:uniqueId val="{00000000-F0B2-450B-A009-72E8DBAE451B}"/>
            </c:ext>
          </c:extLst>
        </c:ser>
        <c:ser>
          <c:idx val="4"/>
          <c:order val="1"/>
          <c:tx>
            <c:v>Channel</c:v>
          </c:tx>
          <c:spPr>
            <a:solidFill>
              <a:srgbClr val="969696"/>
            </a:solidFill>
            <a:ln w="12700">
              <a:solidFill>
                <a:srgbClr val="000000"/>
              </a:solidFill>
              <a:prstDash val="solid"/>
            </a:ln>
          </c:spPr>
          <c:invertIfNegative val="0"/>
          <c:errBars>
            <c:errBarType val="plus"/>
            <c:errValType val="cust"/>
            <c:noEndCap val="0"/>
            <c:plus>
              <c:numRef>
                <c:f>SUM!$D$25:$D$44</c:f>
                <c:numCache>
                  <c:formatCode>General</c:formatCode>
                  <c:ptCount val="20"/>
                  <c:pt idx="0">
                    <c:v>0.81654910010477866</c:v>
                  </c:pt>
                  <c:pt idx="1">
                    <c:v>0.82601819153849554</c:v>
                  </c:pt>
                  <c:pt idx="2">
                    <c:v>0.25285781774425403</c:v>
                  </c:pt>
                  <c:pt idx="3">
                    <c:v>0.47853211465862527</c:v>
                  </c:pt>
                  <c:pt idx="4">
                    <c:v>0.22070202376938813</c:v>
                  </c:pt>
                  <c:pt idx="5">
                    <c:v>0.19740243099047816</c:v>
                  </c:pt>
                  <c:pt idx="6">
                    <c:v>12.347448878787864</c:v>
                  </c:pt>
                  <c:pt idx="7">
                    <c:v>3.9739142676072219</c:v>
                  </c:pt>
                  <c:pt idx="8">
                    <c:v>2.0120559815225536</c:v>
                  </c:pt>
                  <c:pt idx="9">
                    <c:v>2.0120559815225536</c:v>
                  </c:pt>
                  <c:pt idx="10">
                    <c:v>4.5688658795845578</c:v>
                  </c:pt>
                  <c:pt idx="11">
                    <c:v>4.2226399856226466</c:v>
                  </c:pt>
                  <c:pt idx="12">
                    <c:v>10.778458135163852</c:v>
                  </c:pt>
                  <c:pt idx="13">
                    <c:v>4.6137857431322651</c:v>
                  </c:pt>
                  <c:pt idx="14">
                    <c:v>7.6918859539352082</c:v>
                  </c:pt>
                  <c:pt idx="15">
                    <c:v>9.1906527560622422</c:v>
                  </c:pt>
                  <c:pt idx="16">
                    <c:v>6.4019703910369063</c:v>
                  </c:pt>
                  <c:pt idx="17">
                    <c:v>9.7977097724749882</c:v>
                  </c:pt>
                  <c:pt idx="18">
                    <c:v>10.636894728793477</c:v>
                  </c:pt>
                  <c:pt idx="19">
                    <c:v>7.253100144711258</c:v>
                  </c:pt>
                </c:numCache>
              </c:numRef>
            </c:plus>
            <c:minus>
              <c:numRef>
                <c:f>SUM!$D$25:$D$44</c:f>
                <c:numCache>
                  <c:formatCode>General</c:formatCode>
                  <c:ptCount val="20"/>
                  <c:pt idx="0">
                    <c:v>0.81654910010477866</c:v>
                  </c:pt>
                  <c:pt idx="1">
                    <c:v>0.82601819153849554</c:v>
                  </c:pt>
                  <c:pt idx="2">
                    <c:v>0.25285781774425403</c:v>
                  </c:pt>
                  <c:pt idx="3">
                    <c:v>0.47853211465862527</c:v>
                  </c:pt>
                  <c:pt idx="4">
                    <c:v>0.22070202376938813</c:v>
                  </c:pt>
                  <c:pt idx="5">
                    <c:v>0.19740243099047816</c:v>
                  </c:pt>
                  <c:pt idx="6">
                    <c:v>12.347448878787864</c:v>
                  </c:pt>
                  <c:pt idx="7">
                    <c:v>3.9739142676072219</c:v>
                  </c:pt>
                  <c:pt idx="8">
                    <c:v>2.0120559815225536</c:v>
                  </c:pt>
                  <c:pt idx="9">
                    <c:v>2.0120559815225536</c:v>
                  </c:pt>
                  <c:pt idx="10">
                    <c:v>4.5688658795845578</c:v>
                  </c:pt>
                  <c:pt idx="11">
                    <c:v>4.2226399856226466</c:v>
                  </c:pt>
                  <c:pt idx="12">
                    <c:v>10.778458135163852</c:v>
                  </c:pt>
                  <c:pt idx="13">
                    <c:v>4.6137857431322651</c:v>
                  </c:pt>
                  <c:pt idx="14">
                    <c:v>7.6918859539352082</c:v>
                  </c:pt>
                  <c:pt idx="15">
                    <c:v>9.1906527560622422</c:v>
                  </c:pt>
                  <c:pt idx="16">
                    <c:v>6.4019703910369063</c:v>
                  </c:pt>
                  <c:pt idx="17">
                    <c:v>9.7977097724749882</c:v>
                  </c:pt>
                  <c:pt idx="18">
                    <c:v>10.636894728793477</c:v>
                  </c:pt>
                  <c:pt idx="19">
                    <c:v>7.253100144711258</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SUM!$C$25:$C$44</c:f>
              <c:numCache>
                <c:formatCode>0.0</c:formatCode>
                <c:ptCount val="20"/>
                <c:pt idx="0">
                  <c:v>6.1197738340607124</c:v>
                </c:pt>
                <c:pt idx="1">
                  <c:v>4.5182341097388203</c:v>
                </c:pt>
                <c:pt idx="2">
                  <c:v>3.2730265328915098</c:v>
                </c:pt>
                <c:pt idx="3">
                  <c:v>4.1790715281224093</c:v>
                </c:pt>
                <c:pt idx="4">
                  <c:v>3.8668194547495784</c:v>
                </c:pt>
                <c:pt idx="5">
                  <c:v>3.293335192717914</c:v>
                </c:pt>
                <c:pt idx="6">
                  <c:v>7.1607759013133077</c:v>
                </c:pt>
                <c:pt idx="7">
                  <c:v>8.9021206705632832</c:v>
                </c:pt>
                <c:pt idx="8">
                  <c:v>11.092926852519826</c:v>
                </c:pt>
                <c:pt idx="9">
                  <c:v>11.092926852519826</c:v>
                </c:pt>
                <c:pt idx="10">
                  <c:v>18.111949154489412</c:v>
                </c:pt>
                <c:pt idx="11">
                  <c:v>19.362319489132673</c:v>
                </c:pt>
                <c:pt idx="12">
                  <c:v>45.225962467698309</c:v>
                </c:pt>
                <c:pt idx="13">
                  <c:v>26.200423550595122</c:v>
                </c:pt>
                <c:pt idx="14">
                  <c:v>17.868666641707172</c:v>
                </c:pt>
                <c:pt idx="15">
                  <c:v>24.883562880603417</c:v>
                </c:pt>
                <c:pt idx="16">
                  <c:v>39.090237169460067</c:v>
                </c:pt>
                <c:pt idx="17">
                  <c:v>32.126683795026139</c:v>
                </c:pt>
                <c:pt idx="18">
                  <c:v>28.027351102961362</c:v>
                </c:pt>
                <c:pt idx="19">
                  <c:v>34.929359864855329</c:v>
                </c:pt>
              </c:numCache>
            </c:numRef>
          </c:val>
          <c:extLst>
            <c:ext xmlns:c16="http://schemas.microsoft.com/office/drawing/2014/chart" uri="{C3380CC4-5D6E-409C-BE32-E72D297353CC}">
              <c16:uniqueId val="{00000001-F0B2-450B-A009-72E8DBAE451B}"/>
            </c:ext>
          </c:extLst>
        </c:ser>
        <c:dLbls>
          <c:showLegendKey val="0"/>
          <c:showVal val="0"/>
          <c:showCatName val="0"/>
          <c:showSerName val="0"/>
          <c:showPercent val="0"/>
          <c:showBubbleSize val="0"/>
        </c:dLbls>
        <c:gapWidth val="50"/>
        <c:axId val="300131992"/>
        <c:axId val="300132384"/>
      </c:barChart>
      <c:catAx>
        <c:axId val="300131992"/>
        <c:scaling>
          <c:orientation val="minMax"/>
        </c:scaling>
        <c:delete val="0"/>
        <c:axPos val="b"/>
        <c:numFmt formatCode="m/d" sourceLinked="0"/>
        <c:majorTickMark val="out"/>
        <c:minorTickMark val="none"/>
        <c:tickLblPos val="none"/>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132384"/>
        <c:crosses val="autoZero"/>
        <c:auto val="0"/>
        <c:lblAlgn val="ctr"/>
        <c:lblOffset val="100"/>
        <c:tickLblSkip val="1"/>
        <c:tickMarkSkip val="1"/>
        <c:noMultiLvlLbl val="0"/>
      </c:catAx>
      <c:valAx>
        <c:axId val="300132384"/>
        <c:scaling>
          <c:orientation val="minMax"/>
          <c:max val="90"/>
          <c:min val="0"/>
        </c:scaling>
        <c:delete val="0"/>
        <c:axPos val="l"/>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a:ea typeface="Arial"/>
                    <a:cs typeface="Arial"/>
                  </a:defRPr>
                </a:pPr>
                <a:r>
                  <a:rPr lang="en-US" sz="1000"/>
                  <a:t>Slope</a:t>
                </a: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Arial"/>
                    <a:ea typeface="Arial"/>
                    <a:cs typeface="Arial"/>
                  </a:defRPr>
                </a:pPr>
                <a:r>
                  <a:rPr lang="en-US" sz="1000">
                    <a:effectLst/>
                  </a:rPr>
                  <a:t>(mmol O</a:t>
                </a:r>
                <a:r>
                  <a:rPr lang="en-US" sz="1000" baseline="-25000">
                    <a:effectLst/>
                  </a:rPr>
                  <a:t>2</a:t>
                </a:r>
                <a:r>
                  <a:rPr lang="en-US" sz="1000">
                    <a:effectLst/>
                  </a:rPr>
                  <a:t> m</a:t>
                </a:r>
                <a:r>
                  <a:rPr lang="en-US" sz="1000" baseline="30000">
                    <a:effectLst/>
                  </a:rPr>
                  <a:t>-3</a:t>
                </a:r>
                <a:r>
                  <a:rPr lang="en-US" sz="1000">
                    <a:effectLst/>
                  </a:rPr>
                  <a:t> h</a:t>
                </a:r>
                <a:r>
                  <a:rPr lang="en-US" sz="1000" baseline="30000">
                    <a:effectLst/>
                  </a:rPr>
                  <a:t>-1</a:t>
                </a:r>
                <a:r>
                  <a:rPr lang="en-US" sz="1000">
                    <a:effectLst/>
                  </a:rPr>
                  <a:t>)</a:t>
                </a:r>
              </a:p>
            </c:rich>
          </c:tx>
          <c:layout>
            <c:manualLayout>
              <c:xMode val="edge"/>
              <c:yMode val="edge"/>
              <c:x val="1.1835574205415285E-3"/>
              <c:y val="0.1034762581588010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131992"/>
        <c:crosses val="autoZero"/>
        <c:crossBetween val="between"/>
        <c:majorUnit val="20"/>
      </c:valAx>
      <c:spPr>
        <a:noFill/>
        <a:ln w="25400">
          <a:noFill/>
        </a:ln>
      </c:spPr>
    </c:plotArea>
    <c:legend>
      <c:legendPos val="r"/>
      <c:layout>
        <c:manualLayout>
          <c:xMode val="edge"/>
          <c:yMode val="edge"/>
          <c:x val="0.20133690019516795"/>
          <c:y val="8.836176727909012E-2"/>
          <c:w val="0.11388350494649707"/>
          <c:h val="0.2369892825896763"/>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54006352008512"/>
          <c:y val="3.7281057953013626E-2"/>
          <c:w val="0.83933468572392567"/>
          <c:h val="0.7417373689259138"/>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errBars>
            <c:errBarType val="plus"/>
            <c:errValType val="cust"/>
            <c:noEndCap val="0"/>
            <c:plus>
              <c:numRef>
                <c:f>SUM!$F$5:$F$24</c:f>
                <c:numCache>
                  <c:formatCode>General</c:formatCode>
                  <c:ptCount val="20"/>
                  <c:pt idx="0">
                    <c:v>6.4382940413676384E-2</c:v>
                  </c:pt>
                  <c:pt idx="1">
                    <c:v>2.2968124739619879E-2</c:v>
                  </c:pt>
                  <c:pt idx="2">
                    <c:v>0.25836478101908661</c:v>
                  </c:pt>
                  <c:pt idx="3">
                    <c:v>0.23898024530129755</c:v>
                  </c:pt>
                  <c:pt idx="4">
                    <c:v>3.7068490793908247E-2</c:v>
                  </c:pt>
                  <c:pt idx="5">
                    <c:v>0.20797270447202307</c:v>
                  </c:pt>
                  <c:pt idx="6">
                    <c:v>0.1286176191056066</c:v>
                  </c:pt>
                  <c:pt idx="7">
                    <c:v>0.18385397304062684</c:v>
                  </c:pt>
                  <c:pt idx="8">
                    <c:v>0.34439075642382966</c:v>
                  </c:pt>
                  <c:pt idx="9">
                    <c:v>0.98631006960657963</c:v>
                  </c:pt>
                  <c:pt idx="10">
                    <c:v>0.16772458557740033</c:v>
                  </c:pt>
                  <c:pt idx="11">
                    <c:v>7.6477096949208623E-2</c:v>
                  </c:pt>
                  <c:pt idx="12">
                    <c:v>0.33393984454423187</c:v>
                  </c:pt>
                  <c:pt idx="13">
                    <c:v>0.22709215379666869</c:v>
                  </c:pt>
                  <c:pt idx="14">
                    <c:v>0.10808111960867282</c:v>
                  </c:pt>
                  <c:pt idx="15">
                    <c:v>0.15694658013597701</c:v>
                  </c:pt>
                  <c:pt idx="16">
                    <c:v>2.7030995948285622E-2</c:v>
                  </c:pt>
                  <c:pt idx="17">
                    <c:v>0.40017168018299204</c:v>
                  </c:pt>
                  <c:pt idx="18">
                    <c:v>0.1386775332197131</c:v>
                  </c:pt>
                  <c:pt idx="19">
                    <c:v>0.45866229948009174</c:v>
                  </c:pt>
                </c:numCache>
              </c:numRef>
            </c:plus>
            <c:minus>
              <c:numRef>
                <c:f>SUM!$F$5:$F$24</c:f>
                <c:numCache>
                  <c:formatCode>General</c:formatCode>
                  <c:ptCount val="20"/>
                  <c:pt idx="0">
                    <c:v>6.4382940413676384E-2</c:v>
                  </c:pt>
                  <c:pt idx="1">
                    <c:v>2.2968124739619879E-2</c:v>
                  </c:pt>
                  <c:pt idx="2">
                    <c:v>0.25836478101908661</c:v>
                  </c:pt>
                  <c:pt idx="3">
                    <c:v>0.23898024530129755</c:v>
                  </c:pt>
                  <c:pt idx="4">
                    <c:v>3.7068490793908247E-2</c:v>
                  </c:pt>
                  <c:pt idx="5">
                    <c:v>0.20797270447202307</c:v>
                  </c:pt>
                  <c:pt idx="6">
                    <c:v>0.1286176191056066</c:v>
                  </c:pt>
                  <c:pt idx="7">
                    <c:v>0.18385397304062684</c:v>
                  </c:pt>
                  <c:pt idx="8">
                    <c:v>0.34439075642382966</c:v>
                  </c:pt>
                  <c:pt idx="9">
                    <c:v>0.98631006960657963</c:v>
                  </c:pt>
                  <c:pt idx="10">
                    <c:v>0.16772458557740033</c:v>
                  </c:pt>
                  <c:pt idx="11">
                    <c:v>7.6477096949208623E-2</c:v>
                  </c:pt>
                  <c:pt idx="12">
                    <c:v>0.33393984454423187</c:v>
                  </c:pt>
                  <c:pt idx="13">
                    <c:v>0.22709215379666869</c:v>
                  </c:pt>
                  <c:pt idx="14">
                    <c:v>0.10808111960867282</c:v>
                  </c:pt>
                  <c:pt idx="15">
                    <c:v>0.15694658013597701</c:v>
                  </c:pt>
                  <c:pt idx="16">
                    <c:v>2.7030995948285622E-2</c:v>
                  </c:pt>
                  <c:pt idx="17">
                    <c:v>0.40017168018299204</c:v>
                  </c:pt>
                  <c:pt idx="18">
                    <c:v>0.1386775332197131</c:v>
                  </c:pt>
                  <c:pt idx="19">
                    <c:v>0.45866229948009174</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SUM!$E$5:$E$24</c:f>
              <c:numCache>
                <c:formatCode>0.00</c:formatCode>
                <c:ptCount val="20"/>
                <c:pt idx="0">
                  <c:v>1.1996539065622318</c:v>
                </c:pt>
                <c:pt idx="1">
                  <c:v>0.41443410744339687</c:v>
                </c:pt>
                <c:pt idx="2">
                  <c:v>0.49111499465878228</c:v>
                </c:pt>
                <c:pt idx="3">
                  <c:v>0.80294626222345133</c:v>
                </c:pt>
                <c:pt idx="4">
                  <c:v>0.16685402432629934</c:v>
                </c:pt>
                <c:pt idx="5">
                  <c:v>-6.9223640816187301E-2</c:v>
                </c:pt>
                <c:pt idx="6">
                  <c:v>0.68616390327435217</c:v>
                </c:pt>
                <c:pt idx="7">
                  <c:v>0.37451132429646283</c:v>
                </c:pt>
                <c:pt idx="8">
                  <c:v>0.90420991755702984</c:v>
                </c:pt>
                <c:pt idx="9">
                  <c:v>0.99977979385000093</c:v>
                </c:pt>
                <c:pt idx="10">
                  <c:v>1.1500686320532769</c:v>
                </c:pt>
                <c:pt idx="11">
                  <c:v>0.77710152449046244</c:v>
                </c:pt>
                <c:pt idx="12">
                  <c:v>4.5631404532839923</c:v>
                </c:pt>
                <c:pt idx="13">
                  <c:v>2.5355616609064899</c:v>
                </c:pt>
                <c:pt idx="14">
                  <c:v>1.403272585560577</c:v>
                </c:pt>
                <c:pt idx="15">
                  <c:v>2.6256637727933128</c:v>
                </c:pt>
                <c:pt idx="16">
                  <c:v>1.2773908914487588</c:v>
                </c:pt>
                <c:pt idx="17">
                  <c:v>3.7781669563948128</c:v>
                </c:pt>
                <c:pt idx="18">
                  <c:v>4.7428051774394815</c:v>
                </c:pt>
                <c:pt idx="19">
                  <c:v>2.5400985074682065</c:v>
                </c:pt>
              </c:numCache>
            </c:numRef>
          </c:val>
          <c:extLst>
            <c:ext xmlns:c16="http://schemas.microsoft.com/office/drawing/2014/chart" uri="{C3380CC4-5D6E-409C-BE32-E72D297353CC}">
              <c16:uniqueId val="{00000000-CA5E-445B-B2A8-A0AF386B021F}"/>
            </c:ext>
          </c:extLst>
        </c:ser>
        <c:ser>
          <c:idx val="4"/>
          <c:order val="1"/>
          <c:tx>
            <c:v>Channel</c:v>
          </c:tx>
          <c:spPr>
            <a:solidFill>
              <a:srgbClr val="969696"/>
            </a:solidFill>
            <a:ln w="12700">
              <a:solidFill>
                <a:srgbClr val="000000"/>
              </a:solidFill>
              <a:prstDash val="solid"/>
            </a:ln>
          </c:spPr>
          <c:invertIfNegative val="0"/>
          <c:errBars>
            <c:errBarType val="plus"/>
            <c:errValType val="cust"/>
            <c:noEndCap val="0"/>
            <c:plus>
              <c:numRef>
                <c:f>SUM!$F$25:$F$44</c:f>
                <c:numCache>
                  <c:formatCode>General</c:formatCode>
                  <c:ptCount val="20"/>
                  <c:pt idx="0">
                    <c:v>0.1866379182799065</c:v>
                  </c:pt>
                  <c:pt idx="1">
                    <c:v>5.5244916509493452E-2</c:v>
                  </c:pt>
                  <c:pt idx="2">
                    <c:v>6.5910040812469858E-2</c:v>
                  </c:pt>
                  <c:pt idx="3">
                    <c:v>0.14264388939477998</c:v>
                  </c:pt>
                  <c:pt idx="4">
                    <c:v>6.8394798087785216E-2</c:v>
                  </c:pt>
                  <c:pt idx="5">
                    <c:v>5.2943907080187508E-2</c:v>
                  </c:pt>
                  <c:pt idx="6">
                    <c:v>7.5876237140638139E-2</c:v>
                  </c:pt>
                  <c:pt idx="7">
                    <c:v>0.24456116686615495</c:v>
                  </c:pt>
                  <c:pt idx="8">
                    <c:v>0.17293672918942085</c:v>
                  </c:pt>
                  <c:pt idx="9">
                    <c:v>0.17293672918942085</c:v>
                  </c:pt>
                  <c:pt idx="10">
                    <c:v>0.34976270427150996</c:v>
                  </c:pt>
                  <c:pt idx="11">
                    <c:v>0.5761095333579348</c:v>
                  </c:pt>
                  <c:pt idx="12">
                    <c:v>0.20667816240499792</c:v>
                  </c:pt>
                  <c:pt idx="13">
                    <c:v>0.23455840799087763</c:v>
                  </c:pt>
                  <c:pt idx="14">
                    <c:v>0.2725282111031132</c:v>
                  </c:pt>
                  <c:pt idx="15">
                    <c:v>0.38042452118194114</c:v>
                  </c:pt>
                  <c:pt idx="16">
                    <c:v>0.37127167863170624</c:v>
                  </c:pt>
                  <c:pt idx="17">
                    <c:v>0.20510865764866462</c:v>
                  </c:pt>
                  <c:pt idx="18">
                    <c:v>0.65682235917373344</c:v>
                  </c:pt>
                  <c:pt idx="19">
                    <c:v>0.37394443377444192</c:v>
                  </c:pt>
                </c:numCache>
              </c:numRef>
            </c:plus>
            <c:minus>
              <c:numRef>
                <c:f>SUM!$F$25:$F$44</c:f>
                <c:numCache>
                  <c:formatCode>General</c:formatCode>
                  <c:ptCount val="20"/>
                  <c:pt idx="0">
                    <c:v>0.1866379182799065</c:v>
                  </c:pt>
                  <c:pt idx="1">
                    <c:v>5.5244916509493452E-2</c:v>
                  </c:pt>
                  <c:pt idx="2">
                    <c:v>6.5910040812469858E-2</c:v>
                  </c:pt>
                  <c:pt idx="3">
                    <c:v>0.14264388939477998</c:v>
                  </c:pt>
                  <c:pt idx="4">
                    <c:v>6.8394798087785216E-2</c:v>
                  </c:pt>
                  <c:pt idx="5">
                    <c:v>5.2943907080187508E-2</c:v>
                  </c:pt>
                  <c:pt idx="6">
                    <c:v>7.5876237140638139E-2</c:v>
                  </c:pt>
                  <c:pt idx="7">
                    <c:v>0.24456116686615495</c:v>
                  </c:pt>
                  <c:pt idx="8">
                    <c:v>0.17293672918942085</c:v>
                  </c:pt>
                  <c:pt idx="9">
                    <c:v>0.17293672918942085</c:v>
                  </c:pt>
                  <c:pt idx="10">
                    <c:v>0.34976270427150996</c:v>
                  </c:pt>
                  <c:pt idx="11">
                    <c:v>0.5761095333579348</c:v>
                  </c:pt>
                  <c:pt idx="12">
                    <c:v>0.20667816240499792</c:v>
                  </c:pt>
                  <c:pt idx="13">
                    <c:v>0.23455840799087763</c:v>
                  </c:pt>
                  <c:pt idx="14">
                    <c:v>0.2725282111031132</c:v>
                  </c:pt>
                  <c:pt idx="15">
                    <c:v>0.38042452118194114</c:v>
                  </c:pt>
                  <c:pt idx="16">
                    <c:v>0.37127167863170624</c:v>
                  </c:pt>
                  <c:pt idx="17">
                    <c:v>0.20510865764866462</c:v>
                  </c:pt>
                  <c:pt idx="18">
                    <c:v>0.65682235917373344</c:v>
                  </c:pt>
                  <c:pt idx="19">
                    <c:v>0.37394443377444192</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SUM!$E$25:$E$44</c:f>
              <c:numCache>
                <c:formatCode>0.00</c:formatCode>
                <c:ptCount val="20"/>
                <c:pt idx="0">
                  <c:v>1.2552631704646822</c:v>
                </c:pt>
                <c:pt idx="1">
                  <c:v>0.54025045771601299</c:v>
                </c:pt>
                <c:pt idx="2">
                  <c:v>0.54671325584261166</c:v>
                </c:pt>
                <c:pt idx="3">
                  <c:v>0.63642732949753422</c:v>
                </c:pt>
                <c:pt idx="4">
                  <c:v>0.45995728244983514</c:v>
                </c:pt>
                <c:pt idx="5">
                  <c:v>0.43872100955301824</c:v>
                </c:pt>
                <c:pt idx="6">
                  <c:v>0.68001767301017546</c:v>
                </c:pt>
                <c:pt idx="7">
                  <c:v>0.23016988420390341</c:v>
                </c:pt>
                <c:pt idx="8">
                  <c:v>0.43526399860407311</c:v>
                </c:pt>
                <c:pt idx="9">
                  <c:v>0.43526399860407311</c:v>
                </c:pt>
                <c:pt idx="10">
                  <c:v>0.85296118369466634</c:v>
                </c:pt>
                <c:pt idx="11">
                  <c:v>0.30029837902515494</c:v>
                </c:pt>
                <c:pt idx="12">
                  <c:v>5.355802082780027</c:v>
                </c:pt>
                <c:pt idx="13">
                  <c:v>2.0343302160534833</c:v>
                </c:pt>
                <c:pt idx="14">
                  <c:v>1.5934319657347344</c:v>
                </c:pt>
                <c:pt idx="15">
                  <c:v>2.6770338825283235</c:v>
                </c:pt>
                <c:pt idx="16">
                  <c:v>1.1520677262079853</c:v>
                </c:pt>
                <c:pt idx="17">
                  <c:v>2.9547094686638053</c:v>
                </c:pt>
                <c:pt idx="18">
                  <c:v>2.1996851965087587</c:v>
                </c:pt>
                <c:pt idx="19">
                  <c:v>2.9192190157233147</c:v>
                </c:pt>
              </c:numCache>
            </c:numRef>
          </c:val>
          <c:extLst>
            <c:ext xmlns:c16="http://schemas.microsoft.com/office/drawing/2014/chart" uri="{C3380CC4-5D6E-409C-BE32-E72D297353CC}">
              <c16:uniqueId val="{00000001-CA5E-445B-B2A8-A0AF386B021F}"/>
            </c:ext>
          </c:extLst>
        </c:ser>
        <c:dLbls>
          <c:showLegendKey val="0"/>
          <c:showVal val="0"/>
          <c:showCatName val="0"/>
          <c:showSerName val="0"/>
          <c:showPercent val="0"/>
          <c:showBubbleSize val="0"/>
        </c:dLbls>
        <c:gapWidth val="50"/>
        <c:axId val="300130816"/>
        <c:axId val="300131208"/>
      </c:barChart>
      <c:catAx>
        <c:axId val="300130816"/>
        <c:scaling>
          <c:orientation val="minMax"/>
        </c:scaling>
        <c:delete val="0"/>
        <c:axPos val="b"/>
        <c:numFmt formatCode="m/d" sourceLinked="0"/>
        <c:majorTickMark val="out"/>
        <c:minorTickMark val="none"/>
        <c:tickLblPos val="none"/>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131208"/>
        <c:crosses val="autoZero"/>
        <c:auto val="0"/>
        <c:lblAlgn val="ctr"/>
        <c:lblOffset val="100"/>
        <c:tickLblSkip val="1"/>
        <c:tickMarkSkip val="1"/>
        <c:noMultiLvlLbl val="0"/>
      </c:catAx>
      <c:valAx>
        <c:axId val="300131208"/>
        <c:scaling>
          <c:orientation val="minMax"/>
          <c:min val="0"/>
        </c:scaling>
        <c:delete val="0"/>
        <c:axPos val="l"/>
        <c:title>
          <c:tx>
            <c:rich>
              <a:bodyPr/>
              <a:lstStyle/>
              <a:p>
                <a:pPr>
                  <a:defRPr sz="1000" b="0" i="0" u="none" strike="noStrike" baseline="0">
                    <a:solidFill>
                      <a:srgbClr val="000000"/>
                    </a:solidFill>
                    <a:latin typeface="Arial"/>
                    <a:ea typeface="Arial"/>
                    <a:cs typeface="Arial"/>
                  </a:defRPr>
                </a:pPr>
                <a:r>
                  <a:rPr lang="en-US" sz="1000"/>
                  <a:t>Max. Gross Prod.</a:t>
                </a:r>
              </a:p>
              <a:p>
                <a:pPr>
                  <a:defRPr sz="1000" b="0" i="0" u="none" strike="noStrike" baseline="0">
                    <a:solidFill>
                      <a:srgbClr val="000000"/>
                    </a:solidFill>
                    <a:latin typeface="Arial"/>
                    <a:ea typeface="Arial"/>
                    <a:cs typeface="Arial"/>
                  </a:defRPr>
                </a:pPr>
                <a:r>
                  <a:rPr lang="en-US" sz="1000"/>
                  <a:t>(mmol O</a:t>
                </a:r>
                <a:r>
                  <a:rPr lang="en-US" sz="1000" baseline="-25000"/>
                  <a:t>2</a:t>
                </a:r>
                <a:r>
                  <a:rPr lang="en-US" sz="1000"/>
                  <a:t> m-</a:t>
                </a:r>
                <a:r>
                  <a:rPr lang="en-US" sz="1000" baseline="30000"/>
                  <a:t>3 </a:t>
                </a:r>
                <a:r>
                  <a:rPr lang="en-US" sz="1000"/>
                  <a:t>h</a:t>
                </a:r>
                <a:r>
                  <a:rPr lang="en-US" sz="1000" baseline="30000"/>
                  <a:t>-1</a:t>
                </a:r>
                <a:r>
                  <a:rPr lang="en-US" sz="1000"/>
                  <a:t>)</a:t>
                </a:r>
              </a:p>
            </c:rich>
          </c:tx>
          <c:layout>
            <c:manualLayout>
              <c:xMode val="edge"/>
              <c:yMode val="edge"/>
              <c:x val="1.1827159891320716E-3"/>
              <c:y val="8.541667569842315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13081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1334863616589"/>
          <c:y val="4.3947625276217095E-2"/>
          <c:w val="0.83757874204800553"/>
          <c:h val="0.7417373689259138"/>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errBars>
            <c:errBarType val="plus"/>
            <c:errValType val="cust"/>
            <c:noEndCap val="0"/>
            <c:plus>
              <c:numRef>
                <c:f>SUM!$J$5:$J$24</c:f>
                <c:numCache>
                  <c:formatCode>General</c:formatCode>
                  <c:ptCount val="20"/>
                  <c:pt idx="0">
                    <c:v>0.11951223705864947</c:v>
                  </c:pt>
                  <c:pt idx="1">
                    <c:v>1.83593769452844E-2</c:v>
                  </c:pt>
                  <c:pt idx="2">
                    <c:v>0.12917534079995605</c:v>
                  </c:pt>
                  <c:pt idx="3">
                    <c:v>9.0750836411654504E-2</c:v>
                  </c:pt>
                  <c:pt idx="4">
                    <c:v>3.5892611601343223E-2</c:v>
                  </c:pt>
                  <c:pt idx="5">
                    <c:v>0.10821342311275688</c:v>
                  </c:pt>
                  <c:pt idx="6">
                    <c:v>6.2203237926485723E-2</c:v>
                  </c:pt>
                  <c:pt idx="7">
                    <c:v>0.13578303871693473</c:v>
                  </c:pt>
                  <c:pt idx="8">
                    <c:v>0.10939058353069218</c:v>
                  </c:pt>
                  <c:pt idx="9">
                    <c:v>0.51118563696236519</c:v>
                  </c:pt>
                  <c:pt idx="10">
                    <c:v>0.14578031221989141</c:v>
                  </c:pt>
                  <c:pt idx="11">
                    <c:v>8.9239195610806274E-2</c:v>
                  </c:pt>
                  <c:pt idx="12">
                    <c:v>3.9709610556805469E-2</c:v>
                  </c:pt>
                  <c:pt idx="13">
                    <c:v>9.5826912638847406E-2</c:v>
                  </c:pt>
                  <c:pt idx="14">
                    <c:v>0.63768943739121131</c:v>
                  </c:pt>
                  <c:pt idx="15">
                    <c:v>0.30114602303565385</c:v>
                  </c:pt>
                  <c:pt idx="16">
                    <c:v>9.5732235297502619E-2</c:v>
                  </c:pt>
                  <c:pt idx="17">
                    <c:v>0.13083766721176335</c:v>
                  </c:pt>
                  <c:pt idx="18">
                    <c:v>0.69540541619491314</c:v>
                  </c:pt>
                  <c:pt idx="19">
                    <c:v>0.1994254653284073</c:v>
                  </c:pt>
                </c:numCache>
              </c:numRef>
            </c:plus>
            <c:minus>
              <c:numRef>
                <c:f>SUM!$J$5:$J$24</c:f>
                <c:numCache>
                  <c:formatCode>General</c:formatCode>
                  <c:ptCount val="20"/>
                  <c:pt idx="0">
                    <c:v>0.11951223705864947</c:v>
                  </c:pt>
                  <c:pt idx="1">
                    <c:v>1.83593769452844E-2</c:v>
                  </c:pt>
                  <c:pt idx="2">
                    <c:v>0.12917534079995605</c:v>
                  </c:pt>
                  <c:pt idx="3">
                    <c:v>9.0750836411654504E-2</c:v>
                  </c:pt>
                  <c:pt idx="4">
                    <c:v>3.5892611601343223E-2</c:v>
                  </c:pt>
                  <c:pt idx="5">
                    <c:v>0.10821342311275688</c:v>
                  </c:pt>
                  <c:pt idx="6">
                    <c:v>6.2203237926485723E-2</c:v>
                  </c:pt>
                  <c:pt idx="7">
                    <c:v>0.13578303871693473</c:v>
                  </c:pt>
                  <c:pt idx="8">
                    <c:v>0.10939058353069218</c:v>
                  </c:pt>
                  <c:pt idx="9">
                    <c:v>0.51118563696236519</c:v>
                  </c:pt>
                  <c:pt idx="10">
                    <c:v>0.14578031221989141</c:v>
                  </c:pt>
                  <c:pt idx="11">
                    <c:v>8.9239195610806274E-2</c:v>
                  </c:pt>
                  <c:pt idx="12">
                    <c:v>3.9709610556805469E-2</c:v>
                  </c:pt>
                  <c:pt idx="13">
                    <c:v>9.5826912638847406E-2</c:v>
                  </c:pt>
                  <c:pt idx="14">
                    <c:v>0.63768943739121131</c:v>
                  </c:pt>
                  <c:pt idx="15">
                    <c:v>0.30114602303565385</c:v>
                  </c:pt>
                  <c:pt idx="16">
                    <c:v>9.5732235297502619E-2</c:v>
                  </c:pt>
                  <c:pt idx="17">
                    <c:v>0.13083766721176335</c:v>
                  </c:pt>
                  <c:pt idx="18">
                    <c:v>0.69540541619491314</c:v>
                  </c:pt>
                  <c:pt idx="19">
                    <c:v>0.1994254653284073</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SUM!$I$5:$I$24</c:f>
              <c:numCache>
                <c:formatCode>#,##0.0</c:formatCode>
                <c:ptCount val="20"/>
                <c:pt idx="0" formatCode="0.0">
                  <c:v>0.3271119023112386</c:v>
                </c:pt>
                <c:pt idx="1">
                  <c:v>0.61693915908639985</c:v>
                </c:pt>
                <c:pt idx="2">
                  <c:v>0.45866424462100347</c:v>
                </c:pt>
                <c:pt idx="3">
                  <c:v>0.40500103328676246</c:v>
                </c:pt>
                <c:pt idx="4">
                  <c:v>0.53729691236994748</c:v>
                </c:pt>
                <c:pt idx="5">
                  <c:v>0.90632029951847193</c:v>
                </c:pt>
                <c:pt idx="6">
                  <c:v>0.57922275627513042</c:v>
                </c:pt>
                <c:pt idx="7">
                  <c:v>0.74881753281790286</c:v>
                </c:pt>
                <c:pt idx="8">
                  <c:v>1.0229195482778572</c:v>
                </c:pt>
                <c:pt idx="9">
                  <c:v>0.44289431508670335</c:v>
                </c:pt>
                <c:pt idx="10">
                  <c:v>0.3961629446949696</c:v>
                </c:pt>
                <c:pt idx="11">
                  <c:v>0.79072434310699347</c:v>
                </c:pt>
                <c:pt idx="12">
                  <c:v>0.89330425330323038</c:v>
                </c:pt>
                <c:pt idx="13">
                  <c:v>0.99525027097163765</c:v>
                </c:pt>
                <c:pt idx="14">
                  <c:v>0.48708806550446315</c:v>
                </c:pt>
                <c:pt idx="15">
                  <c:v>1.1719092501677437</c:v>
                </c:pt>
                <c:pt idx="16">
                  <c:v>0.80987199153548883</c:v>
                </c:pt>
                <c:pt idx="17">
                  <c:v>4.8035623379261302E-2</c:v>
                </c:pt>
                <c:pt idx="18">
                  <c:v>1.2389189305162938</c:v>
                </c:pt>
                <c:pt idx="19">
                  <c:v>0.21680487383648925</c:v>
                </c:pt>
              </c:numCache>
            </c:numRef>
          </c:val>
          <c:extLst>
            <c:ext xmlns:c16="http://schemas.microsoft.com/office/drawing/2014/chart" uri="{C3380CC4-5D6E-409C-BE32-E72D297353CC}">
              <c16:uniqueId val="{00000000-CA5E-445B-B2A8-A0AF386B021F}"/>
            </c:ext>
          </c:extLst>
        </c:ser>
        <c:ser>
          <c:idx val="4"/>
          <c:order val="1"/>
          <c:tx>
            <c:v>Channel</c:v>
          </c:tx>
          <c:spPr>
            <a:solidFill>
              <a:srgbClr val="969696"/>
            </a:solidFill>
            <a:ln w="12700">
              <a:solidFill>
                <a:srgbClr val="000000"/>
              </a:solidFill>
              <a:prstDash val="solid"/>
            </a:ln>
          </c:spPr>
          <c:invertIfNegative val="0"/>
          <c:errBars>
            <c:errBarType val="plus"/>
            <c:errValType val="cust"/>
            <c:noEndCap val="0"/>
            <c:plus>
              <c:numRef>
                <c:f>SUM!$J$25:$J$44</c:f>
                <c:numCache>
                  <c:formatCode>General</c:formatCode>
                  <c:ptCount val="20"/>
                  <c:pt idx="0">
                    <c:v>9.1903832657987239E-2</c:v>
                  </c:pt>
                  <c:pt idx="1">
                    <c:v>2.0081201779805831E-2</c:v>
                  </c:pt>
                  <c:pt idx="2">
                    <c:v>4.2200736638512447E-2</c:v>
                  </c:pt>
                  <c:pt idx="3">
                    <c:v>5.1040610503203819E-2</c:v>
                  </c:pt>
                  <c:pt idx="4">
                    <c:v>2.3795069469474898E-2</c:v>
                  </c:pt>
                  <c:pt idx="5">
                    <c:v>1.7291559044217721E-2</c:v>
                  </c:pt>
                  <c:pt idx="6">
                    <c:v>3.522070255190933E-2</c:v>
                  </c:pt>
                  <c:pt idx="7">
                    <c:v>0.11704196059965075</c:v>
                  </c:pt>
                  <c:pt idx="8">
                    <c:v>5.3441882452646979E-2</c:v>
                  </c:pt>
                  <c:pt idx="9">
                    <c:v>5.3441882452646979E-2</c:v>
                  </c:pt>
                  <c:pt idx="10">
                    <c:v>0.15823168686628136</c:v>
                  </c:pt>
                  <c:pt idx="11">
                    <c:v>0.10642642135754443</c:v>
                  </c:pt>
                  <c:pt idx="12">
                    <c:v>0.14277356772668001</c:v>
                  </c:pt>
                  <c:pt idx="13">
                    <c:v>0.12732570397682114</c:v>
                  </c:pt>
                  <c:pt idx="14">
                    <c:v>0.38467258992488157</c:v>
                  </c:pt>
                  <c:pt idx="15">
                    <c:v>0.4461621880485751</c:v>
                  </c:pt>
                  <c:pt idx="16">
                    <c:v>0.31478209463803014</c:v>
                  </c:pt>
                  <c:pt idx="17">
                    <c:v>0.15678653851221755</c:v>
                  </c:pt>
                  <c:pt idx="18">
                    <c:v>0.25727473948557134</c:v>
                  </c:pt>
                  <c:pt idx="19">
                    <c:v>0.20454304335757875</c:v>
                  </c:pt>
                </c:numCache>
              </c:numRef>
            </c:plus>
            <c:minus>
              <c:numRef>
                <c:f>SUM!$J$25:$J$44</c:f>
                <c:numCache>
                  <c:formatCode>General</c:formatCode>
                  <c:ptCount val="20"/>
                  <c:pt idx="0">
                    <c:v>9.1903832657987239E-2</c:v>
                  </c:pt>
                  <c:pt idx="1">
                    <c:v>2.0081201779805831E-2</c:v>
                  </c:pt>
                  <c:pt idx="2">
                    <c:v>4.2200736638512447E-2</c:v>
                  </c:pt>
                  <c:pt idx="3">
                    <c:v>5.1040610503203819E-2</c:v>
                  </c:pt>
                  <c:pt idx="4">
                    <c:v>2.3795069469474898E-2</c:v>
                  </c:pt>
                  <c:pt idx="5">
                    <c:v>1.7291559044217721E-2</c:v>
                  </c:pt>
                  <c:pt idx="6">
                    <c:v>3.522070255190933E-2</c:v>
                  </c:pt>
                  <c:pt idx="7">
                    <c:v>0.11704196059965075</c:v>
                  </c:pt>
                  <c:pt idx="8">
                    <c:v>5.3441882452646979E-2</c:v>
                  </c:pt>
                  <c:pt idx="9">
                    <c:v>5.3441882452646979E-2</c:v>
                  </c:pt>
                  <c:pt idx="10">
                    <c:v>0.15823168686628136</c:v>
                  </c:pt>
                  <c:pt idx="11">
                    <c:v>0.10642642135754443</c:v>
                  </c:pt>
                  <c:pt idx="12">
                    <c:v>0.14277356772668001</c:v>
                  </c:pt>
                  <c:pt idx="13">
                    <c:v>0.12732570397682114</c:v>
                  </c:pt>
                  <c:pt idx="14">
                    <c:v>0.38467258992488157</c:v>
                  </c:pt>
                  <c:pt idx="15">
                    <c:v>0.4461621880485751</c:v>
                  </c:pt>
                  <c:pt idx="16">
                    <c:v>0.31478209463803014</c:v>
                  </c:pt>
                  <c:pt idx="17">
                    <c:v>0.15678653851221755</c:v>
                  </c:pt>
                  <c:pt idx="18">
                    <c:v>0.25727473948557134</c:v>
                  </c:pt>
                  <c:pt idx="19">
                    <c:v>0.20454304335757875</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SUM!$I$25:$I$44</c:f>
              <c:numCache>
                <c:formatCode>#,##0.0</c:formatCode>
                <c:ptCount val="20"/>
                <c:pt idx="0">
                  <c:v>0.26733776755287486</c:v>
                </c:pt>
                <c:pt idx="1">
                  <c:v>0.55198122197279786</c:v>
                </c:pt>
                <c:pt idx="2">
                  <c:v>0.3660678615612028</c:v>
                </c:pt>
                <c:pt idx="3">
                  <c:v>0.50688578806715701</c:v>
                </c:pt>
                <c:pt idx="4">
                  <c:v>0.51912162449033228</c:v>
                </c:pt>
                <c:pt idx="5">
                  <c:v>0.6702327712647852</c:v>
                </c:pt>
                <c:pt idx="6">
                  <c:v>0.34551417388581512</c:v>
                </c:pt>
                <c:pt idx="7">
                  <c:v>0.57736839678710272</c:v>
                </c:pt>
                <c:pt idx="8">
                  <c:v>0.69273626213056338</c:v>
                </c:pt>
                <c:pt idx="9">
                  <c:v>0.69273626213056338</c:v>
                </c:pt>
                <c:pt idx="10">
                  <c:v>0.75535167202132714</c:v>
                </c:pt>
                <c:pt idx="11">
                  <c:v>0.55098451897337364</c:v>
                </c:pt>
                <c:pt idx="12">
                  <c:v>0.59265094167727916</c:v>
                </c:pt>
                <c:pt idx="13">
                  <c:v>0.74334637330564057</c:v>
                </c:pt>
                <c:pt idx="14">
                  <c:v>0.31477402079329553</c:v>
                </c:pt>
                <c:pt idx="15">
                  <c:v>0.39045574845537634</c:v>
                </c:pt>
                <c:pt idx="16">
                  <c:v>1.4778761779784417</c:v>
                </c:pt>
                <c:pt idx="17">
                  <c:v>0.99360680727874384</c:v>
                </c:pt>
                <c:pt idx="18">
                  <c:v>0.25757005031328578</c:v>
                </c:pt>
                <c:pt idx="19">
                  <c:v>0.26861367100600425</c:v>
                </c:pt>
              </c:numCache>
            </c:numRef>
          </c:val>
          <c:extLst>
            <c:ext xmlns:c16="http://schemas.microsoft.com/office/drawing/2014/chart" uri="{C3380CC4-5D6E-409C-BE32-E72D297353CC}">
              <c16:uniqueId val="{00000001-CA5E-445B-B2A8-A0AF386B021F}"/>
            </c:ext>
          </c:extLst>
        </c:ser>
        <c:dLbls>
          <c:showLegendKey val="0"/>
          <c:showVal val="0"/>
          <c:showCatName val="0"/>
          <c:showSerName val="0"/>
          <c:showPercent val="0"/>
          <c:showBubbleSize val="0"/>
        </c:dLbls>
        <c:gapWidth val="50"/>
        <c:axId val="300130816"/>
        <c:axId val="300131208"/>
      </c:barChart>
      <c:catAx>
        <c:axId val="300130816"/>
        <c:scaling>
          <c:orientation val="minMax"/>
        </c:scaling>
        <c:delete val="0"/>
        <c:axPos val="b"/>
        <c:numFmt formatCode="m/d" sourceLinked="0"/>
        <c:majorTickMark val="out"/>
        <c:minorTickMark val="none"/>
        <c:tickLblPos val="none"/>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131208"/>
        <c:crosses val="autoZero"/>
        <c:auto val="0"/>
        <c:lblAlgn val="ctr"/>
        <c:lblOffset val="100"/>
        <c:tickLblSkip val="1"/>
        <c:tickMarkSkip val="1"/>
        <c:noMultiLvlLbl val="0"/>
      </c:catAx>
      <c:valAx>
        <c:axId val="300131208"/>
        <c:scaling>
          <c:orientation val="minMax"/>
          <c:max val="2"/>
          <c:min val="0"/>
        </c:scaling>
        <c:delete val="0"/>
        <c:axPos val="l"/>
        <c:title>
          <c:tx>
            <c:rich>
              <a:bodyPr/>
              <a:lstStyle/>
              <a:p>
                <a:pPr>
                  <a:defRPr sz="1000" b="0" i="0" u="none" strike="noStrike" baseline="0">
                    <a:solidFill>
                      <a:srgbClr val="000000"/>
                    </a:solidFill>
                    <a:latin typeface="Arial"/>
                    <a:ea typeface="Arial"/>
                    <a:cs typeface="Arial"/>
                  </a:defRPr>
                </a:pPr>
                <a:r>
                  <a:rPr lang="en-US" sz="1000"/>
                  <a:t>Respiration</a:t>
                </a:r>
              </a:p>
              <a:p>
                <a:pPr>
                  <a:defRPr sz="1000" b="0" i="0" u="none" strike="noStrike" baseline="0">
                    <a:solidFill>
                      <a:srgbClr val="000000"/>
                    </a:solidFill>
                    <a:latin typeface="Arial"/>
                    <a:ea typeface="Arial"/>
                    <a:cs typeface="Arial"/>
                  </a:defRPr>
                </a:pPr>
                <a:r>
                  <a:rPr lang="en-US" sz="1000"/>
                  <a:t>(mmol O</a:t>
                </a:r>
                <a:r>
                  <a:rPr lang="en-US" sz="1000" baseline="-25000"/>
                  <a:t>2</a:t>
                </a:r>
                <a:r>
                  <a:rPr lang="en-US" sz="1000"/>
                  <a:t> m</a:t>
                </a:r>
                <a:r>
                  <a:rPr lang="en-US" sz="1000" baseline="30000"/>
                  <a:t>-3</a:t>
                </a:r>
                <a:r>
                  <a:rPr lang="en-US" sz="1000"/>
                  <a:t> h</a:t>
                </a:r>
                <a:r>
                  <a:rPr lang="en-US" sz="1000" baseline="30000"/>
                  <a:t>1</a:t>
                </a:r>
                <a:r>
                  <a:rPr lang="en-US" sz="1000"/>
                  <a:t>)</a:t>
                </a:r>
              </a:p>
            </c:rich>
          </c:tx>
          <c:layout>
            <c:manualLayout>
              <c:xMode val="edge"/>
              <c:yMode val="edge"/>
              <c:x val="7.5943872400565313E-3"/>
              <c:y val="8.5416666666666641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13081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99029126213603"/>
          <c:y val="0.12222238799694554"/>
          <c:w val="0.82888349514563098"/>
          <c:h val="0.622223066166268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'SP01'!$AF$3:$AF$174</c:f>
              <c:numCache>
                <c:formatCode>0.0</c:formatCode>
                <c:ptCount val="172"/>
                <c:pt idx="0">
                  <c:v>5.4889263276836164</c:v>
                </c:pt>
                <c:pt idx="1">
                  <c:v>4.1385540254237325</c:v>
                </c:pt>
                <c:pt idx="2">
                  <c:v>5.8347560381355912</c:v>
                </c:pt>
                <c:pt idx="3">
                  <c:v>4.3823131567796603</c:v>
                </c:pt>
                <c:pt idx="4">
                  <c:v>3.4614949576271163</c:v>
                </c:pt>
                <c:pt idx="5">
                  <c:v>3.2659980932203414</c:v>
                </c:pt>
                <c:pt idx="6">
                  <c:v>3.7029801694915232</c:v>
                </c:pt>
                <c:pt idx="7">
                  <c:v>6.0544083050847464</c:v>
                </c:pt>
                <c:pt idx="8">
                  <c:v>6.6670646398305085</c:v>
                </c:pt>
                <c:pt idx="9">
                  <c:v>6.509336588983051</c:v>
                </c:pt>
                <c:pt idx="10">
                  <c:v>5.5492694703389835</c:v>
                </c:pt>
                <c:pt idx="11">
                  <c:v>6.4299122245762685</c:v>
                </c:pt>
                <c:pt idx="12">
                  <c:v>6.0869337711864393</c:v>
                </c:pt>
                <c:pt idx="13">
                  <c:v>4.9520673093220307</c:v>
                </c:pt>
                <c:pt idx="14">
                  <c:v>5.3428355508474557</c:v>
                </c:pt>
                <c:pt idx="15">
                  <c:v>5.5425292318788291</c:v>
                </c:pt>
                <c:pt idx="16">
                  <c:v>4.9445389830508466</c:v>
                </c:pt>
                <c:pt idx="17">
                  <c:v>4.0293862288135589</c:v>
                </c:pt>
                <c:pt idx="18">
                  <c:v>3.6026696610169475</c:v>
                </c:pt>
                <c:pt idx="19">
                  <c:v>3.8021601694915272</c:v>
                </c:pt>
                <c:pt idx="20">
                  <c:v>3.5015211016949168</c:v>
                </c:pt>
                <c:pt idx="21">
                  <c:v>4.8828703601694929</c:v>
                </c:pt>
                <c:pt idx="22">
                  <c:v>5.8029045762711862</c:v>
                </c:pt>
                <c:pt idx="23">
                  <c:v>5.7950721186440655</c:v>
                </c:pt>
                <c:pt idx="24">
                  <c:v>3.5004274576271186</c:v>
                </c:pt>
                <c:pt idx="25">
                  <c:v>2.5067258686440672</c:v>
                </c:pt>
                <c:pt idx="26">
                  <c:v>1.9523356798245597</c:v>
                </c:pt>
                <c:pt idx="27">
                  <c:v>2.0280872650537436</c:v>
                </c:pt>
                <c:pt idx="28">
                  <c:v>3.0936213559322043</c:v>
                </c:pt>
                <c:pt idx="29">
                  <c:v>3.5964100847457647</c:v>
                </c:pt>
                <c:pt idx="30">
                  <c:v>4.4784401694915283</c:v>
                </c:pt>
                <c:pt idx="31">
                  <c:v>3.6691521610169495</c:v>
                </c:pt>
                <c:pt idx="32">
                  <c:v>2.9787426483050847</c:v>
                </c:pt>
                <c:pt idx="33">
                  <c:v>2.7970186381355893</c:v>
                </c:pt>
                <c:pt idx="34">
                  <c:v>2.5734952966101714</c:v>
                </c:pt>
                <c:pt idx="35">
                  <c:v>2.5528732380038663</c:v>
                </c:pt>
                <c:pt idx="36">
                  <c:v>1.8537357865571626</c:v>
                </c:pt>
                <c:pt idx="37">
                  <c:v>2.3410663603824755</c:v>
                </c:pt>
                <c:pt idx="38">
                  <c:v>2.1776901017591168</c:v>
                </c:pt>
                <c:pt idx="39">
                  <c:v>2.5417343905104275</c:v>
                </c:pt>
                <c:pt idx="40">
                  <c:v>2.1465757536378192</c:v>
                </c:pt>
                <c:pt idx="41">
                  <c:v>3.0446464843047325</c:v>
                </c:pt>
                <c:pt idx="42">
                  <c:v>3.8264587288135612</c:v>
                </c:pt>
                <c:pt idx="43">
                  <c:v>2.6344239032870664</c:v>
                </c:pt>
                <c:pt idx="44">
                  <c:v>2.5932960314579336</c:v>
                </c:pt>
                <c:pt idx="45">
                  <c:v>2.2740554905427874</c:v>
                </c:pt>
                <c:pt idx="46">
                  <c:v>2.0209365972914588</c:v>
                </c:pt>
                <c:pt idx="47">
                  <c:v>2.046290042372882</c:v>
                </c:pt>
                <c:pt idx="48">
                  <c:v>2.3541176694915258</c:v>
                </c:pt>
                <c:pt idx="49">
                  <c:v>2.2030964830508459</c:v>
                </c:pt>
                <c:pt idx="50">
                  <c:v>2.5106661832952444</c:v>
                </c:pt>
                <c:pt idx="51">
                  <c:v>2.8740148123486664</c:v>
                </c:pt>
                <c:pt idx="52">
                  <c:v>2.5485190299821499</c:v>
                </c:pt>
                <c:pt idx="53">
                  <c:v>2.3110279089941184</c:v>
                </c:pt>
                <c:pt idx="54">
                  <c:v>1.7210707411640567</c:v>
                </c:pt>
                <c:pt idx="55">
                  <c:v>2.584435423728813</c:v>
                </c:pt>
                <c:pt idx="56">
                  <c:v>3.8662151483050842</c:v>
                </c:pt>
                <c:pt idx="57">
                  <c:v>2.3390815480954101</c:v>
                </c:pt>
                <c:pt idx="58">
                  <c:v>5.7821658898305071</c:v>
                </c:pt>
                <c:pt idx="59">
                  <c:v>3.5043025211864416</c:v>
                </c:pt>
                <c:pt idx="60">
                  <c:v>2.8722596602449029</c:v>
                </c:pt>
                <c:pt idx="61">
                  <c:v>2.6634319758878107</c:v>
                </c:pt>
                <c:pt idx="62">
                  <c:v>3.7020674234401625</c:v>
                </c:pt>
                <c:pt idx="63">
                  <c:v>2.4535451148785903</c:v>
                </c:pt>
                <c:pt idx="64">
                  <c:v>2.153715940168385</c:v>
                </c:pt>
                <c:pt idx="65">
                  <c:v>3.1224504497183911</c:v>
                </c:pt>
                <c:pt idx="66">
                  <c:v>3.4553007571950189</c:v>
                </c:pt>
                <c:pt idx="67">
                  <c:v>4.4202851215075585</c:v>
                </c:pt>
                <c:pt idx="68">
                  <c:v>4.0789324457536855</c:v>
                </c:pt>
                <c:pt idx="69">
                  <c:v>4.4769033457114933</c:v>
                </c:pt>
                <c:pt idx="70">
                  <c:v>5.1492084168905068</c:v>
                </c:pt>
                <c:pt idx="71">
                  <c:v>4.5204515476197846</c:v>
                </c:pt>
                <c:pt idx="72">
                  <c:v>3.9253560578087177</c:v>
                </c:pt>
                <c:pt idx="73">
                  <c:v>4.2528816842893926</c:v>
                </c:pt>
                <c:pt idx="74">
                  <c:v>3.8448890727289013</c:v>
                </c:pt>
                <c:pt idx="75">
                  <c:v>3.202259232751369</c:v>
                </c:pt>
                <c:pt idx="76">
                  <c:v>4.0759969687696165</c:v>
                </c:pt>
                <c:pt idx="77">
                  <c:v>4.1190231871406953</c:v>
                </c:pt>
                <c:pt idx="78">
                  <c:v>5.363709369355556</c:v>
                </c:pt>
                <c:pt idx="79">
                  <c:v>5.5501634322033873</c:v>
                </c:pt>
                <c:pt idx="80">
                  <c:v>3.4701003389830518</c:v>
                </c:pt>
                <c:pt idx="90">
                  <c:v>8.4474213347457656</c:v>
                </c:pt>
                <c:pt idx="91">
                  <c:v>7.5159060963364404</c:v>
                </c:pt>
                <c:pt idx="92">
                  <c:v>6.6919284533898313</c:v>
                </c:pt>
                <c:pt idx="93">
                  <c:v>7.1163864618644048</c:v>
                </c:pt>
                <c:pt idx="94">
                  <c:v>10.90631597457627</c:v>
                </c:pt>
                <c:pt idx="95">
                  <c:v>9.9131489194915261</c:v>
                </c:pt>
                <c:pt idx="96">
                  <c:v>8.4213999122814354</c:v>
                </c:pt>
                <c:pt idx="97">
                  <c:v>9.8434743190776484</c:v>
                </c:pt>
                <c:pt idx="98">
                  <c:v>11.101991631355933</c:v>
                </c:pt>
                <c:pt idx="99">
                  <c:v>9.501822012711866</c:v>
                </c:pt>
                <c:pt idx="100">
                  <c:v>8.0884836652542376</c:v>
                </c:pt>
                <c:pt idx="101">
                  <c:v>7.9304613135593236</c:v>
                </c:pt>
                <c:pt idx="102">
                  <c:v>6.9577914830508476</c:v>
                </c:pt>
                <c:pt idx="103">
                  <c:v>6.7570395974576307</c:v>
                </c:pt>
                <c:pt idx="104">
                  <c:v>5.7524138908524058</c:v>
                </c:pt>
                <c:pt idx="105">
                  <c:v>6.0059512153312795</c:v>
                </c:pt>
                <c:pt idx="106">
                  <c:v>5.7964041525423706</c:v>
                </c:pt>
                <c:pt idx="107">
                  <c:v>6.2221561016949165</c:v>
                </c:pt>
                <c:pt idx="108">
                  <c:v>7.097951800847456</c:v>
                </c:pt>
                <c:pt idx="109">
                  <c:v>6.6397057203389842</c:v>
                </c:pt>
                <c:pt idx="110">
                  <c:v>10.136417584745761</c:v>
                </c:pt>
                <c:pt idx="111">
                  <c:v>8.9924198093220333</c:v>
                </c:pt>
                <c:pt idx="112">
                  <c:v>8.585616121661289</c:v>
                </c:pt>
                <c:pt idx="113">
                  <c:v>8.7158550423728762</c:v>
                </c:pt>
                <c:pt idx="114">
                  <c:v>7.7155344491525408</c:v>
                </c:pt>
                <c:pt idx="115">
                  <c:v>7.269046142214755</c:v>
                </c:pt>
                <c:pt idx="116">
                  <c:v>7.2128556991525432</c:v>
                </c:pt>
                <c:pt idx="117">
                  <c:v>6.4246320127118617</c:v>
                </c:pt>
                <c:pt idx="118">
                  <c:v>6.3396355932203408</c:v>
                </c:pt>
                <c:pt idx="119">
                  <c:v>5.1070028813559318</c:v>
                </c:pt>
                <c:pt idx="120">
                  <c:v>5.629278750000001</c:v>
                </c:pt>
                <c:pt idx="121">
                  <c:v>6.4346101016949175</c:v>
                </c:pt>
                <c:pt idx="122">
                  <c:v>6.9380192584745757</c:v>
                </c:pt>
                <c:pt idx="123">
                  <c:v>8.8743947245762733</c:v>
                </c:pt>
                <c:pt idx="124">
                  <c:v>9.2164202330508509</c:v>
                </c:pt>
                <c:pt idx="125">
                  <c:v>10.509389533898309</c:v>
                </c:pt>
                <c:pt idx="126">
                  <c:v>10.392286673728819</c:v>
                </c:pt>
                <c:pt idx="127">
                  <c:v>9.9498793855932188</c:v>
                </c:pt>
                <c:pt idx="128">
                  <c:v>8.4738303813559295</c:v>
                </c:pt>
                <c:pt idx="129">
                  <c:v>6.411967123734315</c:v>
                </c:pt>
                <c:pt idx="130">
                  <c:v>7.1573071822033896</c:v>
                </c:pt>
                <c:pt idx="131">
                  <c:v>6.7303082581719131</c:v>
                </c:pt>
                <c:pt idx="132">
                  <c:v>6.1308177754237283</c:v>
                </c:pt>
                <c:pt idx="133">
                  <c:v>7.6778577966101675</c:v>
                </c:pt>
                <c:pt idx="134">
                  <c:v>7.5608925635593227</c:v>
                </c:pt>
                <c:pt idx="135">
                  <c:v>8.3653807823849888</c:v>
                </c:pt>
                <c:pt idx="136">
                  <c:v>8.5552085522598862</c:v>
                </c:pt>
                <c:pt idx="137">
                  <c:v>9.166286695903862</c:v>
                </c:pt>
                <c:pt idx="138">
                  <c:v>12.222892627118645</c:v>
                </c:pt>
                <c:pt idx="139">
                  <c:v>16.177152313378777</c:v>
                </c:pt>
                <c:pt idx="140">
                  <c:v>33.768604335741827</c:v>
                </c:pt>
                <c:pt idx="141">
                  <c:v>27.523867391040206</c:v>
                </c:pt>
                <c:pt idx="142">
                  <c:v>13.508086080508479</c:v>
                </c:pt>
                <c:pt idx="143">
                  <c:v>17.028813538472082</c:v>
                </c:pt>
                <c:pt idx="144">
                  <c:v>15.608388752810441</c:v>
                </c:pt>
                <c:pt idx="145">
                  <c:v>22.511928648446332</c:v>
                </c:pt>
                <c:pt idx="146">
                  <c:v>19.392141254159295</c:v>
                </c:pt>
                <c:pt idx="147">
                  <c:v>28.369455082398137</c:v>
                </c:pt>
                <c:pt idx="148">
                  <c:v>28.939849844234637</c:v>
                </c:pt>
                <c:pt idx="149">
                  <c:v>23.424869266189749</c:v>
                </c:pt>
                <c:pt idx="150">
                  <c:v>42.019875279375817</c:v>
                </c:pt>
                <c:pt idx="151">
                  <c:v>32.09098098139458</c:v>
                </c:pt>
                <c:pt idx="152">
                  <c:v>16.444483066086821</c:v>
                </c:pt>
                <c:pt idx="153">
                  <c:v>20.261838280875509</c:v>
                </c:pt>
                <c:pt idx="154">
                  <c:v>17.649334741138698</c:v>
                </c:pt>
                <c:pt idx="155">
                  <c:v>16.054947097457624</c:v>
                </c:pt>
                <c:pt idx="156">
                  <c:v>10.303709772857212</c:v>
                </c:pt>
                <c:pt idx="157">
                  <c:v>15.728016483050851</c:v>
                </c:pt>
                <c:pt idx="158">
                  <c:v>23.788584286012142</c:v>
                </c:pt>
                <c:pt idx="159">
                  <c:v>8.2857398940677953</c:v>
                </c:pt>
                <c:pt idx="160">
                  <c:v>6.1666002118644103</c:v>
                </c:pt>
                <c:pt idx="161">
                  <c:v>8.1793623807432922</c:v>
                </c:pt>
                <c:pt idx="162">
                  <c:v>11.918944364406782</c:v>
                </c:pt>
                <c:pt idx="163">
                  <c:v>8.8657291313559359</c:v>
                </c:pt>
                <c:pt idx="164">
                  <c:v>6.227908058443286</c:v>
                </c:pt>
                <c:pt idx="165">
                  <c:v>6.299023919491523</c:v>
                </c:pt>
                <c:pt idx="166">
                  <c:v>6.5506820469739662</c:v>
                </c:pt>
                <c:pt idx="167">
                  <c:v>8.6620253846154771</c:v>
                </c:pt>
                <c:pt idx="168">
                  <c:v>7.3004447397094445</c:v>
                </c:pt>
                <c:pt idx="169">
                  <c:v>7.3466290947227915</c:v>
                </c:pt>
                <c:pt idx="170">
                  <c:v>6.9714749364406767</c:v>
                </c:pt>
                <c:pt idx="171">
                  <c:v>7.547849936440679</c:v>
                </c:pt>
              </c:numCache>
            </c:numRef>
          </c:yVal>
          <c:smooth val="0"/>
          <c:extLst>
            <c:ext xmlns:c16="http://schemas.microsoft.com/office/drawing/2014/chart" uri="{C3380CC4-5D6E-409C-BE32-E72D297353CC}">
              <c16:uniqueId val="{00000000-FA03-4B71-8F6A-E0986EFC5180}"/>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'SP02'!$AE$3:$AE$174</c:f>
              <c:numCache>
                <c:formatCode>0.0</c:formatCode>
                <c:ptCount val="172"/>
                <c:pt idx="0">
                  <c:v>5.7621802887633393</c:v>
                </c:pt>
                <c:pt idx="1">
                  <c:v>4.175431603107346</c:v>
                </c:pt>
                <c:pt idx="2">
                  <c:v>5.7317527542372879</c:v>
                </c:pt>
                <c:pt idx="3">
                  <c:v>4.5910802612994379</c:v>
                </c:pt>
                <c:pt idx="4">
                  <c:v>3.1970885946327687</c:v>
                </c:pt>
                <c:pt idx="5">
                  <c:v>3.5478459039548014</c:v>
                </c:pt>
                <c:pt idx="6">
                  <c:v>3.505619950564971</c:v>
                </c:pt>
                <c:pt idx="7">
                  <c:v>6.1351737288135553</c:v>
                </c:pt>
                <c:pt idx="8">
                  <c:v>7.2603455861581949</c:v>
                </c:pt>
                <c:pt idx="9">
                  <c:v>6.9883973870056462</c:v>
                </c:pt>
                <c:pt idx="10">
                  <c:v>6.6720742937853093</c:v>
                </c:pt>
                <c:pt idx="11">
                  <c:v>7.8622300847457627</c:v>
                </c:pt>
                <c:pt idx="12">
                  <c:v>7.0238898305084732</c:v>
                </c:pt>
                <c:pt idx="13">
                  <c:v>4.9131362994350241</c:v>
                </c:pt>
                <c:pt idx="14">
                  <c:v>6.2452553672316391</c:v>
                </c:pt>
                <c:pt idx="15">
                  <c:v>4.9257565091958151</c:v>
                </c:pt>
                <c:pt idx="16">
                  <c:v>4.193164018361581</c:v>
                </c:pt>
                <c:pt idx="17">
                  <c:v>3.5605032132768288</c:v>
                </c:pt>
                <c:pt idx="18">
                  <c:v>3.1106209392655355</c:v>
                </c:pt>
                <c:pt idx="19">
                  <c:v>4.0201531779661002</c:v>
                </c:pt>
                <c:pt idx="20">
                  <c:v>3.9539672669491512</c:v>
                </c:pt>
                <c:pt idx="21">
                  <c:v>3.9370226341807859</c:v>
                </c:pt>
                <c:pt idx="22">
                  <c:v>5.0439999646892675</c:v>
                </c:pt>
                <c:pt idx="23">
                  <c:v>3.9310842161016897</c:v>
                </c:pt>
                <c:pt idx="24">
                  <c:v>2.9700781073446318</c:v>
                </c:pt>
                <c:pt idx="25">
                  <c:v>2.2757193149717496</c:v>
                </c:pt>
                <c:pt idx="26">
                  <c:v>1.6897350282485881</c:v>
                </c:pt>
                <c:pt idx="27">
                  <c:v>1.7056912782485858</c:v>
                </c:pt>
                <c:pt idx="28">
                  <c:v>3.0991688559322039</c:v>
                </c:pt>
                <c:pt idx="29">
                  <c:v>3.3458852754237309</c:v>
                </c:pt>
                <c:pt idx="30">
                  <c:v>3.3803471045197728</c:v>
                </c:pt>
                <c:pt idx="31">
                  <c:v>2.5893566384180815</c:v>
                </c:pt>
                <c:pt idx="32">
                  <c:v>2.7231034251412432</c:v>
                </c:pt>
                <c:pt idx="33">
                  <c:v>2.3890389830508445</c:v>
                </c:pt>
                <c:pt idx="34">
                  <c:v>2.2458729166666682</c:v>
                </c:pt>
                <c:pt idx="35">
                  <c:v>1.5458290960451979</c:v>
                </c:pt>
                <c:pt idx="36">
                  <c:v>1.309326235875707</c:v>
                </c:pt>
                <c:pt idx="37">
                  <c:v>1.255218573446327</c:v>
                </c:pt>
                <c:pt idx="38">
                  <c:v>1.6147251412429364</c:v>
                </c:pt>
                <c:pt idx="39">
                  <c:v>1.6007310381355921</c:v>
                </c:pt>
                <c:pt idx="40">
                  <c:v>1.7107615112994372</c:v>
                </c:pt>
                <c:pt idx="41">
                  <c:v>1.3868001765536713</c:v>
                </c:pt>
                <c:pt idx="42">
                  <c:v>2.1665172316384158</c:v>
                </c:pt>
                <c:pt idx="43">
                  <c:v>1.8740330861581889</c:v>
                </c:pt>
                <c:pt idx="44">
                  <c:v>1.9823231285310721</c:v>
                </c:pt>
                <c:pt idx="45">
                  <c:v>1.5756430084745769</c:v>
                </c:pt>
                <c:pt idx="46">
                  <c:v>1.7510594279661014</c:v>
                </c:pt>
                <c:pt idx="47">
                  <c:v>1.6120336864406761</c:v>
                </c:pt>
                <c:pt idx="48">
                  <c:v>1.4232330861581906</c:v>
                </c:pt>
                <c:pt idx="49">
                  <c:v>1.2077152895480223</c:v>
                </c:pt>
                <c:pt idx="50">
                  <c:v>1.8156713983050841</c:v>
                </c:pt>
                <c:pt idx="51">
                  <c:v>1.8322570621468932</c:v>
                </c:pt>
                <c:pt idx="52">
                  <c:v>1.784593785310733</c:v>
                </c:pt>
                <c:pt idx="53">
                  <c:v>1.3785073446327676</c:v>
                </c:pt>
                <c:pt idx="54">
                  <c:v>0.96537309322033948</c:v>
                </c:pt>
                <c:pt idx="55">
                  <c:v>1.1687021892655354</c:v>
                </c:pt>
                <c:pt idx="56">
                  <c:v>1.3054864053672288</c:v>
                </c:pt>
                <c:pt idx="57">
                  <c:v>1.2917123940677966</c:v>
                </c:pt>
                <c:pt idx="58">
                  <c:v>2.5360489406779658</c:v>
                </c:pt>
                <c:pt idx="59">
                  <c:v>2.7779842514124296</c:v>
                </c:pt>
                <c:pt idx="60">
                  <c:v>1.8083596398305097</c:v>
                </c:pt>
                <c:pt idx="61">
                  <c:v>1.4647597810734432</c:v>
                </c:pt>
                <c:pt idx="62">
                  <c:v>1.6257865819209014</c:v>
                </c:pt>
                <c:pt idx="63">
                  <c:v>1.6012516242937878</c:v>
                </c:pt>
                <c:pt idx="64">
                  <c:v>1.5755463629943511</c:v>
                </c:pt>
                <c:pt idx="65">
                  <c:v>2.4123914548022594</c:v>
                </c:pt>
                <c:pt idx="66">
                  <c:v>2.0795314265536735</c:v>
                </c:pt>
                <c:pt idx="67">
                  <c:v>3.4275141596045149</c:v>
                </c:pt>
                <c:pt idx="68">
                  <c:v>3.7680903954802227</c:v>
                </c:pt>
                <c:pt idx="69">
                  <c:v>3.3622898305084759</c:v>
                </c:pt>
                <c:pt idx="70">
                  <c:v>3.8232895833333318</c:v>
                </c:pt>
                <c:pt idx="71">
                  <c:v>3.0819789548022589</c:v>
                </c:pt>
                <c:pt idx="72">
                  <c:v>3.4394730225988681</c:v>
                </c:pt>
                <c:pt idx="73">
                  <c:v>3.477871327683614</c:v>
                </c:pt>
                <c:pt idx="74">
                  <c:v>3.3440693149717537</c:v>
                </c:pt>
                <c:pt idx="75">
                  <c:v>2.466433333333331</c:v>
                </c:pt>
                <c:pt idx="76">
                  <c:v>1.9766592161016936</c:v>
                </c:pt>
                <c:pt idx="77">
                  <c:v>2.7416098163841811</c:v>
                </c:pt>
                <c:pt idx="78">
                  <c:v>3.8786625706214695</c:v>
                </c:pt>
                <c:pt idx="79">
                  <c:v>3.7466237288135584</c:v>
                </c:pt>
                <c:pt idx="80">
                  <c:v>2.1035490466101701</c:v>
                </c:pt>
                <c:pt idx="90">
                  <c:v>8.9063813559322025</c:v>
                </c:pt>
                <c:pt idx="91">
                  <c:v>6.6687704802259855</c:v>
                </c:pt>
                <c:pt idx="92">
                  <c:v>6.2844325211864351</c:v>
                </c:pt>
                <c:pt idx="93">
                  <c:v>7.3227606991525409</c:v>
                </c:pt>
                <c:pt idx="94">
                  <c:v>10.365408121468919</c:v>
                </c:pt>
                <c:pt idx="95">
                  <c:v>9.349236935028248</c:v>
                </c:pt>
                <c:pt idx="96">
                  <c:v>9.3978585451977423</c:v>
                </c:pt>
                <c:pt idx="97">
                  <c:v>9.7657594632768401</c:v>
                </c:pt>
                <c:pt idx="98">
                  <c:v>9.5989241878531075</c:v>
                </c:pt>
                <c:pt idx="99">
                  <c:v>9.0635813206214646</c:v>
                </c:pt>
                <c:pt idx="100">
                  <c:v>8.1832628177966118</c:v>
                </c:pt>
                <c:pt idx="101">
                  <c:v>8.6506330508474552</c:v>
                </c:pt>
                <c:pt idx="102">
                  <c:v>7.2145770480225977</c:v>
                </c:pt>
                <c:pt idx="103">
                  <c:v>7.828660805084743</c:v>
                </c:pt>
                <c:pt idx="104">
                  <c:v>6.5614980579096009</c:v>
                </c:pt>
                <c:pt idx="105">
                  <c:v>6.5477289194915294</c:v>
                </c:pt>
                <c:pt idx="106">
                  <c:v>6.5261331214689235</c:v>
                </c:pt>
                <c:pt idx="107">
                  <c:v>6.5899191384180753</c:v>
                </c:pt>
                <c:pt idx="108">
                  <c:v>7.4208769774011305</c:v>
                </c:pt>
                <c:pt idx="109">
                  <c:v>7.9247199152542382</c:v>
                </c:pt>
                <c:pt idx="110">
                  <c:v>9.559531814971745</c:v>
                </c:pt>
                <c:pt idx="111">
                  <c:v>10.560531285310738</c:v>
                </c:pt>
                <c:pt idx="112">
                  <c:v>8.7725712217514129</c:v>
                </c:pt>
                <c:pt idx="113">
                  <c:v>8.4154466807909589</c:v>
                </c:pt>
                <c:pt idx="114">
                  <c:v>7.8939712217514124</c:v>
                </c:pt>
                <c:pt idx="115">
                  <c:v>8.1453144586648225</c:v>
                </c:pt>
                <c:pt idx="116">
                  <c:v>7.851676235875706</c:v>
                </c:pt>
                <c:pt idx="117">
                  <c:v>6.7689398658192079</c:v>
                </c:pt>
                <c:pt idx="118">
                  <c:v>6.3410992584745731</c:v>
                </c:pt>
                <c:pt idx="119">
                  <c:v>6.1295057556497188</c:v>
                </c:pt>
                <c:pt idx="120">
                  <c:v>6.5717903954802228</c:v>
                </c:pt>
                <c:pt idx="121">
                  <c:v>7.1214798375706216</c:v>
                </c:pt>
                <c:pt idx="122">
                  <c:v>7.6674675141242901</c:v>
                </c:pt>
                <c:pt idx="123">
                  <c:v>8.503934145480228</c:v>
                </c:pt>
                <c:pt idx="124">
                  <c:v>9.2546567443502834</c:v>
                </c:pt>
                <c:pt idx="125">
                  <c:v>11.093400353107345</c:v>
                </c:pt>
                <c:pt idx="126">
                  <c:v>11.679578742937853</c:v>
                </c:pt>
                <c:pt idx="127">
                  <c:v>9.5946425494350205</c:v>
                </c:pt>
                <c:pt idx="128">
                  <c:v>8.0078959392655378</c:v>
                </c:pt>
                <c:pt idx="129">
                  <c:v>6.7842861935028225</c:v>
                </c:pt>
                <c:pt idx="130">
                  <c:v>7.7834997528248611</c:v>
                </c:pt>
                <c:pt idx="131">
                  <c:v>7.4624288488700543</c:v>
                </c:pt>
                <c:pt idx="132">
                  <c:v>6.6231375706214646</c:v>
                </c:pt>
                <c:pt idx="133">
                  <c:v>8.0600520127118642</c:v>
                </c:pt>
                <c:pt idx="134">
                  <c:v>7.5942492231638443</c:v>
                </c:pt>
                <c:pt idx="135">
                  <c:v>8.7086032838983041</c:v>
                </c:pt>
                <c:pt idx="136">
                  <c:v>9.0679945268361575</c:v>
                </c:pt>
                <c:pt idx="137">
                  <c:v>10.917025600282482</c:v>
                </c:pt>
                <c:pt idx="138">
                  <c:v>12.93641747881356</c:v>
                </c:pt>
                <c:pt idx="139">
                  <c:v>17.751617313114025</c:v>
                </c:pt>
                <c:pt idx="140">
                  <c:v>26.067381680126815</c:v>
                </c:pt>
                <c:pt idx="141">
                  <c:v>23.003973093220324</c:v>
                </c:pt>
                <c:pt idx="142">
                  <c:v>21.269255755649716</c:v>
                </c:pt>
                <c:pt idx="143">
                  <c:v>29.677093215290313</c:v>
                </c:pt>
                <c:pt idx="144">
                  <c:v>30.337079153425115</c:v>
                </c:pt>
                <c:pt idx="145">
                  <c:v>30.250992097334084</c:v>
                </c:pt>
                <c:pt idx="146">
                  <c:v>19.558725224414623</c:v>
                </c:pt>
                <c:pt idx="147">
                  <c:v>19.574231680381267</c:v>
                </c:pt>
                <c:pt idx="148">
                  <c:v>21.86340930093229</c:v>
                </c:pt>
                <c:pt idx="149">
                  <c:v>29.116814317272691</c:v>
                </c:pt>
                <c:pt idx="150">
                  <c:v>25.442011360840723</c:v>
                </c:pt>
                <c:pt idx="151">
                  <c:v>29.690492973163849</c:v>
                </c:pt>
                <c:pt idx="152">
                  <c:v>11.06858682909604</c:v>
                </c:pt>
                <c:pt idx="153">
                  <c:v>17.367587570621474</c:v>
                </c:pt>
                <c:pt idx="154">
                  <c:v>15.50690300141243</c:v>
                </c:pt>
                <c:pt idx="155">
                  <c:v>8.6096732344632692</c:v>
                </c:pt>
                <c:pt idx="156">
                  <c:v>6.3494408192090397</c:v>
                </c:pt>
                <c:pt idx="157">
                  <c:v>6.8529856991525406</c:v>
                </c:pt>
                <c:pt idx="158">
                  <c:v>14.120761101151674</c:v>
                </c:pt>
                <c:pt idx="159">
                  <c:v>4.3534655720338984</c:v>
                </c:pt>
                <c:pt idx="160">
                  <c:v>5.3883193855932205</c:v>
                </c:pt>
                <c:pt idx="161">
                  <c:v>7.7123313206214679</c:v>
                </c:pt>
                <c:pt idx="162">
                  <c:v>9.6827621115819191</c:v>
                </c:pt>
                <c:pt idx="163">
                  <c:v>7.729875317796612</c:v>
                </c:pt>
                <c:pt idx="164">
                  <c:v>7.2354159251412451</c:v>
                </c:pt>
                <c:pt idx="165">
                  <c:v>6.2838973163841789</c:v>
                </c:pt>
                <c:pt idx="166">
                  <c:v>5.7469570390868157</c:v>
                </c:pt>
                <c:pt idx="167">
                  <c:v>6.6900893361581968</c:v>
                </c:pt>
                <c:pt idx="168">
                  <c:v>6.6691781779660992</c:v>
                </c:pt>
                <c:pt idx="169">
                  <c:v>6.4538520480225969</c:v>
                </c:pt>
                <c:pt idx="170">
                  <c:v>6.1481006709039541</c:v>
                </c:pt>
                <c:pt idx="171">
                  <c:v>5.9517690324858741</c:v>
                </c:pt>
              </c:numCache>
            </c:numRef>
          </c:yVal>
          <c:smooth val="0"/>
          <c:extLst>
            <c:ext xmlns:c16="http://schemas.microsoft.com/office/drawing/2014/chart" uri="{C3380CC4-5D6E-409C-BE32-E72D297353CC}">
              <c16:uniqueId val="{00000001-FA03-4B71-8F6A-E0986EFC5180}"/>
            </c:ext>
          </c:extLst>
        </c:ser>
        <c:ser>
          <c:idx val="2"/>
          <c:order val="2"/>
          <c:tx>
            <c:v>Ext. Channel</c:v>
          </c:tx>
          <c:spPr>
            <a:ln w="28575">
              <a:noFill/>
            </a:ln>
          </c:spPr>
          <c:marker>
            <c:symbol val="circle"/>
            <c:size val="10"/>
            <c:spPr>
              <a:solidFill>
                <a:schemeClr val="tx1"/>
              </a:solidFill>
              <a:ln>
                <a:solidFill>
                  <a:schemeClr val="tx1"/>
                </a:solidFill>
              </a:ln>
            </c:spPr>
          </c:marker>
          <c:xVal>
            <c:numRef>
              <c:f>Raw!$A$25:$A$44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Raw!$F$25:$F$44</c:f>
              <c:numCache>
                <c:formatCode>0.00</c:formatCode>
                <c:ptCount val="20"/>
                <c:pt idx="0">
                  <c:v>2.1960000000000002</c:v>
                </c:pt>
                <c:pt idx="1">
                  <c:v>3.2725</c:v>
                </c:pt>
                <c:pt idx="2">
                  <c:v>2.72</c:v>
                </c:pt>
                <c:pt idx="3">
                  <c:v>3.012</c:v>
                </c:pt>
                <c:pt idx="4">
                  <c:v>2.9552941176470591</c:v>
                </c:pt>
                <c:pt idx="5">
                  <c:v>2.8456470588235296</c:v>
                </c:pt>
                <c:pt idx="6">
                  <c:v>2.7359999999999998</c:v>
                </c:pt>
                <c:pt idx="7">
                  <c:v>1.6454</c:v>
                </c:pt>
                <c:pt idx="8">
                  <c:v>2.31</c:v>
                </c:pt>
                <c:pt idx="9">
                  <c:v>4.5628571428571432</c:v>
                </c:pt>
                <c:pt idx="10">
                  <c:v>3.37</c:v>
                </c:pt>
                <c:pt idx="11">
                  <c:v>8.2333333333333343</c:v>
                </c:pt>
                <c:pt idx="12">
                  <c:v>7.9857142857142858</c:v>
                </c:pt>
                <c:pt idx="13">
                  <c:v>7.6766666666666685</c:v>
                </c:pt>
                <c:pt idx="14">
                  <c:v>8.8509090909090915</c:v>
                </c:pt>
                <c:pt idx="15">
                  <c:v>9.9239999999999995</c:v>
                </c:pt>
                <c:pt idx="16">
                  <c:v>10.976666666666668</c:v>
                </c:pt>
                <c:pt idx="17">
                  <c:v>6.7240000000000002</c:v>
                </c:pt>
                <c:pt idx="18">
                  <c:v>4.706666666666667</c:v>
                </c:pt>
                <c:pt idx="19">
                  <c:v>5.3879999999999999</c:v>
                </c:pt>
              </c:numCache>
            </c:numRef>
          </c:yVal>
          <c:smooth val="0"/>
          <c:extLst>
            <c:ext xmlns:c16="http://schemas.microsoft.com/office/drawing/2014/chart" uri="{C3380CC4-5D6E-409C-BE32-E72D297353CC}">
              <c16:uniqueId val="{00000000-0C13-44CB-9117-9E8986F9AD29}"/>
            </c:ext>
          </c:extLst>
        </c:ser>
        <c:ser>
          <c:idx val="3"/>
          <c:order val="3"/>
          <c:tx>
            <c:v>Ext. Shoal</c:v>
          </c:tx>
          <c:spPr>
            <a:ln w="28575">
              <a:noFill/>
            </a:ln>
          </c:spPr>
          <c:marker>
            <c:symbol val="circle"/>
            <c:size val="10"/>
            <c:spPr>
              <a:noFill/>
              <a:ln>
                <a:solidFill>
                  <a:schemeClr val="tx1"/>
                </a:solidFill>
              </a:ln>
            </c:spPr>
          </c:marker>
          <c:xVal>
            <c:numRef>
              <c:f>Raw!$A$5:$A$24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xVal>
          <c:yVal>
            <c:numRef>
              <c:f>Raw!$F$5:$F$24</c:f>
              <c:numCache>
                <c:formatCode>0.00</c:formatCode>
                <c:ptCount val="2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numCache>
            </c:numRef>
          </c:yVal>
          <c:smooth val="0"/>
          <c:extLst>
            <c:ext xmlns:c16="http://schemas.microsoft.com/office/drawing/2014/chart" uri="{C3380CC4-5D6E-409C-BE32-E72D297353CC}">
              <c16:uniqueId val="{00000001-0C13-44CB-9117-9E8986F9AD29}"/>
            </c:ext>
          </c:extLst>
        </c:ser>
        <c:dLbls>
          <c:showLegendKey val="0"/>
          <c:showVal val="0"/>
          <c:showCatName val="0"/>
          <c:showSerName val="0"/>
          <c:showPercent val="0"/>
          <c:showBubbleSize val="0"/>
        </c:dLbls>
        <c:axId val="263338264"/>
        <c:axId val="263338656"/>
      </c:scatterChart>
      <c:valAx>
        <c:axId val="263338264"/>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8656"/>
        <c:crosses val="autoZero"/>
        <c:crossBetween val="midCat"/>
        <c:majorUnit val="30.6"/>
      </c:valAx>
      <c:valAx>
        <c:axId val="263338656"/>
        <c:scaling>
          <c:orientation val="minMax"/>
          <c:max val="45"/>
          <c:min val="0"/>
        </c:scaling>
        <c:delete val="0"/>
        <c:axPos val="l"/>
        <c:title>
          <c:tx>
            <c:rich>
              <a:bodyPr/>
              <a:lstStyle/>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Chl a</a:t>
                </a:r>
              </a:p>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 (mg m</a:t>
                </a:r>
                <a:r>
                  <a:rPr lang="en-US" sz="1000" b="0" i="0" u="none" strike="noStrike" baseline="30000">
                    <a:solidFill>
                      <a:srgbClr val="000000"/>
                    </a:solidFill>
                    <a:latin typeface="Arial"/>
                    <a:cs typeface="Arial"/>
                  </a:rPr>
                  <a:t>-3</a:t>
                </a:r>
                <a:r>
                  <a:rPr lang="en-US" sz="1000" b="0" i="0" u="none" strike="noStrike" baseline="0">
                    <a:solidFill>
                      <a:srgbClr val="000000"/>
                    </a:solidFill>
                    <a:latin typeface="Arial"/>
                    <a:cs typeface="Arial"/>
                  </a:rPr>
                  <a:t>)</a:t>
                </a:r>
              </a:p>
            </c:rich>
          </c:tx>
          <c:layout>
            <c:manualLayout>
              <c:xMode val="edge"/>
              <c:yMode val="edge"/>
              <c:x val="9.7357830271216101E-3"/>
              <c:y val="0.2543869968061221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338264"/>
        <c:crosses val="autoZero"/>
        <c:crossBetween val="midCat"/>
        <c:majorUnit val="1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verticalDpi="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35320016530091"/>
          <c:y val="8.6225436804165487E-2"/>
          <c:w val="0.84027438470068472"/>
          <c:h val="0.65780353844658301"/>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errBars>
            <c:errBarType val="plus"/>
            <c:errValType val="cust"/>
            <c:noEndCap val="0"/>
            <c:plus>
              <c:numRef>
                <c:f>SUM!$Q$5:$Q$24</c:f>
                <c:numCache>
                  <c:formatCode>General</c:formatCode>
                  <c:ptCount val="20"/>
                  <c:pt idx="0">
                    <c:v>0.35104690990894072</c:v>
                  </c:pt>
                  <c:pt idx="1">
                    <c:v>4.6075962328749942E-2</c:v>
                  </c:pt>
                  <c:pt idx="2">
                    <c:v>0.37363922058356508</c:v>
                  </c:pt>
                  <c:pt idx="3">
                    <c:v>0.32206169706812898</c:v>
                  </c:pt>
                  <c:pt idx="4">
                    <c:v>5.3149941539538316E-2</c:v>
                  </c:pt>
                  <c:pt idx="5">
                    <c:v>0.29125302178266343</c:v>
                  </c:pt>
                  <c:pt idx="6">
                    <c:v>0.19374600956445664</c:v>
                  </c:pt>
                  <c:pt idx="7">
                    <c:v>0.24390108433213192</c:v>
                  </c:pt>
                  <c:pt idx="8">
                    <c:v>0.5188442927444552</c:v>
                  </c:pt>
                  <c:pt idx="9">
                    <c:v>1.4196275655322865</c:v>
                  </c:pt>
                  <c:pt idx="10">
                    <c:v>0.30035732770146595</c:v>
                  </c:pt>
                  <c:pt idx="11">
                    <c:v>0.2517604293025909</c:v>
                  </c:pt>
                  <c:pt idx="12">
                    <c:v>0.41558709805892452</c:v>
                  </c:pt>
                  <c:pt idx="13">
                    <c:v>0.39745228874374761</c:v>
                  </c:pt>
                  <c:pt idx="14">
                    <c:v>0.4062119489113632</c:v>
                  </c:pt>
                  <c:pt idx="15">
                    <c:v>0.63538621019463326</c:v>
                  </c:pt>
                  <c:pt idx="16">
                    <c:v>0.40483080326101373</c:v>
                  </c:pt>
                  <c:pt idx="17">
                    <c:v>0.50316822388906635</c:v>
                  </c:pt>
                  <c:pt idx="18">
                    <c:v>0.93905143447947959</c:v>
                  </c:pt>
                  <c:pt idx="19">
                    <c:v>0.68275090001566285</c:v>
                  </c:pt>
                </c:numCache>
              </c:numRef>
            </c:plus>
            <c:minus>
              <c:numRef>
                <c:f>SUM!$Q$5:$Q$24</c:f>
                <c:numCache>
                  <c:formatCode>General</c:formatCode>
                  <c:ptCount val="20"/>
                  <c:pt idx="0">
                    <c:v>0.35104690990894072</c:v>
                  </c:pt>
                  <c:pt idx="1">
                    <c:v>4.6075962328749942E-2</c:v>
                  </c:pt>
                  <c:pt idx="2">
                    <c:v>0.37363922058356508</c:v>
                  </c:pt>
                  <c:pt idx="3">
                    <c:v>0.32206169706812898</c:v>
                  </c:pt>
                  <c:pt idx="4">
                    <c:v>5.3149941539538316E-2</c:v>
                  </c:pt>
                  <c:pt idx="5">
                    <c:v>0.29125302178266343</c:v>
                  </c:pt>
                  <c:pt idx="6">
                    <c:v>0.19374600956445664</c:v>
                  </c:pt>
                  <c:pt idx="7">
                    <c:v>0.24390108433213192</c:v>
                  </c:pt>
                  <c:pt idx="8">
                    <c:v>0.5188442927444552</c:v>
                  </c:pt>
                  <c:pt idx="9">
                    <c:v>1.4196275655322865</c:v>
                  </c:pt>
                  <c:pt idx="10">
                    <c:v>0.30035732770146595</c:v>
                  </c:pt>
                  <c:pt idx="11">
                    <c:v>0.2517604293025909</c:v>
                  </c:pt>
                  <c:pt idx="12">
                    <c:v>0.41558709805892452</c:v>
                  </c:pt>
                  <c:pt idx="13">
                    <c:v>0.39745228874374761</c:v>
                  </c:pt>
                  <c:pt idx="14">
                    <c:v>0.4062119489113632</c:v>
                  </c:pt>
                  <c:pt idx="15">
                    <c:v>0.63538621019463326</c:v>
                  </c:pt>
                  <c:pt idx="16">
                    <c:v>0.40483080326101373</c:v>
                  </c:pt>
                  <c:pt idx="17">
                    <c:v>0.50316822388906635</c:v>
                  </c:pt>
                  <c:pt idx="18">
                    <c:v>0.93905143447947959</c:v>
                  </c:pt>
                  <c:pt idx="19">
                    <c:v>0.68275090001566285</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SUM!$P$5:$P$24</c:f>
              <c:numCache>
                <c:formatCode>0.00</c:formatCode>
                <c:ptCount val="20"/>
                <c:pt idx="0">
                  <c:v>0.3901909181613965</c:v>
                </c:pt>
                <c:pt idx="1">
                  <c:v>0.28287391395291067</c:v>
                </c:pt>
                <c:pt idx="2">
                  <c:v>0.94944309946302985</c:v>
                </c:pt>
                <c:pt idx="3">
                  <c:v>0.57769133951114338</c:v>
                </c:pt>
                <c:pt idx="4">
                  <c:v>0.893951747012805</c:v>
                </c:pt>
                <c:pt idx="5">
                  <c:v>3.141600493318998</c:v>
                </c:pt>
                <c:pt idx="6">
                  <c:v>2.4140436997324728</c:v>
                </c:pt>
                <c:pt idx="7">
                  <c:v>1.7574958373944287</c:v>
                </c:pt>
                <c:pt idx="8">
                  <c:v>3.8139786560847022</c:v>
                </c:pt>
                <c:pt idx="9">
                  <c:v>2.3945969579533468</c:v>
                </c:pt>
                <c:pt idx="10">
                  <c:v>2.0599179341227027</c:v>
                </c:pt>
                <c:pt idx="11">
                  <c:v>0.78294756801553733</c:v>
                </c:pt>
                <c:pt idx="12">
                  <c:v>4.4493509583883437</c:v>
                </c:pt>
                <c:pt idx="13">
                  <c:v>5.6222443597244958</c:v>
                </c:pt>
                <c:pt idx="14">
                  <c:v>4.7520926754370665</c:v>
                </c:pt>
                <c:pt idx="15">
                  <c:v>6.5895881777084711</c:v>
                </c:pt>
                <c:pt idx="16">
                  <c:v>3.0777392882390391</c:v>
                </c:pt>
                <c:pt idx="17">
                  <c:v>1.5563863110157001</c:v>
                </c:pt>
                <c:pt idx="18">
                  <c:v>4.8541813246388221</c:v>
                </c:pt>
                <c:pt idx="19">
                  <c:v>2.1051977588597603</c:v>
                </c:pt>
              </c:numCache>
            </c:numRef>
          </c:val>
          <c:extLst>
            <c:ext xmlns:c16="http://schemas.microsoft.com/office/drawing/2014/chart" uri="{C3380CC4-5D6E-409C-BE32-E72D297353CC}">
              <c16:uniqueId val="{00000000-F0B2-450B-A009-72E8DBAE451B}"/>
            </c:ext>
          </c:extLst>
        </c:ser>
        <c:ser>
          <c:idx val="4"/>
          <c:order val="1"/>
          <c:tx>
            <c:v>Channel</c:v>
          </c:tx>
          <c:spPr>
            <a:solidFill>
              <a:srgbClr val="969696"/>
            </a:solidFill>
            <a:ln w="12700">
              <a:solidFill>
                <a:srgbClr val="000000"/>
              </a:solidFill>
              <a:prstDash val="solid"/>
            </a:ln>
          </c:spPr>
          <c:invertIfNegative val="0"/>
          <c:errBars>
            <c:errBarType val="plus"/>
            <c:errValType val="cust"/>
            <c:noEndCap val="0"/>
            <c:plus>
              <c:numRef>
                <c:f>SUM!$Q$25:$Q$44</c:f>
                <c:numCache>
                  <c:formatCode>General</c:formatCode>
                  <c:ptCount val="20"/>
                  <c:pt idx="0">
                    <c:v>0.25515430959829555</c:v>
                  </c:pt>
                  <c:pt idx="1">
                    <c:v>0.10314859200874338</c:v>
                  </c:pt>
                  <c:pt idx="2">
                    <c:v>8.0508040017040802E-2</c:v>
                  </c:pt>
                  <c:pt idx="3">
                    <c:v>0.28825864072242086</c:v>
                  </c:pt>
                  <c:pt idx="4">
                    <c:v>9.690344804258369E-2</c:v>
                  </c:pt>
                  <c:pt idx="5">
                    <c:v>0.10419161030147286</c:v>
                  </c:pt>
                  <c:pt idx="6">
                    <c:v>0.1143623172637703</c:v>
                  </c:pt>
                  <c:pt idx="7">
                    <c:v>0.35962148292199297</c:v>
                  </c:pt>
                  <c:pt idx="8">
                    <c:v>0.25928564925375375</c:v>
                  </c:pt>
                  <c:pt idx="9">
                    <c:v>0.25928564925375375</c:v>
                  </c:pt>
                  <c:pt idx="10">
                    <c:v>0.42991430464327807</c:v>
                  </c:pt>
                  <c:pt idx="11">
                    <c:v>0.62804075283117389</c:v>
                  </c:pt>
                  <c:pt idx="12">
                    <c:v>0.30346630962991666</c:v>
                  </c:pt>
                  <c:pt idx="13">
                    <c:v>0.44518665711420985</c:v>
                  </c:pt>
                  <c:pt idx="14">
                    <c:v>0.43723443441000437</c:v>
                  </c:pt>
                  <c:pt idx="15">
                    <c:v>0.59009179628431807</c:v>
                  </c:pt>
                  <c:pt idx="16">
                    <c:v>0.6472396492616791</c:v>
                  </c:pt>
                  <c:pt idx="17">
                    <c:v>0.23393409937660425</c:v>
                  </c:pt>
                  <c:pt idx="18">
                    <c:v>0.89196427564938363</c:v>
                  </c:pt>
                  <c:pt idx="19">
                    <c:v>0.51895212795486645</c:v>
                  </c:pt>
                </c:numCache>
              </c:numRef>
            </c:plus>
            <c:minus>
              <c:numRef>
                <c:f>SUM!$Q$25:$Q$44</c:f>
                <c:numCache>
                  <c:formatCode>General</c:formatCode>
                  <c:ptCount val="20"/>
                  <c:pt idx="0">
                    <c:v>0.25515430959829555</c:v>
                  </c:pt>
                  <c:pt idx="1">
                    <c:v>0.10314859200874338</c:v>
                  </c:pt>
                  <c:pt idx="2">
                    <c:v>8.0508040017040802E-2</c:v>
                  </c:pt>
                  <c:pt idx="3">
                    <c:v>0.28825864072242086</c:v>
                  </c:pt>
                  <c:pt idx="4">
                    <c:v>9.690344804258369E-2</c:v>
                  </c:pt>
                  <c:pt idx="5">
                    <c:v>0.10419161030147286</c:v>
                  </c:pt>
                  <c:pt idx="6">
                    <c:v>0.1143623172637703</c:v>
                  </c:pt>
                  <c:pt idx="7">
                    <c:v>0.35962148292199297</c:v>
                  </c:pt>
                  <c:pt idx="8">
                    <c:v>0.25928564925375375</c:v>
                  </c:pt>
                  <c:pt idx="9">
                    <c:v>0.25928564925375375</c:v>
                  </c:pt>
                  <c:pt idx="10">
                    <c:v>0.42991430464327807</c:v>
                  </c:pt>
                  <c:pt idx="11">
                    <c:v>0.62804075283117389</c:v>
                  </c:pt>
                  <c:pt idx="12">
                    <c:v>0.30346630962991666</c:v>
                  </c:pt>
                  <c:pt idx="13">
                    <c:v>0.44518665711420985</c:v>
                  </c:pt>
                  <c:pt idx="14">
                    <c:v>0.43723443441000437</c:v>
                  </c:pt>
                  <c:pt idx="15">
                    <c:v>0.59009179628431807</c:v>
                  </c:pt>
                  <c:pt idx="16">
                    <c:v>0.6472396492616791</c:v>
                  </c:pt>
                  <c:pt idx="17">
                    <c:v>0.23393409937660425</c:v>
                  </c:pt>
                  <c:pt idx="18">
                    <c:v>0.89196427564938363</c:v>
                  </c:pt>
                  <c:pt idx="19">
                    <c:v>0.51895212795486645</c:v>
                  </c:pt>
                </c:numCache>
              </c:numRef>
            </c:minus>
          </c:errBars>
          <c:cat>
            <c:numRef>
              <c:f>SUM!$A$5:$A$24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SUM!$P$25:$P$44</c:f>
              <c:numCache>
                <c:formatCode>0.00</c:formatCode>
                <c:ptCount val="20"/>
                <c:pt idx="0">
                  <c:v>0.88110852810648588</c:v>
                </c:pt>
                <c:pt idx="1">
                  <c:v>0.30078146358414415</c:v>
                </c:pt>
                <c:pt idx="2">
                  <c:v>0.59989252177746277</c:v>
                </c:pt>
                <c:pt idx="3">
                  <c:v>0.88685857782415423</c:v>
                </c:pt>
                <c:pt idx="4">
                  <c:v>0.63684615195920846</c:v>
                </c:pt>
                <c:pt idx="5">
                  <c:v>1.832134099435246</c:v>
                </c:pt>
                <c:pt idx="6">
                  <c:v>2.377855025021296</c:v>
                </c:pt>
                <c:pt idx="7">
                  <c:v>1.6663782681939532</c:v>
                </c:pt>
                <c:pt idx="8">
                  <c:v>3.2087348153653958</c:v>
                </c:pt>
                <c:pt idx="9">
                  <c:v>3.2087348153653958</c:v>
                </c:pt>
                <c:pt idx="10">
                  <c:v>2.2393689649071491</c:v>
                </c:pt>
                <c:pt idx="11">
                  <c:v>1.751242446204083</c:v>
                </c:pt>
                <c:pt idx="12">
                  <c:v>6.7343791405891782</c:v>
                </c:pt>
                <c:pt idx="13">
                  <c:v>3.3144619086160247</c:v>
                </c:pt>
                <c:pt idx="14">
                  <c:v>3.8988989940592127</c:v>
                </c:pt>
                <c:pt idx="15">
                  <c:v>9.1489718936791444</c:v>
                </c:pt>
                <c:pt idx="16">
                  <c:v>3.5888101695348293</c:v>
                </c:pt>
                <c:pt idx="17">
                  <c:v>0.38537131467797847</c:v>
                </c:pt>
                <c:pt idx="18">
                  <c:v>3.9737372418988035</c:v>
                </c:pt>
                <c:pt idx="19">
                  <c:v>2.2733689458029613</c:v>
                </c:pt>
              </c:numCache>
            </c:numRef>
          </c:val>
          <c:extLst>
            <c:ext xmlns:c16="http://schemas.microsoft.com/office/drawing/2014/chart" uri="{C3380CC4-5D6E-409C-BE32-E72D297353CC}">
              <c16:uniqueId val="{00000001-F0B2-450B-A009-72E8DBAE451B}"/>
            </c:ext>
          </c:extLst>
        </c:ser>
        <c:dLbls>
          <c:showLegendKey val="0"/>
          <c:showVal val="0"/>
          <c:showCatName val="0"/>
          <c:showSerName val="0"/>
          <c:showPercent val="0"/>
          <c:showBubbleSize val="0"/>
        </c:dLbls>
        <c:gapWidth val="50"/>
        <c:axId val="299801056"/>
        <c:axId val="300130032"/>
      </c:barChart>
      <c:catAx>
        <c:axId val="299801056"/>
        <c:scaling>
          <c:orientation val="minMax"/>
        </c:scaling>
        <c:delete val="0"/>
        <c:axPos val="b"/>
        <c:numFmt formatCode="m/d" sourceLinked="0"/>
        <c:majorTickMark val="out"/>
        <c:minorTickMark val="none"/>
        <c:tickLblPos val="none"/>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130032"/>
        <c:crosses val="autoZero"/>
        <c:auto val="0"/>
        <c:lblAlgn val="ctr"/>
        <c:lblOffset val="100"/>
        <c:tickLblSkip val="1"/>
        <c:tickMarkSkip val="1"/>
        <c:noMultiLvlLbl val="0"/>
      </c:catAx>
      <c:valAx>
        <c:axId val="300130032"/>
        <c:scaling>
          <c:orientation val="minMax"/>
          <c:max val="10"/>
          <c:min val="0"/>
        </c:scaling>
        <c:delete val="0"/>
        <c:axPos val="l"/>
        <c:title>
          <c:tx>
            <c:rich>
              <a:bodyPr/>
              <a:lstStyle/>
              <a:p>
                <a:pPr>
                  <a:defRPr sz="1000" b="0" i="0" u="none" strike="noStrike" baseline="0">
                    <a:solidFill>
                      <a:srgbClr val="000000"/>
                    </a:solidFill>
                    <a:latin typeface="Arial"/>
                    <a:ea typeface="Arial"/>
                    <a:cs typeface="Arial"/>
                  </a:defRPr>
                </a:pPr>
                <a:r>
                  <a:rPr lang="en-US" sz="1000"/>
                  <a:t>NR</a:t>
                </a:r>
              </a:p>
              <a:p>
                <a:pPr>
                  <a:defRPr sz="1000" b="0" i="0" u="none" strike="noStrike" baseline="0">
                    <a:solidFill>
                      <a:srgbClr val="000000"/>
                    </a:solidFill>
                    <a:latin typeface="Arial"/>
                    <a:ea typeface="Arial"/>
                    <a:cs typeface="Arial"/>
                  </a:defRPr>
                </a:pPr>
                <a:r>
                  <a:rPr lang="en-US" sz="1000"/>
                  <a:t>(mmol O</a:t>
                </a:r>
                <a:r>
                  <a:rPr lang="en-US" sz="1000" baseline="-25000"/>
                  <a:t>2</a:t>
                </a:r>
                <a:r>
                  <a:rPr lang="en-US" sz="1000"/>
                  <a:t> m</a:t>
                </a:r>
                <a:r>
                  <a:rPr lang="en-US" sz="1000" baseline="30000"/>
                  <a:t>-3</a:t>
                </a:r>
                <a:r>
                  <a:rPr lang="en-US" sz="1000"/>
                  <a:t> h</a:t>
                </a:r>
                <a:r>
                  <a:rPr lang="en-US" sz="1000" baseline="30000"/>
                  <a:t>-1</a:t>
                </a:r>
                <a:r>
                  <a:rPr lang="en-US" sz="1000"/>
                  <a:t>)</a:t>
                </a:r>
              </a:p>
            </c:rich>
          </c:tx>
          <c:layout>
            <c:manualLayout>
              <c:xMode val="edge"/>
              <c:yMode val="edge"/>
              <c:x val="1.1840622793872024E-3"/>
              <c:y val="9.0507502659006089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9801056"/>
        <c:crosses val="autoZero"/>
        <c:crossBetween val="between"/>
        <c:majorUnit val="2"/>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79116985710756"/>
          <c:y val="7.9080046653699804E-2"/>
          <c:w val="0.83991159059063114"/>
          <c:h val="0.64237143968115096"/>
        </c:manualLayout>
      </c:layout>
      <c:barChart>
        <c:barDir val="col"/>
        <c:grouping val="clustered"/>
        <c:varyColors val="0"/>
        <c:ser>
          <c:idx val="5"/>
          <c:order val="0"/>
          <c:tx>
            <c:v>Shoal</c:v>
          </c:tx>
          <c:spPr>
            <a:solidFill>
              <a:srgbClr val="FFFFFF"/>
            </a:solidFill>
            <a:ln w="12700">
              <a:solidFill>
                <a:srgbClr val="000000"/>
              </a:solidFill>
              <a:prstDash val="solid"/>
            </a:ln>
          </c:spPr>
          <c:invertIfNegative val="0"/>
          <c:cat>
            <c:numRef>
              <c:f>Raw!$A$5:$A$24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Raw!$F$5:$F$24</c:f>
              <c:numCache>
                <c:formatCode>0.00</c:formatCode>
                <c:ptCount val="20"/>
                <c:pt idx="0">
                  <c:v>2.98</c:v>
                </c:pt>
                <c:pt idx="1">
                  <c:v>4.4746666666666668</c:v>
                </c:pt>
                <c:pt idx="2">
                  <c:v>2.024</c:v>
                </c:pt>
                <c:pt idx="3">
                  <c:v>2.2759999999999998</c:v>
                </c:pt>
                <c:pt idx="4">
                  <c:v>2.9717647058823529</c:v>
                </c:pt>
                <c:pt idx="5">
                  <c:v>1.94</c:v>
                </c:pt>
                <c:pt idx="6">
                  <c:v>1.9506000000000001</c:v>
                </c:pt>
                <c:pt idx="7">
                  <c:v>2.5312999999999999</c:v>
                </c:pt>
                <c:pt idx="8">
                  <c:v>3.1120000000000001</c:v>
                </c:pt>
                <c:pt idx="9">
                  <c:v>3.9075000000000002</c:v>
                </c:pt>
                <c:pt idx="10">
                  <c:v>4.5880000000000001</c:v>
                </c:pt>
                <c:pt idx="11">
                  <c:v>8.0276923076923072</c:v>
                </c:pt>
                <c:pt idx="12">
                  <c:v>9.0764705882352938</c:v>
                </c:pt>
                <c:pt idx="13">
                  <c:v>6.387096774193548</c:v>
                </c:pt>
                <c:pt idx="14">
                  <c:v>7.9588235294117657</c:v>
                </c:pt>
                <c:pt idx="15">
                  <c:v>9.5679999999999996</c:v>
                </c:pt>
                <c:pt idx="16">
                  <c:v>11.430463576158941</c:v>
                </c:pt>
                <c:pt idx="17">
                  <c:v>8.2940000000000005</c:v>
                </c:pt>
                <c:pt idx="18">
                  <c:v>14.335999999999999</c:v>
                </c:pt>
                <c:pt idx="19">
                  <c:v>5.319166666666665</c:v>
                </c:pt>
              </c:numCache>
            </c:numRef>
          </c:val>
          <c:extLst>
            <c:ext xmlns:c16="http://schemas.microsoft.com/office/drawing/2014/chart" uri="{C3380CC4-5D6E-409C-BE32-E72D297353CC}">
              <c16:uniqueId val="{00000000-C987-4653-B5F5-DAD5FFE1DC08}"/>
            </c:ext>
          </c:extLst>
        </c:ser>
        <c:ser>
          <c:idx val="4"/>
          <c:order val="1"/>
          <c:tx>
            <c:v>Channel</c:v>
          </c:tx>
          <c:spPr>
            <a:solidFill>
              <a:srgbClr val="969696"/>
            </a:solidFill>
            <a:ln w="12700">
              <a:solidFill>
                <a:srgbClr val="000000"/>
              </a:solidFill>
              <a:prstDash val="solid"/>
            </a:ln>
          </c:spPr>
          <c:invertIfNegative val="0"/>
          <c:cat>
            <c:numRef>
              <c:f>Raw!$A$5:$A$24</c:f>
              <c:numCache>
                <c:formatCode>m/d/yy;@</c:formatCode>
                <c:ptCount val="20"/>
                <c:pt idx="0">
                  <c:v>41381</c:v>
                </c:pt>
                <c:pt idx="1">
                  <c:v>41388</c:v>
                </c:pt>
                <c:pt idx="2">
                  <c:v>41395</c:v>
                </c:pt>
                <c:pt idx="3">
                  <c:v>41403</c:v>
                </c:pt>
                <c:pt idx="4">
                  <c:v>41409</c:v>
                </c:pt>
                <c:pt idx="5">
                  <c:v>41416</c:v>
                </c:pt>
                <c:pt idx="6">
                  <c:v>41423</c:v>
                </c:pt>
                <c:pt idx="7">
                  <c:v>41430</c:v>
                </c:pt>
                <c:pt idx="8">
                  <c:v>41437</c:v>
                </c:pt>
                <c:pt idx="9">
                  <c:v>41444</c:v>
                </c:pt>
                <c:pt idx="10">
                  <c:v>41451</c:v>
                </c:pt>
                <c:pt idx="11">
                  <c:v>41472</c:v>
                </c:pt>
                <c:pt idx="12">
                  <c:v>41479</c:v>
                </c:pt>
                <c:pt idx="13">
                  <c:v>41486</c:v>
                </c:pt>
                <c:pt idx="14">
                  <c:v>41493</c:v>
                </c:pt>
                <c:pt idx="15">
                  <c:v>41500</c:v>
                </c:pt>
                <c:pt idx="16">
                  <c:v>41507</c:v>
                </c:pt>
                <c:pt idx="17">
                  <c:v>41521</c:v>
                </c:pt>
                <c:pt idx="18">
                  <c:v>41528</c:v>
                </c:pt>
                <c:pt idx="19">
                  <c:v>41542</c:v>
                </c:pt>
              </c:numCache>
            </c:numRef>
          </c:cat>
          <c:val>
            <c:numRef>
              <c:f>Raw!$F$25:$F$44</c:f>
              <c:numCache>
                <c:formatCode>0.00</c:formatCode>
                <c:ptCount val="20"/>
                <c:pt idx="0">
                  <c:v>2.1960000000000002</c:v>
                </c:pt>
                <c:pt idx="1">
                  <c:v>3.2725</c:v>
                </c:pt>
                <c:pt idx="2">
                  <c:v>2.72</c:v>
                </c:pt>
                <c:pt idx="3">
                  <c:v>3.012</c:v>
                </c:pt>
                <c:pt idx="4">
                  <c:v>2.9552941176470591</c:v>
                </c:pt>
                <c:pt idx="5">
                  <c:v>2.8456470588235296</c:v>
                </c:pt>
                <c:pt idx="6">
                  <c:v>2.7359999999999998</c:v>
                </c:pt>
                <c:pt idx="7">
                  <c:v>1.6454</c:v>
                </c:pt>
                <c:pt idx="8">
                  <c:v>2.31</c:v>
                </c:pt>
                <c:pt idx="9">
                  <c:v>4.5628571428571432</c:v>
                </c:pt>
                <c:pt idx="10">
                  <c:v>3.37</c:v>
                </c:pt>
                <c:pt idx="11">
                  <c:v>8.2333333333333343</c:v>
                </c:pt>
                <c:pt idx="12">
                  <c:v>7.9857142857142858</c:v>
                </c:pt>
                <c:pt idx="13">
                  <c:v>7.6766666666666685</c:v>
                </c:pt>
                <c:pt idx="14">
                  <c:v>8.8509090909090915</c:v>
                </c:pt>
                <c:pt idx="15">
                  <c:v>9.9239999999999995</c:v>
                </c:pt>
                <c:pt idx="16">
                  <c:v>10.976666666666668</c:v>
                </c:pt>
                <c:pt idx="17">
                  <c:v>6.7240000000000002</c:v>
                </c:pt>
                <c:pt idx="18">
                  <c:v>4.706666666666667</c:v>
                </c:pt>
                <c:pt idx="19">
                  <c:v>5.3879999999999999</c:v>
                </c:pt>
              </c:numCache>
            </c:numRef>
          </c:val>
          <c:extLst>
            <c:ext xmlns:c16="http://schemas.microsoft.com/office/drawing/2014/chart" uri="{C3380CC4-5D6E-409C-BE32-E72D297353CC}">
              <c16:uniqueId val="{00000001-C987-4653-B5F5-DAD5FFE1DC08}"/>
            </c:ext>
          </c:extLst>
        </c:ser>
        <c:dLbls>
          <c:showLegendKey val="0"/>
          <c:showVal val="0"/>
          <c:showCatName val="0"/>
          <c:showSerName val="0"/>
          <c:showPercent val="0"/>
          <c:showBubbleSize val="0"/>
        </c:dLbls>
        <c:gapWidth val="50"/>
        <c:axId val="300133168"/>
        <c:axId val="300133560"/>
      </c:barChart>
      <c:catAx>
        <c:axId val="300133168"/>
        <c:scaling>
          <c:orientation val="minMax"/>
        </c:scaling>
        <c:delete val="0"/>
        <c:axPos val="b"/>
        <c:numFmt formatCode="m/d" sourceLinked="0"/>
        <c:majorTickMark val="out"/>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300133560"/>
        <c:crosses val="autoZero"/>
        <c:auto val="0"/>
        <c:lblAlgn val="ctr"/>
        <c:lblOffset val="100"/>
        <c:tickLblSkip val="1"/>
        <c:tickMarkSkip val="1"/>
        <c:noMultiLvlLbl val="0"/>
      </c:catAx>
      <c:valAx>
        <c:axId val="300133560"/>
        <c:scaling>
          <c:orientation val="minMax"/>
          <c:max val="15"/>
          <c:min val="0"/>
        </c:scaling>
        <c:delete val="0"/>
        <c:axPos val="l"/>
        <c:title>
          <c:tx>
            <c:rich>
              <a:bodyPr/>
              <a:lstStyle/>
              <a:p>
                <a:pPr>
                  <a:defRPr sz="1000" b="0" i="0" u="none" strike="noStrike" baseline="0">
                    <a:solidFill>
                      <a:srgbClr val="000000"/>
                    </a:solidFill>
                    <a:latin typeface="Arial"/>
                    <a:ea typeface="Arial"/>
                    <a:cs typeface="Arial"/>
                  </a:defRPr>
                </a:pPr>
                <a:r>
                  <a:rPr lang="en-US" sz="1000"/>
                  <a:t>Chlorophyll a</a:t>
                </a:r>
              </a:p>
              <a:p>
                <a:pPr>
                  <a:defRPr sz="1000" b="0" i="0" u="none" strike="noStrike" baseline="0">
                    <a:solidFill>
                      <a:srgbClr val="000000"/>
                    </a:solidFill>
                    <a:latin typeface="Arial"/>
                    <a:ea typeface="Arial"/>
                    <a:cs typeface="Arial"/>
                  </a:defRPr>
                </a:pPr>
                <a:r>
                  <a:rPr lang="en-US" sz="1000"/>
                  <a:t> (mg m</a:t>
                </a:r>
                <a:r>
                  <a:rPr lang="en-US" sz="1000" baseline="30000"/>
                  <a:t>-3</a:t>
                </a:r>
                <a:r>
                  <a:rPr lang="en-US" sz="1000"/>
                  <a:t>)</a:t>
                </a:r>
              </a:p>
            </c:rich>
          </c:tx>
          <c:layout>
            <c:manualLayout>
              <c:xMode val="edge"/>
              <c:yMode val="edge"/>
              <c:x val="1.1882894703424643E-3"/>
              <c:y val="0.1659840188691341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133168"/>
        <c:crosses val="autoZero"/>
        <c:crossBetween val="between"/>
        <c:majorUnit val="5"/>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20388349514573"/>
          <c:y val="0.12222238799694554"/>
          <c:w val="0.82766990291262144"/>
          <c:h val="0.622223066166268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'SP01'!$H$3:$H$174</c:f>
              <c:numCache>
                <c:formatCode>0.00</c:formatCode>
                <c:ptCount val="172"/>
                <c:pt idx="0">
                  <c:v>16.978687696170738</c:v>
                </c:pt>
                <c:pt idx="1">
                  <c:v>15.944847457627118</c:v>
                </c:pt>
                <c:pt idx="2">
                  <c:v>15.062862994350285</c:v>
                </c:pt>
                <c:pt idx="3">
                  <c:v>15.602390713276831</c:v>
                </c:pt>
                <c:pt idx="4">
                  <c:v>15.079151836158189</c:v>
                </c:pt>
                <c:pt idx="5">
                  <c:v>15.636722281073453</c:v>
                </c:pt>
                <c:pt idx="6">
                  <c:v>15.205149011299442</c:v>
                </c:pt>
                <c:pt idx="7">
                  <c:v>16.300857168079094</c:v>
                </c:pt>
                <c:pt idx="8">
                  <c:v>17.121345692090397</c:v>
                </c:pt>
                <c:pt idx="9">
                  <c:v>18.510155543785316</c:v>
                </c:pt>
                <c:pt idx="10">
                  <c:v>20.474858050847459</c:v>
                </c:pt>
                <c:pt idx="11">
                  <c:v>25.134566913841809</c:v>
                </c:pt>
                <c:pt idx="12">
                  <c:v>22.97193396892655</c:v>
                </c:pt>
                <c:pt idx="13">
                  <c:v>19.657340042372891</c:v>
                </c:pt>
                <c:pt idx="14">
                  <c:v>26.885162782485882</c:v>
                </c:pt>
                <c:pt idx="15">
                  <c:v>22.038764514965738</c:v>
                </c:pt>
                <c:pt idx="16">
                  <c:v>19.078468749999995</c:v>
                </c:pt>
                <c:pt idx="17">
                  <c:v>16.897520480225989</c:v>
                </c:pt>
                <c:pt idx="18">
                  <c:v>15.743362111581925</c:v>
                </c:pt>
                <c:pt idx="19">
                  <c:v>13.048155896892657</c:v>
                </c:pt>
                <c:pt idx="20">
                  <c:v>13.375208686440685</c:v>
                </c:pt>
                <c:pt idx="21">
                  <c:v>16.665166313559322</c:v>
                </c:pt>
                <c:pt idx="22">
                  <c:v>19.635106638418076</c:v>
                </c:pt>
                <c:pt idx="23">
                  <c:v>19.428061440677961</c:v>
                </c:pt>
                <c:pt idx="24">
                  <c:v>18.527721751412439</c:v>
                </c:pt>
                <c:pt idx="25">
                  <c:v>17.452755296610167</c:v>
                </c:pt>
                <c:pt idx="26">
                  <c:v>16.66449556137874</c:v>
                </c:pt>
                <c:pt idx="27">
                  <c:v>17.105841820027386</c:v>
                </c:pt>
                <c:pt idx="28">
                  <c:v>16.716005826271186</c:v>
                </c:pt>
                <c:pt idx="29">
                  <c:v>15.739791666666662</c:v>
                </c:pt>
                <c:pt idx="30">
                  <c:v>14.572978460451976</c:v>
                </c:pt>
                <c:pt idx="31">
                  <c:v>16.131154484463281</c:v>
                </c:pt>
                <c:pt idx="32">
                  <c:v>18.063752648305087</c:v>
                </c:pt>
                <c:pt idx="33">
                  <c:v>16.060657988992794</c:v>
                </c:pt>
                <c:pt idx="34">
                  <c:v>14.80262199858757</c:v>
                </c:pt>
                <c:pt idx="35">
                  <c:v>14.083356059127501</c:v>
                </c:pt>
                <c:pt idx="36">
                  <c:v>12.097104862701306</c:v>
                </c:pt>
                <c:pt idx="37">
                  <c:v>11.308570380832814</c:v>
                </c:pt>
                <c:pt idx="38">
                  <c:v>10.496460318402949</c:v>
                </c:pt>
                <c:pt idx="39">
                  <c:v>11.035966440849938</c:v>
                </c:pt>
                <c:pt idx="40">
                  <c:v>11.514361405368449</c:v>
                </c:pt>
                <c:pt idx="41">
                  <c:v>11.786222442392138</c:v>
                </c:pt>
                <c:pt idx="42">
                  <c:v>11.773352048022602</c:v>
                </c:pt>
                <c:pt idx="43">
                  <c:v>11.658921061553629</c:v>
                </c:pt>
                <c:pt idx="44">
                  <c:v>11.239142133546409</c:v>
                </c:pt>
                <c:pt idx="45">
                  <c:v>11.779439977324438</c:v>
                </c:pt>
                <c:pt idx="46">
                  <c:v>10.500445373768537</c:v>
                </c:pt>
                <c:pt idx="47">
                  <c:v>10.008929201977397</c:v>
                </c:pt>
                <c:pt idx="48">
                  <c:v>10.023328213276836</c:v>
                </c:pt>
                <c:pt idx="49">
                  <c:v>10.406097281073448</c:v>
                </c:pt>
                <c:pt idx="50">
                  <c:v>11.332889120758439</c:v>
                </c:pt>
                <c:pt idx="51">
                  <c:v>11.865699278869569</c:v>
                </c:pt>
                <c:pt idx="52">
                  <c:v>11.990935739415336</c:v>
                </c:pt>
                <c:pt idx="53">
                  <c:v>11.477708018011723</c:v>
                </c:pt>
                <c:pt idx="54">
                  <c:v>10.698709930475333</c:v>
                </c:pt>
                <c:pt idx="55">
                  <c:v>9.345753884180791</c:v>
                </c:pt>
                <c:pt idx="56">
                  <c:v>11.74245374293786</c:v>
                </c:pt>
                <c:pt idx="57">
                  <c:v>11.425020955249749</c:v>
                </c:pt>
                <c:pt idx="58">
                  <c:v>11.17993467514124</c:v>
                </c:pt>
                <c:pt idx="59">
                  <c:v>11.681879766949153</c:v>
                </c:pt>
                <c:pt idx="60">
                  <c:v>12.021536821457282</c:v>
                </c:pt>
                <c:pt idx="61">
                  <c:v>11.822657097068998</c:v>
                </c:pt>
                <c:pt idx="62">
                  <c:v>11.561208585436098</c:v>
                </c:pt>
                <c:pt idx="63">
                  <c:v>10.538936719787104</c:v>
                </c:pt>
                <c:pt idx="64">
                  <c:v>10.822646888361446</c:v>
                </c:pt>
                <c:pt idx="65">
                  <c:v>14.081165953049888</c:v>
                </c:pt>
                <c:pt idx="66">
                  <c:v>12.733169167567114</c:v>
                </c:pt>
                <c:pt idx="67">
                  <c:v>10.775217056990407</c:v>
                </c:pt>
                <c:pt idx="68">
                  <c:v>10.940790385726658</c:v>
                </c:pt>
                <c:pt idx="69">
                  <c:v>12.730932444615172</c:v>
                </c:pt>
                <c:pt idx="70">
                  <c:v>12.605284458131019</c:v>
                </c:pt>
                <c:pt idx="71">
                  <c:v>12.460820733603896</c:v>
                </c:pt>
                <c:pt idx="72">
                  <c:v>14.055737325968522</c:v>
                </c:pt>
                <c:pt idx="73">
                  <c:v>11.702614184157669</c:v>
                </c:pt>
                <c:pt idx="74">
                  <c:v>12.16063594212403</c:v>
                </c:pt>
                <c:pt idx="75">
                  <c:v>13.189368975934622</c:v>
                </c:pt>
                <c:pt idx="76">
                  <c:v>11.76379731097258</c:v>
                </c:pt>
                <c:pt idx="77">
                  <c:v>10.064944360088587</c:v>
                </c:pt>
                <c:pt idx="78">
                  <c:v>10.226364432771385</c:v>
                </c:pt>
                <c:pt idx="79">
                  <c:v>10.262653425141247</c:v>
                </c:pt>
                <c:pt idx="80">
                  <c:v>14.518574329096031</c:v>
                </c:pt>
                <c:pt idx="90">
                  <c:v>22.328271362994343</c:v>
                </c:pt>
                <c:pt idx="91">
                  <c:v>19.004191161396786</c:v>
                </c:pt>
                <c:pt idx="92">
                  <c:v>27.250488877118645</c:v>
                </c:pt>
                <c:pt idx="93">
                  <c:v>35.201662782485869</c:v>
                </c:pt>
                <c:pt idx="94">
                  <c:v>34.118075741525409</c:v>
                </c:pt>
                <c:pt idx="95">
                  <c:v>34.049662782485875</c:v>
                </c:pt>
                <c:pt idx="96">
                  <c:v>37.346576998925897</c:v>
                </c:pt>
                <c:pt idx="97">
                  <c:v>31.747100910688477</c:v>
                </c:pt>
                <c:pt idx="98">
                  <c:v>32.42105826271186</c:v>
                </c:pt>
                <c:pt idx="99">
                  <c:v>33.427006002824875</c:v>
                </c:pt>
                <c:pt idx="100">
                  <c:v>31.584325035310737</c:v>
                </c:pt>
                <c:pt idx="101">
                  <c:v>31.162987641242946</c:v>
                </c:pt>
                <c:pt idx="102">
                  <c:v>28.491085451977412</c:v>
                </c:pt>
                <c:pt idx="103">
                  <c:v>31.498523128531058</c:v>
                </c:pt>
                <c:pt idx="104">
                  <c:v>33.382791588017561</c:v>
                </c:pt>
                <c:pt idx="105">
                  <c:v>37.423689936440688</c:v>
                </c:pt>
                <c:pt idx="106">
                  <c:v>40.457410134180797</c:v>
                </c:pt>
                <c:pt idx="107">
                  <c:v>37.647912429378543</c:v>
                </c:pt>
                <c:pt idx="108">
                  <c:v>37.308683615819227</c:v>
                </c:pt>
                <c:pt idx="109">
                  <c:v>38.403192620056508</c:v>
                </c:pt>
                <c:pt idx="110">
                  <c:v>38.521962747175138</c:v>
                </c:pt>
                <c:pt idx="111">
                  <c:v>37.054127295197738</c:v>
                </c:pt>
                <c:pt idx="112">
                  <c:v>37.024680595633846</c:v>
                </c:pt>
                <c:pt idx="113">
                  <c:v>37.89025052966101</c:v>
                </c:pt>
                <c:pt idx="114">
                  <c:v>33.550357168079088</c:v>
                </c:pt>
                <c:pt idx="115">
                  <c:v>34.212199096951124</c:v>
                </c:pt>
                <c:pt idx="116">
                  <c:v>35.087110875706202</c:v>
                </c:pt>
                <c:pt idx="117">
                  <c:v>38.693155896892662</c:v>
                </c:pt>
                <c:pt idx="118">
                  <c:v>36.907466984463284</c:v>
                </c:pt>
                <c:pt idx="119">
                  <c:v>35.311825211864409</c:v>
                </c:pt>
                <c:pt idx="120">
                  <c:v>35.791577153954798</c:v>
                </c:pt>
                <c:pt idx="121">
                  <c:v>37.483025343018575</c:v>
                </c:pt>
                <c:pt idx="122">
                  <c:v>37.958327860169497</c:v>
                </c:pt>
                <c:pt idx="123">
                  <c:v>44.18817673022599</c:v>
                </c:pt>
                <c:pt idx="124">
                  <c:v>37.443161899717502</c:v>
                </c:pt>
                <c:pt idx="125">
                  <c:v>33.739187146892661</c:v>
                </c:pt>
                <c:pt idx="126">
                  <c:v>31.176528601694915</c:v>
                </c:pt>
                <c:pt idx="127">
                  <c:v>36.99809498587571</c:v>
                </c:pt>
                <c:pt idx="128">
                  <c:v>34.346479519774014</c:v>
                </c:pt>
                <c:pt idx="129">
                  <c:v>36.306114860972464</c:v>
                </c:pt>
                <c:pt idx="130">
                  <c:v>33.520670550847463</c:v>
                </c:pt>
                <c:pt idx="131">
                  <c:v>34.366490186485905</c:v>
                </c:pt>
                <c:pt idx="132">
                  <c:v>31.835494173728822</c:v>
                </c:pt>
                <c:pt idx="133">
                  <c:v>35.673633121468917</c:v>
                </c:pt>
                <c:pt idx="134">
                  <c:v>35.580782662429378</c:v>
                </c:pt>
                <c:pt idx="135">
                  <c:v>38.422630019168686</c:v>
                </c:pt>
                <c:pt idx="136">
                  <c:v>40.591975638975477</c:v>
                </c:pt>
                <c:pt idx="137">
                  <c:v>41.979668580497787</c:v>
                </c:pt>
                <c:pt idx="138">
                  <c:v>42.452349223163843</c:v>
                </c:pt>
                <c:pt idx="139">
                  <c:v>42.431546644507854</c:v>
                </c:pt>
                <c:pt idx="140">
                  <c:v>40.919862626865203</c:v>
                </c:pt>
                <c:pt idx="141">
                  <c:v>38.887942181854235</c:v>
                </c:pt>
                <c:pt idx="142">
                  <c:v>39.207745720095467</c:v>
                </c:pt>
                <c:pt idx="143">
                  <c:v>39.330648617679479</c:v>
                </c:pt>
                <c:pt idx="144">
                  <c:v>38.259755916629139</c:v>
                </c:pt>
                <c:pt idx="145">
                  <c:v>36.534141778045104</c:v>
                </c:pt>
                <c:pt idx="146">
                  <c:v>33.89815834876056</c:v>
                </c:pt>
                <c:pt idx="147">
                  <c:v>33.199946284769197</c:v>
                </c:pt>
                <c:pt idx="148">
                  <c:v>33.180971896399882</c:v>
                </c:pt>
                <c:pt idx="149">
                  <c:v>33.615370960167461</c:v>
                </c:pt>
                <c:pt idx="150">
                  <c:v>35.248269601891046</c:v>
                </c:pt>
                <c:pt idx="151">
                  <c:v>30.49290893974359</c:v>
                </c:pt>
                <c:pt idx="152">
                  <c:v>29.845613822005699</c:v>
                </c:pt>
                <c:pt idx="153">
                  <c:v>28.248847128275738</c:v>
                </c:pt>
                <c:pt idx="154">
                  <c:v>25.45455311229561</c:v>
                </c:pt>
                <c:pt idx="155">
                  <c:v>20.526532309322036</c:v>
                </c:pt>
                <c:pt idx="156">
                  <c:v>25.156187004080355</c:v>
                </c:pt>
                <c:pt idx="157">
                  <c:v>22.721163324323001</c:v>
                </c:pt>
                <c:pt idx="158">
                  <c:v>22.945011857280576</c:v>
                </c:pt>
                <c:pt idx="159">
                  <c:v>25.426674617669974</c:v>
                </c:pt>
                <c:pt idx="160">
                  <c:v>25.825149364406794</c:v>
                </c:pt>
                <c:pt idx="161">
                  <c:v>23.130865661020589</c:v>
                </c:pt>
                <c:pt idx="162">
                  <c:v>23.214364406779662</c:v>
                </c:pt>
                <c:pt idx="163">
                  <c:v>21.734649011299449</c:v>
                </c:pt>
                <c:pt idx="164">
                  <c:v>22.791842298422612</c:v>
                </c:pt>
                <c:pt idx="165">
                  <c:v>22.183881002824865</c:v>
                </c:pt>
                <c:pt idx="166">
                  <c:v>22.186378973550219</c:v>
                </c:pt>
                <c:pt idx="167">
                  <c:v>22.556979667797851</c:v>
                </c:pt>
                <c:pt idx="168">
                  <c:v>23.111493399608865</c:v>
                </c:pt>
                <c:pt idx="169">
                  <c:v>23.034413702594222</c:v>
                </c:pt>
                <c:pt idx="170">
                  <c:v>24.845665783898308</c:v>
                </c:pt>
                <c:pt idx="171">
                  <c:v>24.5916804378531</c:v>
                </c:pt>
              </c:numCache>
            </c:numRef>
          </c:yVal>
          <c:smooth val="0"/>
          <c:extLst>
            <c:ext xmlns:c16="http://schemas.microsoft.com/office/drawing/2014/chart" uri="{C3380CC4-5D6E-409C-BE32-E72D297353CC}">
              <c16:uniqueId val="{00000000-F425-4CA5-9284-95D45EE8C128}"/>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'SP02'!$AD$3:$AD$174</c:f>
              <c:numCache>
                <c:formatCode>0.0</c:formatCode>
                <c:ptCount val="172"/>
                <c:pt idx="0">
                  <c:v>18.386161016949156</c:v>
                </c:pt>
                <c:pt idx="1">
                  <c:v>17.517100988700559</c:v>
                </c:pt>
                <c:pt idx="2">
                  <c:v>16.657668608757064</c:v>
                </c:pt>
                <c:pt idx="3">
                  <c:v>16.733075918079098</c:v>
                </c:pt>
                <c:pt idx="4">
                  <c:v>16.065516066384181</c:v>
                </c:pt>
                <c:pt idx="5">
                  <c:v>15.825204978813559</c:v>
                </c:pt>
                <c:pt idx="6">
                  <c:v>14.780415430790965</c:v>
                </c:pt>
                <c:pt idx="7">
                  <c:v>17.564926730225988</c:v>
                </c:pt>
                <c:pt idx="8">
                  <c:v>21.342870762711865</c:v>
                </c:pt>
                <c:pt idx="9">
                  <c:v>21.994131355932208</c:v>
                </c:pt>
                <c:pt idx="10">
                  <c:v>23.289865289548018</c:v>
                </c:pt>
                <c:pt idx="11">
                  <c:v>28.164465218926555</c:v>
                </c:pt>
                <c:pt idx="12">
                  <c:v>25.510856461864417</c:v>
                </c:pt>
                <c:pt idx="13">
                  <c:v>24.260816737288135</c:v>
                </c:pt>
                <c:pt idx="14">
                  <c:v>30.373960275423727</c:v>
                </c:pt>
                <c:pt idx="15">
                  <c:v>24.270680310133429</c:v>
                </c:pt>
                <c:pt idx="16">
                  <c:v>20.7034196680791</c:v>
                </c:pt>
                <c:pt idx="17">
                  <c:v>18.255967514124297</c:v>
                </c:pt>
                <c:pt idx="18">
                  <c:v>16.000549611581913</c:v>
                </c:pt>
                <c:pt idx="19">
                  <c:v>14.301041313559322</c:v>
                </c:pt>
                <c:pt idx="20">
                  <c:v>15.288169668079092</c:v>
                </c:pt>
                <c:pt idx="21">
                  <c:v>18.181217867231641</c:v>
                </c:pt>
                <c:pt idx="22">
                  <c:v>20.915137711864407</c:v>
                </c:pt>
                <c:pt idx="23">
                  <c:v>20.283264477401133</c:v>
                </c:pt>
                <c:pt idx="24">
                  <c:v>19.700601341807907</c:v>
                </c:pt>
                <c:pt idx="25">
                  <c:v>19.306106638418083</c:v>
                </c:pt>
                <c:pt idx="26">
                  <c:v>18.636876765536726</c:v>
                </c:pt>
                <c:pt idx="27">
                  <c:v>18.019468926553674</c:v>
                </c:pt>
                <c:pt idx="28">
                  <c:v>18.604976165254239</c:v>
                </c:pt>
                <c:pt idx="29">
                  <c:v>17.102639300847457</c:v>
                </c:pt>
                <c:pt idx="30">
                  <c:v>17.493833509887008</c:v>
                </c:pt>
                <c:pt idx="31">
                  <c:v>17.630153601694925</c:v>
                </c:pt>
                <c:pt idx="32">
                  <c:v>19.011587747175142</c:v>
                </c:pt>
                <c:pt idx="33">
                  <c:v>17.307671433615813</c:v>
                </c:pt>
                <c:pt idx="34">
                  <c:v>14.937471045197745</c:v>
                </c:pt>
                <c:pt idx="35">
                  <c:v>13.345729343220334</c:v>
                </c:pt>
                <c:pt idx="36">
                  <c:v>11.683431144067796</c:v>
                </c:pt>
                <c:pt idx="37">
                  <c:v>11.119592337570625</c:v>
                </c:pt>
                <c:pt idx="38">
                  <c:v>10.907237111581916</c:v>
                </c:pt>
                <c:pt idx="39">
                  <c:v>10.762946327683608</c:v>
                </c:pt>
                <c:pt idx="40">
                  <c:v>12.088289018361579</c:v>
                </c:pt>
                <c:pt idx="41">
                  <c:v>11.924936970338983</c:v>
                </c:pt>
                <c:pt idx="42">
                  <c:v>12.554750706214682</c:v>
                </c:pt>
                <c:pt idx="43">
                  <c:v>11.91878478107345</c:v>
                </c:pt>
                <c:pt idx="44">
                  <c:v>11.732908721751416</c:v>
                </c:pt>
                <c:pt idx="45">
                  <c:v>11.875539548022596</c:v>
                </c:pt>
                <c:pt idx="46">
                  <c:v>10.692089159604523</c:v>
                </c:pt>
                <c:pt idx="47">
                  <c:v>9.8807168079096019</c:v>
                </c:pt>
                <c:pt idx="48">
                  <c:v>9.5100958686440666</c:v>
                </c:pt>
                <c:pt idx="49">
                  <c:v>9.451252295197742</c:v>
                </c:pt>
                <c:pt idx="50">
                  <c:v>11.266550847457623</c:v>
                </c:pt>
                <c:pt idx="51">
                  <c:v>12.399160310734468</c:v>
                </c:pt>
                <c:pt idx="52">
                  <c:v>12.117394067796612</c:v>
                </c:pt>
                <c:pt idx="53">
                  <c:v>11.652375882768368</c:v>
                </c:pt>
                <c:pt idx="54">
                  <c:v>10.543114583333336</c:v>
                </c:pt>
                <c:pt idx="55">
                  <c:v>10.147103813559323</c:v>
                </c:pt>
                <c:pt idx="56">
                  <c:v>12.139741701977393</c:v>
                </c:pt>
                <c:pt idx="57">
                  <c:v>11.031147598870058</c:v>
                </c:pt>
                <c:pt idx="58">
                  <c:v>10.758058086158199</c:v>
                </c:pt>
                <c:pt idx="59">
                  <c:v>12.209936087570618</c:v>
                </c:pt>
                <c:pt idx="60">
                  <c:v>12.126614583333334</c:v>
                </c:pt>
                <c:pt idx="61">
                  <c:v>11.414127471751415</c:v>
                </c:pt>
                <c:pt idx="62">
                  <c:v>11.148335805084747</c:v>
                </c:pt>
                <c:pt idx="63">
                  <c:v>10.674214159604517</c:v>
                </c:pt>
                <c:pt idx="64">
                  <c:v>11.313085805084752</c:v>
                </c:pt>
                <c:pt idx="65">
                  <c:v>14.428552789548029</c:v>
                </c:pt>
                <c:pt idx="66">
                  <c:v>11.790251765536722</c:v>
                </c:pt>
                <c:pt idx="67">
                  <c:v>10.555831391242934</c:v>
                </c:pt>
                <c:pt idx="68">
                  <c:v>10.926110169491528</c:v>
                </c:pt>
                <c:pt idx="69">
                  <c:v>12.878724752824866</c:v>
                </c:pt>
                <c:pt idx="70">
                  <c:v>13.085451271186434</c:v>
                </c:pt>
                <c:pt idx="71">
                  <c:v>12.637158898305087</c:v>
                </c:pt>
                <c:pt idx="72">
                  <c:v>13.383877118644071</c:v>
                </c:pt>
                <c:pt idx="73">
                  <c:v>11.305588629943502</c:v>
                </c:pt>
                <c:pt idx="74">
                  <c:v>11.792236228813557</c:v>
                </c:pt>
                <c:pt idx="75">
                  <c:v>12.65905896892655</c:v>
                </c:pt>
                <c:pt idx="76">
                  <c:v>10.875216278248587</c:v>
                </c:pt>
                <c:pt idx="77">
                  <c:v>9.4406599576271173</c:v>
                </c:pt>
                <c:pt idx="78">
                  <c:v>10.461516419491524</c:v>
                </c:pt>
                <c:pt idx="79">
                  <c:v>10.890973870056493</c:v>
                </c:pt>
                <c:pt idx="80">
                  <c:v>15.118158015536727</c:v>
                </c:pt>
                <c:pt idx="90">
                  <c:v>25.383553185202238</c:v>
                </c:pt>
                <c:pt idx="91">
                  <c:v>23.15512276711998</c:v>
                </c:pt>
                <c:pt idx="92">
                  <c:v>32.532443169923326</c:v>
                </c:pt>
                <c:pt idx="93">
                  <c:v>41.370320442779992</c:v>
                </c:pt>
                <c:pt idx="94">
                  <c:v>42.07394900983639</c:v>
                </c:pt>
                <c:pt idx="95">
                  <c:v>40.431097033779672</c:v>
                </c:pt>
                <c:pt idx="96">
                  <c:v>41.846872983017633</c:v>
                </c:pt>
                <c:pt idx="97">
                  <c:v>38.080422525006185</c:v>
                </c:pt>
                <c:pt idx="98">
                  <c:v>38.41416117139903</c:v>
                </c:pt>
                <c:pt idx="99">
                  <c:v>33.318813497874245</c:v>
                </c:pt>
                <c:pt idx="100">
                  <c:v>32.002689589225049</c:v>
                </c:pt>
                <c:pt idx="101">
                  <c:v>31.010995139574259</c:v>
                </c:pt>
                <c:pt idx="102">
                  <c:v>30.956279564574761</c:v>
                </c:pt>
                <c:pt idx="103">
                  <c:v>34.67121802840358</c:v>
                </c:pt>
                <c:pt idx="104">
                  <c:v>38.993881795082288</c:v>
                </c:pt>
                <c:pt idx="105">
                  <c:v>43.096707931629247</c:v>
                </c:pt>
                <c:pt idx="106">
                  <c:v>44.094990660290968</c:v>
                </c:pt>
                <c:pt idx="107">
                  <c:v>41.303325908430914</c:v>
                </c:pt>
                <c:pt idx="108">
                  <c:v>40.759811862034276</c:v>
                </c:pt>
                <c:pt idx="109">
                  <c:v>42.208973934746709</c:v>
                </c:pt>
                <c:pt idx="110">
                  <c:v>42.357470827955652</c:v>
                </c:pt>
                <c:pt idx="111">
                  <c:v>40.632409997010647</c:v>
                </c:pt>
                <c:pt idx="112">
                  <c:v>42.219966791737043</c:v>
                </c:pt>
                <c:pt idx="113">
                  <c:v>41.544171618117353</c:v>
                </c:pt>
                <c:pt idx="114">
                  <c:v>39.819876119464944</c:v>
                </c:pt>
                <c:pt idx="115">
                  <c:v>42.293341507121568</c:v>
                </c:pt>
                <c:pt idx="116">
                  <c:v>41.868663139389227</c:v>
                </c:pt>
                <c:pt idx="117">
                  <c:v>46.202214072850026</c:v>
                </c:pt>
                <c:pt idx="118">
                  <c:v>42.949289600850314</c:v>
                </c:pt>
                <c:pt idx="119">
                  <c:v>41.195403762669166</c:v>
                </c:pt>
                <c:pt idx="120">
                  <c:v>40.724687687664904</c:v>
                </c:pt>
                <c:pt idx="121">
                  <c:v>41.931210235921561</c:v>
                </c:pt>
                <c:pt idx="122">
                  <c:v>43.13013445702925</c:v>
                </c:pt>
                <c:pt idx="123">
                  <c:v>49.074782682042056</c:v>
                </c:pt>
                <c:pt idx="124">
                  <c:v>44.477329597078004</c:v>
                </c:pt>
                <c:pt idx="125">
                  <c:v>39.165049545191408</c:v>
                </c:pt>
                <c:pt idx="126">
                  <c:v>40.417466069310258</c:v>
                </c:pt>
                <c:pt idx="127">
                  <c:v>44.762666736695031</c:v>
                </c:pt>
                <c:pt idx="128">
                  <c:v>39.702310203062424</c:v>
                </c:pt>
                <c:pt idx="129">
                  <c:v>40.53367137790157</c:v>
                </c:pt>
                <c:pt idx="130">
                  <c:v>37.796355972180052</c:v>
                </c:pt>
                <c:pt idx="131">
                  <c:v>41.129746946827503</c:v>
                </c:pt>
                <c:pt idx="132">
                  <c:v>38.013235966296243</c:v>
                </c:pt>
                <c:pt idx="133">
                  <c:v>41.8400742453072</c:v>
                </c:pt>
                <c:pt idx="134">
                  <c:v>41.397899442343466</c:v>
                </c:pt>
                <c:pt idx="135">
                  <c:v>45.626102278194821</c:v>
                </c:pt>
                <c:pt idx="136">
                  <c:v>48.237340940602046</c:v>
                </c:pt>
                <c:pt idx="137">
                  <c:v>49.171878494339218</c:v>
                </c:pt>
                <c:pt idx="138">
                  <c:v>48.247841907989631</c:v>
                </c:pt>
                <c:pt idx="139">
                  <c:v>48.484501270482873</c:v>
                </c:pt>
                <c:pt idx="140">
                  <c:v>46.165948836708111</c:v>
                </c:pt>
                <c:pt idx="141">
                  <c:v>43.992111688723007</c:v>
                </c:pt>
                <c:pt idx="142">
                  <c:v>44.488899756106832</c:v>
                </c:pt>
                <c:pt idx="143">
                  <c:v>43.205692935078126</c:v>
                </c:pt>
                <c:pt idx="144">
                  <c:v>42.651850653957858</c:v>
                </c:pt>
                <c:pt idx="145">
                  <c:v>42.001973252793938</c:v>
                </c:pt>
                <c:pt idx="146">
                  <c:v>38.868233619390274</c:v>
                </c:pt>
                <c:pt idx="147">
                  <c:v>38.889948149026878</c:v>
                </c:pt>
                <c:pt idx="148">
                  <c:v>38.771095105459338</c:v>
                </c:pt>
                <c:pt idx="149">
                  <c:v>38.448442826009391</c:v>
                </c:pt>
                <c:pt idx="150">
                  <c:v>40.826576086316969</c:v>
                </c:pt>
                <c:pt idx="151">
                  <c:v>37.037626398827037</c:v>
                </c:pt>
                <c:pt idx="152">
                  <c:v>35.420235624062855</c:v>
                </c:pt>
                <c:pt idx="153">
                  <c:v>33.908651808320847</c:v>
                </c:pt>
                <c:pt idx="154">
                  <c:v>30.383701018159115</c:v>
                </c:pt>
                <c:pt idx="155">
                  <c:v>27.068293969812292</c:v>
                </c:pt>
                <c:pt idx="156">
                  <c:v>29.50627765411771</c:v>
                </c:pt>
                <c:pt idx="157">
                  <c:v>27.448618494244311</c:v>
                </c:pt>
                <c:pt idx="158">
                  <c:v>27.88493675663052</c:v>
                </c:pt>
                <c:pt idx="159">
                  <c:v>29.66355758797237</c:v>
                </c:pt>
                <c:pt idx="160">
                  <c:v>29.031840300619688</c:v>
                </c:pt>
                <c:pt idx="161">
                  <c:v>26.111430742165993</c:v>
                </c:pt>
                <c:pt idx="162">
                  <c:v>26.496005149752314</c:v>
                </c:pt>
                <c:pt idx="163">
                  <c:v>25.445404078211883</c:v>
                </c:pt>
                <c:pt idx="164">
                  <c:v>27.1186963704282</c:v>
                </c:pt>
                <c:pt idx="165">
                  <c:v>25.660205754265768</c:v>
                </c:pt>
                <c:pt idx="166">
                  <c:v>26.258678226127895</c:v>
                </c:pt>
                <c:pt idx="167">
                  <c:v>26.417637242939428</c:v>
                </c:pt>
                <c:pt idx="168">
                  <c:v>27.013443977760165</c:v>
                </c:pt>
                <c:pt idx="169">
                  <c:v>26.948956974324787</c:v>
                </c:pt>
                <c:pt idx="170">
                  <c:v>30.256710546126186</c:v>
                </c:pt>
                <c:pt idx="171">
                  <c:v>28.117498947439589</c:v>
                </c:pt>
              </c:numCache>
            </c:numRef>
          </c:yVal>
          <c:smooth val="0"/>
          <c:extLst>
            <c:ext xmlns:c16="http://schemas.microsoft.com/office/drawing/2014/chart" uri="{C3380CC4-5D6E-409C-BE32-E72D297353CC}">
              <c16:uniqueId val="{00000001-F425-4CA5-9284-95D45EE8C128}"/>
            </c:ext>
          </c:extLst>
        </c:ser>
        <c:dLbls>
          <c:showLegendKey val="0"/>
          <c:showVal val="0"/>
          <c:showCatName val="0"/>
          <c:showSerName val="0"/>
          <c:showPercent val="0"/>
          <c:showBubbleSize val="0"/>
        </c:dLbls>
        <c:axId val="263522536"/>
        <c:axId val="263522928"/>
      </c:scatterChart>
      <c:valAx>
        <c:axId val="263522536"/>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522928"/>
        <c:crosses val="autoZero"/>
        <c:crossBetween val="midCat"/>
        <c:majorUnit val="30.6"/>
      </c:valAx>
      <c:valAx>
        <c:axId val="263522928"/>
        <c:scaling>
          <c:orientation val="minMax"/>
          <c:max val="60"/>
        </c:scaling>
        <c:delete val="0"/>
        <c:axPos val="l"/>
        <c:title>
          <c:tx>
            <c:rich>
              <a:bodyPr/>
              <a:lstStyle/>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FDOM</a:t>
                </a:r>
              </a:p>
              <a:p>
                <a:pPr>
                  <a:defRPr sz="11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(mg m</a:t>
                </a:r>
                <a:r>
                  <a:rPr lang="en-US" sz="1000" b="0" i="0" u="none" strike="noStrike" baseline="30000">
                    <a:solidFill>
                      <a:srgbClr val="000000"/>
                    </a:solidFill>
                    <a:latin typeface="Arial"/>
                    <a:cs typeface="Arial"/>
                  </a:rPr>
                  <a:t>-3</a:t>
                </a:r>
                <a:r>
                  <a:rPr lang="en-US" sz="1000" b="0" i="0" u="none" strike="noStrike" baseline="0">
                    <a:solidFill>
                      <a:srgbClr val="000000"/>
                    </a:solidFill>
                    <a:latin typeface="Arial"/>
                    <a:cs typeface="Arial"/>
                  </a:rPr>
                  <a:t>)</a:t>
                </a:r>
              </a:p>
            </c:rich>
          </c:tx>
          <c:layout>
            <c:manualLayout>
              <c:xMode val="edge"/>
              <c:yMode val="edge"/>
              <c:x val="9.7357830271216101E-3"/>
              <c:y val="0.3082867336193754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522536"/>
        <c:crosses val="autoZero"/>
        <c:crossBetween val="midCat"/>
        <c:majorUnit val="2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56310679611655"/>
          <c:y val="0.12222238799694554"/>
          <c:w val="0.83009708737864085"/>
          <c:h val="0.622223066166268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'SP01'!$I$3:$I$174</c:f>
              <c:numCache>
                <c:formatCode>0.00</c:formatCode>
                <c:ptCount val="172"/>
                <c:pt idx="0">
                  <c:v>0.85818644067796601</c:v>
                </c:pt>
                <c:pt idx="1">
                  <c:v>0.81616313559321985</c:v>
                </c:pt>
                <c:pt idx="2">
                  <c:v>1.3527383474576269</c:v>
                </c:pt>
                <c:pt idx="3">
                  <c:v>0.77169279661016954</c:v>
                </c:pt>
                <c:pt idx="4">
                  <c:v>0.7784957627118646</c:v>
                </c:pt>
                <c:pt idx="5">
                  <c:v>0.82900847457627114</c:v>
                </c:pt>
                <c:pt idx="6">
                  <c:v>1.1156154661016948</c:v>
                </c:pt>
                <c:pt idx="7">
                  <c:v>1.8018654661016944</c:v>
                </c:pt>
                <c:pt idx="8">
                  <c:v>1.4375995762711853</c:v>
                </c:pt>
                <c:pt idx="9">
                  <c:v>1.1203644067796612</c:v>
                </c:pt>
                <c:pt idx="10">
                  <c:v>0.888861228813559</c:v>
                </c:pt>
                <c:pt idx="11">
                  <c:v>0.90044385593220311</c:v>
                </c:pt>
                <c:pt idx="12">
                  <c:v>0.88474999999999993</c:v>
                </c:pt>
                <c:pt idx="13">
                  <c:v>0.9021663135593222</c:v>
                </c:pt>
                <c:pt idx="14">
                  <c:v>1.0453739406779663</c:v>
                </c:pt>
                <c:pt idx="15">
                  <c:v>1.0913974035340788</c:v>
                </c:pt>
                <c:pt idx="16">
                  <c:v>0.97894703389830529</c:v>
                </c:pt>
                <c:pt idx="17">
                  <c:v>0.89504343220338967</c:v>
                </c:pt>
                <c:pt idx="18">
                  <c:v>0.73570550847457616</c:v>
                </c:pt>
                <c:pt idx="19">
                  <c:v>1.0126419491525427</c:v>
                </c:pt>
                <c:pt idx="20">
                  <c:v>0.91337817796610155</c:v>
                </c:pt>
                <c:pt idx="21">
                  <c:v>1.7509173728813556</c:v>
                </c:pt>
                <c:pt idx="22">
                  <c:v>2.6542468220338979</c:v>
                </c:pt>
                <c:pt idx="23">
                  <c:v>4.0826970338983051</c:v>
                </c:pt>
                <c:pt idx="24">
                  <c:v>2.033645127118644</c:v>
                </c:pt>
                <c:pt idx="25">
                  <c:v>1.4230264830508477</c:v>
                </c:pt>
                <c:pt idx="26">
                  <c:v>1.0062668376449599</c:v>
                </c:pt>
                <c:pt idx="27">
                  <c:v>0.86443116169288015</c:v>
                </c:pt>
                <c:pt idx="28">
                  <c:v>0.8225455508474574</c:v>
                </c:pt>
                <c:pt idx="29">
                  <c:v>0.59331885593220335</c:v>
                </c:pt>
                <c:pt idx="30">
                  <c:v>0.81916101694915222</c:v>
                </c:pt>
                <c:pt idx="31">
                  <c:v>0.73421398305084706</c:v>
                </c:pt>
                <c:pt idx="32">
                  <c:v>0.76587182203389848</c:v>
                </c:pt>
                <c:pt idx="33">
                  <c:v>0.79866065020455868</c:v>
                </c:pt>
                <c:pt idx="34">
                  <c:v>0.6588591101694915</c:v>
                </c:pt>
                <c:pt idx="35">
                  <c:v>1.1203371883086783</c:v>
                </c:pt>
                <c:pt idx="36">
                  <c:v>0.93560603606777926</c:v>
                </c:pt>
                <c:pt idx="37">
                  <c:v>0.69740902749753386</c:v>
                </c:pt>
                <c:pt idx="38">
                  <c:v>0.59430081907656063</c:v>
                </c:pt>
                <c:pt idx="39">
                  <c:v>0.56216310486676313</c:v>
                </c:pt>
                <c:pt idx="40">
                  <c:v>0.60049252773463069</c:v>
                </c:pt>
                <c:pt idx="41">
                  <c:v>1.6965296676868167</c:v>
                </c:pt>
                <c:pt idx="42">
                  <c:v>1.0171334745762712</c:v>
                </c:pt>
                <c:pt idx="43">
                  <c:v>0.91197984401043219</c:v>
                </c:pt>
                <c:pt idx="44">
                  <c:v>0.93661530826016959</c:v>
                </c:pt>
                <c:pt idx="45">
                  <c:v>0.77795495293931427</c:v>
                </c:pt>
                <c:pt idx="46">
                  <c:v>0.78267652359014894</c:v>
                </c:pt>
                <c:pt idx="47">
                  <c:v>0.95411970338983032</c:v>
                </c:pt>
                <c:pt idx="48">
                  <c:v>1.0643739406779666</c:v>
                </c:pt>
                <c:pt idx="49">
                  <c:v>1.0668538135593228</c:v>
                </c:pt>
                <c:pt idx="50">
                  <c:v>1.177951593475387</c:v>
                </c:pt>
                <c:pt idx="51">
                  <c:v>1.5461470944309923</c:v>
                </c:pt>
                <c:pt idx="52">
                  <c:v>0.71247138081970096</c:v>
                </c:pt>
                <c:pt idx="53">
                  <c:v>1.0646481999962243</c:v>
                </c:pt>
                <c:pt idx="54">
                  <c:v>0.58796608533548533</c:v>
                </c:pt>
                <c:pt idx="55">
                  <c:v>0.64203495762711837</c:v>
                </c:pt>
                <c:pt idx="56">
                  <c:v>2.358931144067796</c:v>
                </c:pt>
                <c:pt idx="57">
                  <c:v>1.0814433107121266</c:v>
                </c:pt>
                <c:pt idx="58">
                  <c:v>4.4883453389830512</c:v>
                </c:pt>
                <c:pt idx="59">
                  <c:v>1.154976694915254</c:v>
                </c:pt>
                <c:pt idx="60">
                  <c:v>1.1143821045095834</c:v>
                </c:pt>
                <c:pt idx="61">
                  <c:v>1.2533454076513388</c:v>
                </c:pt>
                <c:pt idx="62">
                  <c:v>2.7053777231302125</c:v>
                </c:pt>
                <c:pt idx="63">
                  <c:v>0.83870041526903039</c:v>
                </c:pt>
                <c:pt idx="64">
                  <c:v>0.81679591722249578</c:v>
                </c:pt>
                <c:pt idx="65">
                  <c:v>1.1181205093957256</c:v>
                </c:pt>
                <c:pt idx="66">
                  <c:v>1.9569674416418839</c:v>
                </c:pt>
                <c:pt idx="67">
                  <c:v>1.7657173873074505</c:v>
                </c:pt>
                <c:pt idx="68">
                  <c:v>0.78663378149176078</c:v>
                </c:pt>
                <c:pt idx="69">
                  <c:v>1.0131390893710808</c:v>
                </c:pt>
                <c:pt idx="70">
                  <c:v>0.95136285588890701</c:v>
                </c:pt>
                <c:pt idx="71">
                  <c:v>1.0342401991291339</c:v>
                </c:pt>
                <c:pt idx="72">
                  <c:v>1.0480382869249394</c:v>
                </c:pt>
                <c:pt idx="73">
                  <c:v>0.79910691482812879</c:v>
                </c:pt>
                <c:pt idx="74">
                  <c:v>0.83324744137297102</c:v>
                </c:pt>
                <c:pt idx="75">
                  <c:v>0.86736783534456352</c:v>
                </c:pt>
                <c:pt idx="76">
                  <c:v>2.0187766562222653</c:v>
                </c:pt>
                <c:pt idx="77">
                  <c:v>2.0530938998145785</c:v>
                </c:pt>
                <c:pt idx="78">
                  <c:v>1.2476535909157562</c:v>
                </c:pt>
                <c:pt idx="79">
                  <c:v>0.86065466101694865</c:v>
                </c:pt>
                <c:pt idx="80">
                  <c:v>1.2787023305084748</c:v>
                </c:pt>
                <c:pt idx="90">
                  <c:v>1.4889187853107344</c:v>
                </c:pt>
                <c:pt idx="91">
                  <c:v>1.2825337998760167</c:v>
                </c:pt>
                <c:pt idx="92">
                  <c:v>1.4025169491525424</c:v>
                </c:pt>
                <c:pt idx="93">
                  <c:v>1.2046098163841805</c:v>
                </c:pt>
                <c:pt idx="94">
                  <c:v>1.4619856991525426</c:v>
                </c:pt>
                <c:pt idx="95">
                  <c:v>1.3512528248587568</c:v>
                </c:pt>
                <c:pt idx="96">
                  <c:v>1.2433881574115684</c:v>
                </c:pt>
                <c:pt idx="97">
                  <c:v>1.4539471035570106</c:v>
                </c:pt>
                <c:pt idx="98">
                  <c:v>1.6218241525423729</c:v>
                </c:pt>
                <c:pt idx="99">
                  <c:v>3.019507944915254</c:v>
                </c:pt>
                <c:pt idx="100">
                  <c:v>2.4677138064971751</c:v>
                </c:pt>
                <c:pt idx="101">
                  <c:v>2.2694706920903958</c:v>
                </c:pt>
                <c:pt idx="102">
                  <c:v>2.2559186087570624</c:v>
                </c:pt>
                <c:pt idx="103">
                  <c:v>1.6715044138418083</c:v>
                </c:pt>
                <c:pt idx="104">
                  <c:v>1.4606375862970484</c:v>
                </c:pt>
                <c:pt idx="105">
                  <c:v>1.4378945332562907</c:v>
                </c:pt>
                <c:pt idx="106">
                  <c:v>1.4647891949152536</c:v>
                </c:pt>
                <c:pt idx="107">
                  <c:v>1.3903652895480227</c:v>
                </c:pt>
                <c:pt idx="108">
                  <c:v>1.2325476694915258</c:v>
                </c:pt>
                <c:pt idx="109">
                  <c:v>1.3622959039548024</c:v>
                </c:pt>
                <c:pt idx="110">
                  <c:v>1.4539924081920896</c:v>
                </c:pt>
                <c:pt idx="111">
                  <c:v>1.4622438206214692</c:v>
                </c:pt>
                <c:pt idx="112">
                  <c:v>1.7095048499893235</c:v>
                </c:pt>
                <c:pt idx="113">
                  <c:v>1.8906703742937847</c:v>
                </c:pt>
                <c:pt idx="114">
                  <c:v>1.9807683615819203</c:v>
                </c:pt>
                <c:pt idx="115">
                  <c:v>1.6892002025991995</c:v>
                </c:pt>
                <c:pt idx="116">
                  <c:v>1.6063679378531068</c:v>
                </c:pt>
                <c:pt idx="117">
                  <c:v>1.6097496468926566</c:v>
                </c:pt>
                <c:pt idx="118">
                  <c:v>1.5863298022598868</c:v>
                </c:pt>
                <c:pt idx="119">
                  <c:v>1.4425995762711867</c:v>
                </c:pt>
                <c:pt idx="120">
                  <c:v>1.4697591807909609</c:v>
                </c:pt>
                <c:pt idx="121">
                  <c:v>1.5149911622276033</c:v>
                </c:pt>
                <c:pt idx="122">
                  <c:v>1.4924832274011302</c:v>
                </c:pt>
                <c:pt idx="123">
                  <c:v>2.3775496115819217</c:v>
                </c:pt>
                <c:pt idx="124">
                  <c:v>2.2202326977401126</c:v>
                </c:pt>
                <c:pt idx="125">
                  <c:v>1.6433741172316383</c:v>
                </c:pt>
                <c:pt idx="126">
                  <c:v>1.4616864406779662</c:v>
                </c:pt>
                <c:pt idx="127">
                  <c:v>1.893167549435028</c:v>
                </c:pt>
                <c:pt idx="128">
                  <c:v>1.5604486228813561</c:v>
                </c:pt>
                <c:pt idx="129">
                  <c:v>1.5171925396862285</c:v>
                </c:pt>
                <c:pt idx="130">
                  <c:v>1.6280646186440684</c:v>
                </c:pt>
                <c:pt idx="131">
                  <c:v>1.6024959257848375</c:v>
                </c:pt>
                <c:pt idx="132">
                  <c:v>1.678840042372882</c:v>
                </c:pt>
                <c:pt idx="133">
                  <c:v>1.6430656779661017</c:v>
                </c:pt>
                <c:pt idx="134">
                  <c:v>1.5012402895480221</c:v>
                </c:pt>
                <c:pt idx="135">
                  <c:v>1.61778169138418</c:v>
                </c:pt>
                <c:pt idx="136">
                  <c:v>1.5198375850524208</c:v>
                </c:pt>
                <c:pt idx="137">
                  <c:v>1.534148764704047</c:v>
                </c:pt>
                <c:pt idx="138">
                  <c:v>1.4764470338983042</c:v>
                </c:pt>
                <c:pt idx="139">
                  <c:v>1.5716645111800174</c:v>
                </c:pt>
                <c:pt idx="140">
                  <c:v>2.3052034593143937</c:v>
                </c:pt>
                <c:pt idx="141">
                  <c:v>2.2928808581465856</c:v>
                </c:pt>
                <c:pt idx="142">
                  <c:v>1.3978173582700173</c:v>
                </c:pt>
                <c:pt idx="143">
                  <c:v>1.1754643037817438</c:v>
                </c:pt>
                <c:pt idx="144">
                  <c:v>0.94412519509739912</c:v>
                </c:pt>
                <c:pt idx="145">
                  <c:v>1.2354658820060094</c:v>
                </c:pt>
                <c:pt idx="146">
                  <c:v>1.1504105934100457</c:v>
                </c:pt>
                <c:pt idx="147">
                  <c:v>1.4995449836120063</c:v>
                </c:pt>
                <c:pt idx="148">
                  <c:v>1.7496257150908265</c:v>
                </c:pt>
                <c:pt idx="149">
                  <c:v>1.637146818331306</c:v>
                </c:pt>
                <c:pt idx="150">
                  <c:v>2.2716984794392943</c:v>
                </c:pt>
                <c:pt idx="151">
                  <c:v>1.8924635891380428</c:v>
                </c:pt>
                <c:pt idx="152">
                  <c:v>1.4144691633470732</c:v>
                </c:pt>
                <c:pt idx="153">
                  <c:v>1.5205347724575653</c:v>
                </c:pt>
                <c:pt idx="154">
                  <c:v>1.6737377528734347</c:v>
                </c:pt>
                <c:pt idx="155">
                  <c:v>1.6828483403954804</c:v>
                </c:pt>
                <c:pt idx="156">
                  <c:v>1.3155995748225406</c:v>
                </c:pt>
                <c:pt idx="157">
                  <c:v>1.2365888430255207</c:v>
                </c:pt>
                <c:pt idx="158">
                  <c:v>1.3543748273590674</c:v>
                </c:pt>
                <c:pt idx="159">
                  <c:v>0.88562285700370158</c:v>
                </c:pt>
                <c:pt idx="160">
                  <c:v>0.85417196327683576</c:v>
                </c:pt>
                <c:pt idx="161">
                  <c:v>1.3940285638105321</c:v>
                </c:pt>
                <c:pt idx="162">
                  <c:v>1.5116453036723165</c:v>
                </c:pt>
                <c:pt idx="163">
                  <c:v>0.87997687146892678</c:v>
                </c:pt>
                <c:pt idx="164">
                  <c:v>0.90594648541850964</c:v>
                </c:pt>
                <c:pt idx="165">
                  <c:v>0.96026942090395495</c:v>
                </c:pt>
                <c:pt idx="166">
                  <c:v>1.0207865272412895</c:v>
                </c:pt>
                <c:pt idx="167">
                  <c:v>1.1284605345436061</c:v>
                </c:pt>
                <c:pt idx="168">
                  <c:v>1.1016146027348357</c:v>
                </c:pt>
                <c:pt idx="169">
                  <c:v>1.3600845610776551</c:v>
                </c:pt>
                <c:pt idx="170">
                  <c:v>1.1939825211864414</c:v>
                </c:pt>
                <c:pt idx="171">
                  <c:v>1.1979556850282491</c:v>
                </c:pt>
              </c:numCache>
            </c:numRef>
          </c:yVal>
          <c:smooth val="0"/>
          <c:extLst>
            <c:ext xmlns:c16="http://schemas.microsoft.com/office/drawing/2014/chart" uri="{C3380CC4-5D6E-409C-BE32-E72D297353CC}">
              <c16:uniqueId val="{00000000-5039-4315-BF34-A29F93BE8CFF}"/>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'SP02'!$A$3:$A$174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'SP02'!$I$3:$I$174</c:f>
              <c:numCache>
                <c:formatCode>0.00</c:formatCode>
                <c:ptCount val="172"/>
                <c:pt idx="0">
                  <c:v>0.54498430634023842</c:v>
                </c:pt>
                <c:pt idx="1">
                  <c:v>0.4559834039548023</c:v>
                </c:pt>
                <c:pt idx="2">
                  <c:v>0.61052948446327682</c:v>
                </c:pt>
                <c:pt idx="3">
                  <c:v>0.51442125706214703</c:v>
                </c:pt>
                <c:pt idx="4">
                  <c:v>0.50333386299435057</c:v>
                </c:pt>
                <c:pt idx="5">
                  <c:v>0.51138665254237303</c:v>
                </c:pt>
                <c:pt idx="6">
                  <c:v>0.54473252118644067</c:v>
                </c:pt>
                <c:pt idx="7">
                  <c:v>0.7579080155367226</c:v>
                </c:pt>
                <c:pt idx="8">
                  <c:v>1.3914945268361587</c:v>
                </c:pt>
                <c:pt idx="9">
                  <c:v>0.88435063559322014</c:v>
                </c:pt>
                <c:pt idx="10">
                  <c:v>0.7887162782485877</c:v>
                </c:pt>
                <c:pt idx="11">
                  <c:v>0.84483810028248596</c:v>
                </c:pt>
                <c:pt idx="12">
                  <c:v>0.73517355225988712</c:v>
                </c:pt>
                <c:pt idx="13">
                  <c:v>0.75655137711864395</c:v>
                </c:pt>
                <c:pt idx="14">
                  <c:v>0.88493061440678022</c:v>
                </c:pt>
                <c:pt idx="15">
                  <c:v>0.7676062026685897</c:v>
                </c:pt>
                <c:pt idx="16">
                  <c:v>0.70457997881355927</c:v>
                </c:pt>
                <c:pt idx="17">
                  <c:v>0.68977189265536698</c:v>
                </c:pt>
                <c:pt idx="18">
                  <c:v>0.61091860875706216</c:v>
                </c:pt>
                <c:pt idx="19">
                  <c:v>0.69285911016949164</c:v>
                </c:pt>
                <c:pt idx="20">
                  <c:v>0.83958262711864406</c:v>
                </c:pt>
                <c:pt idx="21">
                  <c:v>1.0107185734463282</c:v>
                </c:pt>
                <c:pt idx="22">
                  <c:v>1.690742231638418</c:v>
                </c:pt>
                <c:pt idx="23">
                  <c:v>1.6581809675141246</c:v>
                </c:pt>
                <c:pt idx="24">
                  <c:v>1.3791417725988708</c:v>
                </c:pt>
                <c:pt idx="25">
                  <c:v>0.95247528248587587</c:v>
                </c:pt>
                <c:pt idx="26">
                  <c:v>0.54568608757062131</c:v>
                </c:pt>
                <c:pt idx="27">
                  <c:v>0.48363276836158198</c:v>
                </c:pt>
                <c:pt idx="28">
                  <c:v>0.47916754943502821</c:v>
                </c:pt>
                <c:pt idx="29">
                  <c:v>0.37100971045197745</c:v>
                </c:pt>
                <c:pt idx="30">
                  <c:v>0.59122651836158191</c:v>
                </c:pt>
                <c:pt idx="31">
                  <c:v>0.57505120056497183</c:v>
                </c:pt>
                <c:pt idx="32">
                  <c:v>0.59330543785310741</c:v>
                </c:pt>
                <c:pt idx="33">
                  <c:v>0.5700090042372884</c:v>
                </c:pt>
                <c:pt idx="34">
                  <c:v>0.52656991525423724</c:v>
                </c:pt>
                <c:pt idx="35">
                  <c:v>0.50163541666666667</c:v>
                </c:pt>
                <c:pt idx="36">
                  <c:v>0.36288294491525425</c:v>
                </c:pt>
                <c:pt idx="37">
                  <c:v>0.32247669491525416</c:v>
                </c:pt>
                <c:pt idx="38">
                  <c:v>0.36944756355932201</c:v>
                </c:pt>
                <c:pt idx="39">
                  <c:v>0.34345338983050838</c:v>
                </c:pt>
                <c:pt idx="40">
                  <c:v>0.36516331214689263</c:v>
                </c:pt>
                <c:pt idx="41">
                  <c:v>0.43798516949152533</c:v>
                </c:pt>
                <c:pt idx="42">
                  <c:v>0.72657768361581898</c:v>
                </c:pt>
                <c:pt idx="43">
                  <c:v>0.62286581920903961</c:v>
                </c:pt>
                <c:pt idx="44">
                  <c:v>0.73705049435028236</c:v>
                </c:pt>
                <c:pt idx="45">
                  <c:v>0.6873389830508474</c:v>
                </c:pt>
                <c:pt idx="46">
                  <c:v>0.73287076271186447</c:v>
                </c:pt>
                <c:pt idx="47">
                  <c:v>0.82667937853107265</c:v>
                </c:pt>
                <c:pt idx="48">
                  <c:v>0.89232980225988745</c:v>
                </c:pt>
                <c:pt idx="49">
                  <c:v>0.79901394774011292</c:v>
                </c:pt>
                <c:pt idx="50">
                  <c:v>0.79005490819209057</c:v>
                </c:pt>
                <c:pt idx="51">
                  <c:v>0.73973075564971758</c:v>
                </c:pt>
                <c:pt idx="52">
                  <c:v>0.51955384887005651</c:v>
                </c:pt>
                <c:pt idx="53">
                  <c:v>0.49379413841807912</c:v>
                </c:pt>
                <c:pt idx="54">
                  <c:v>0.41336511299435025</c:v>
                </c:pt>
                <c:pt idx="55">
                  <c:v>0.44452877824858755</c:v>
                </c:pt>
                <c:pt idx="56">
                  <c:v>0.57310540254237285</c:v>
                </c:pt>
                <c:pt idx="57">
                  <c:v>0.71114177259886979</c:v>
                </c:pt>
                <c:pt idx="58">
                  <c:v>0.77396857344632775</c:v>
                </c:pt>
                <c:pt idx="59">
                  <c:v>0.63958721751412428</c:v>
                </c:pt>
                <c:pt idx="60">
                  <c:v>0.55246168785310734</c:v>
                </c:pt>
                <c:pt idx="61">
                  <c:v>0.46776641949152542</c:v>
                </c:pt>
                <c:pt idx="62">
                  <c:v>0.55498463983050839</c:v>
                </c:pt>
                <c:pt idx="63">
                  <c:v>0.61886246468926553</c:v>
                </c:pt>
                <c:pt idx="64">
                  <c:v>0.7124454449152543</c:v>
                </c:pt>
                <c:pt idx="65">
                  <c:v>0.69962394067796596</c:v>
                </c:pt>
                <c:pt idx="66">
                  <c:v>0.56468591101694909</c:v>
                </c:pt>
                <c:pt idx="67">
                  <c:v>0.72922334039548009</c:v>
                </c:pt>
                <c:pt idx="68">
                  <c:v>0.74620727401129916</c:v>
                </c:pt>
                <c:pt idx="69">
                  <c:v>0.80916949152542406</c:v>
                </c:pt>
                <c:pt idx="70">
                  <c:v>0.79299929378531087</c:v>
                </c:pt>
                <c:pt idx="71">
                  <c:v>0.69604625706214707</c:v>
                </c:pt>
                <c:pt idx="72">
                  <c:v>0.64212040960451977</c:v>
                </c:pt>
                <c:pt idx="73">
                  <c:v>0.67083774717514133</c:v>
                </c:pt>
                <c:pt idx="74">
                  <c:v>0.70008262711864389</c:v>
                </c:pt>
                <c:pt idx="75">
                  <c:v>0.65007750706214695</c:v>
                </c:pt>
                <c:pt idx="76">
                  <c:v>0.54027312853107357</c:v>
                </c:pt>
                <c:pt idx="77">
                  <c:v>0.54268644067796601</c:v>
                </c:pt>
                <c:pt idx="78">
                  <c:v>0.57061317090395469</c:v>
                </c:pt>
                <c:pt idx="79">
                  <c:v>0.48244050141242911</c:v>
                </c:pt>
                <c:pt idx="80">
                  <c:v>0.58917337570621453</c:v>
                </c:pt>
                <c:pt idx="90">
                  <c:v>1.1599406779661019</c:v>
                </c:pt>
                <c:pt idx="91">
                  <c:v>1.0804509180790958</c:v>
                </c:pt>
                <c:pt idx="92">
                  <c:v>1.1602369350282487</c:v>
                </c:pt>
                <c:pt idx="93">
                  <c:v>1.2563149717514128</c:v>
                </c:pt>
                <c:pt idx="94">
                  <c:v>1.4091105225988703</c:v>
                </c:pt>
                <c:pt idx="95">
                  <c:v>1.3270407838983056</c:v>
                </c:pt>
                <c:pt idx="96">
                  <c:v>1.3307851341807917</c:v>
                </c:pt>
                <c:pt idx="97">
                  <c:v>1.4087023305084745</c:v>
                </c:pt>
                <c:pt idx="98">
                  <c:v>1.4142125706214694</c:v>
                </c:pt>
                <c:pt idx="99">
                  <c:v>1.3767983757062146</c:v>
                </c:pt>
                <c:pt idx="100">
                  <c:v>1.4277870762711864</c:v>
                </c:pt>
                <c:pt idx="101">
                  <c:v>1.6924786370056497</c:v>
                </c:pt>
                <c:pt idx="102">
                  <c:v>1.7480550847457623</c:v>
                </c:pt>
                <c:pt idx="103">
                  <c:v>1.6224011299435031</c:v>
                </c:pt>
                <c:pt idx="104">
                  <c:v>1.4778319209039557</c:v>
                </c:pt>
                <c:pt idx="105">
                  <c:v>1.4493230932203387</c:v>
                </c:pt>
                <c:pt idx="106">
                  <c:v>1.3991304731638412</c:v>
                </c:pt>
                <c:pt idx="107">
                  <c:v>1.3171251765536731</c:v>
                </c:pt>
                <c:pt idx="108">
                  <c:v>1.3472681850282486</c:v>
                </c:pt>
                <c:pt idx="109">
                  <c:v>1.4287171610169491</c:v>
                </c:pt>
                <c:pt idx="110">
                  <c:v>1.5294613347457624</c:v>
                </c:pt>
                <c:pt idx="111">
                  <c:v>1.5968474576271185</c:v>
                </c:pt>
                <c:pt idx="112">
                  <c:v>1.6183698799435033</c:v>
                </c:pt>
                <c:pt idx="113">
                  <c:v>1.6545365466101696</c:v>
                </c:pt>
                <c:pt idx="114">
                  <c:v>1.7347021539548024</c:v>
                </c:pt>
                <c:pt idx="115">
                  <c:v>1.7526869595295751</c:v>
                </c:pt>
                <c:pt idx="116">
                  <c:v>1.5837069209039545</c:v>
                </c:pt>
                <c:pt idx="117">
                  <c:v>1.6514177259887013</c:v>
                </c:pt>
                <c:pt idx="118">
                  <c:v>1.5313336864406775</c:v>
                </c:pt>
                <c:pt idx="119">
                  <c:v>1.5138449858757062</c:v>
                </c:pt>
                <c:pt idx="120">
                  <c:v>1.4884189618644061</c:v>
                </c:pt>
                <c:pt idx="121">
                  <c:v>1.4841202330508469</c:v>
                </c:pt>
                <c:pt idx="122">
                  <c:v>1.5440621468926559</c:v>
                </c:pt>
                <c:pt idx="123">
                  <c:v>1.6675868644067788</c:v>
                </c:pt>
                <c:pt idx="124">
                  <c:v>1.6190789194915256</c:v>
                </c:pt>
                <c:pt idx="125">
                  <c:v>1.6666569562146893</c:v>
                </c:pt>
                <c:pt idx="126">
                  <c:v>1.6143319209039548</c:v>
                </c:pt>
                <c:pt idx="127">
                  <c:v>1.7290748587570623</c:v>
                </c:pt>
                <c:pt idx="128">
                  <c:v>1.6096311793785312</c:v>
                </c:pt>
                <c:pt idx="129">
                  <c:v>1.6164094279661023</c:v>
                </c:pt>
                <c:pt idx="130">
                  <c:v>1.6530105932203385</c:v>
                </c:pt>
                <c:pt idx="131">
                  <c:v>1.7158116172316387</c:v>
                </c:pt>
                <c:pt idx="132">
                  <c:v>1.6483160310734473</c:v>
                </c:pt>
                <c:pt idx="133">
                  <c:v>1.7006267655367238</c:v>
                </c:pt>
                <c:pt idx="134">
                  <c:v>1.6428554025423721</c:v>
                </c:pt>
                <c:pt idx="135">
                  <c:v>1.591062676553672</c:v>
                </c:pt>
                <c:pt idx="136">
                  <c:v>1.5550550847457625</c:v>
                </c:pt>
                <c:pt idx="137">
                  <c:v>1.5636645480225984</c:v>
                </c:pt>
                <c:pt idx="138">
                  <c:v>1.4759636299435019</c:v>
                </c:pt>
                <c:pt idx="139">
                  <c:v>1.5536403382524835</c:v>
                </c:pt>
                <c:pt idx="140">
                  <c:v>1.5886055258532139</c:v>
                </c:pt>
                <c:pt idx="141">
                  <c:v>1.3697517655367244</c:v>
                </c:pt>
                <c:pt idx="142">
                  <c:v>1.1460914548022598</c:v>
                </c:pt>
                <c:pt idx="143">
                  <c:v>1.2186720906888153</c:v>
                </c:pt>
                <c:pt idx="144">
                  <c:v>1.1680361052259884</c:v>
                </c:pt>
                <c:pt idx="145">
                  <c:v>1.3159648140231233</c:v>
                </c:pt>
                <c:pt idx="146">
                  <c:v>0.98800931105068823</c:v>
                </c:pt>
                <c:pt idx="147">
                  <c:v>1.1685227200621444</c:v>
                </c:pt>
                <c:pt idx="148">
                  <c:v>1.2688857461476351</c:v>
                </c:pt>
                <c:pt idx="149">
                  <c:v>1.5643903069554366</c:v>
                </c:pt>
                <c:pt idx="150">
                  <c:v>1.5699041844873858</c:v>
                </c:pt>
                <c:pt idx="151">
                  <c:v>1.5693442796610171</c:v>
                </c:pt>
                <c:pt idx="152">
                  <c:v>1.21672863700565</c:v>
                </c:pt>
                <c:pt idx="153">
                  <c:v>1.3728407485875707</c:v>
                </c:pt>
                <c:pt idx="154">
                  <c:v>1.3758986581920907</c:v>
                </c:pt>
                <c:pt idx="155">
                  <c:v>1.1867464689265532</c:v>
                </c:pt>
                <c:pt idx="156">
                  <c:v>0.97322069209039574</c:v>
                </c:pt>
                <c:pt idx="157">
                  <c:v>0.8475722104519775</c:v>
                </c:pt>
                <c:pt idx="158">
                  <c:v>0.93724963862592825</c:v>
                </c:pt>
                <c:pt idx="159">
                  <c:v>0.80351129943502808</c:v>
                </c:pt>
                <c:pt idx="160">
                  <c:v>0.86676624293785309</c:v>
                </c:pt>
                <c:pt idx="161">
                  <c:v>0.74608580508474542</c:v>
                </c:pt>
                <c:pt idx="162">
                  <c:v>0.85669985875706223</c:v>
                </c:pt>
                <c:pt idx="163">
                  <c:v>0.73783933615819197</c:v>
                </c:pt>
                <c:pt idx="164">
                  <c:v>0.86628990112994353</c:v>
                </c:pt>
                <c:pt idx="165">
                  <c:v>0.73633580508474583</c:v>
                </c:pt>
                <c:pt idx="166">
                  <c:v>0.75106139744033229</c:v>
                </c:pt>
                <c:pt idx="167">
                  <c:v>0.83760999293785288</c:v>
                </c:pt>
                <c:pt idx="168">
                  <c:v>0.91123287429378486</c:v>
                </c:pt>
                <c:pt idx="169">
                  <c:v>1.0091255296610169</c:v>
                </c:pt>
                <c:pt idx="170">
                  <c:v>0.97392761299435016</c:v>
                </c:pt>
                <c:pt idx="171">
                  <c:v>0.92143608757062123</c:v>
                </c:pt>
              </c:numCache>
            </c:numRef>
          </c:yVal>
          <c:smooth val="0"/>
          <c:extLst>
            <c:ext xmlns:c16="http://schemas.microsoft.com/office/drawing/2014/chart" uri="{C3380CC4-5D6E-409C-BE32-E72D297353CC}">
              <c16:uniqueId val="{00000001-5039-4315-BF34-A29F93BE8CFF}"/>
            </c:ext>
          </c:extLst>
        </c:ser>
        <c:dLbls>
          <c:showLegendKey val="0"/>
          <c:showVal val="0"/>
          <c:showCatName val="0"/>
          <c:showSerName val="0"/>
          <c:showPercent val="0"/>
          <c:showBubbleSize val="0"/>
        </c:dLbls>
        <c:axId val="263523712"/>
        <c:axId val="263524104"/>
      </c:scatterChart>
      <c:valAx>
        <c:axId val="263523712"/>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524104"/>
        <c:crosses val="autoZero"/>
        <c:crossBetween val="midCat"/>
        <c:majorUnit val="30.6"/>
      </c:valAx>
      <c:valAx>
        <c:axId val="263524104"/>
        <c:scaling>
          <c:orientation val="minMax"/>
          <c:max val="5"/>
          <c:min val="0"/>
        </c:scaling>
        <c:delete val="0"/>
        <c:axPos val="l"/>
        <c:title>
          <c:tx>
            <c:rich>
              <a:bodyPr/>
              <a:lstStyle/>
              <a:p>
                <a:pPr>
                  <a:defRPr sz="1000" b="0" i="0" u="none" strike="noStrike" baseline="0">
                    <a:solidFill>
                      <a:srgbClr val="000000"/>
                    </a:solidFill>
                    <a:latin typeface="Arial"/>
                    <a:ea typeface="Arial"/>
                    <a:cs typeface="Arial"/>
                  </a:defRPr>
                </a:pPr>
                <a:r>
                  <a:rPr lang="en-US"/>
                  <a:t>Turbidty
 (NTU)</a:t>
                </a:r>
              </a:p>
            </c:rich>
          </c:tx>
          <c:layout>
            <c:manualLayout>
              <c:xMode val="edge"/>
              <c:yMode val="edge"/>
              <c:x val="9.7357830271216101E-3"/>
              <c:y val="0.2894753818423299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523712"/>
        <c:crosses val="autoZero"/>
        <c:crossBetween val="midCat"/>
        <c:majorUnit val="1"/>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56310679611655"/>
          <c:y val="0.12222238799694554"/>
          <c:w val="0.83009708737864085"/>
          <c:h val="0.6222230661662681"/>
        </c:manualLayout>
      </c:layout>
      <c:scatterChart>
        <c:scatterStyle val="lineMarker"/>
        <c:varyColors val="0"/>
        <c:ser>
          <c:idx val="0"/>
          <c:order val="0"/>
          <c:tx>
            <c:v>Shoal</c:v>
          </c:tx>
          <c:spPr>
            <a:ln w="28575">
              <a:noFill/>
            </a:ln>
          </c:spPr>
          <c:marker>
            <c:symbol val="circle"/>
            <c:size val="5"/>
            <c:spPr>
              <a:solidFill>
                <a:srgbClr val="FFFFFF"/>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'SP01'!$V$3:$V$174</c:f>
              <c:numCache>
                <c:formatCode>0</c:formatCode>
                <c:ptCount val="172"/>
                <c:pt idx="0">
                  <c:v>245.42500000000001</c:v>
                </c:pt>
                <c:pt idx="1">
                  <c:v>610.45000000000005</c:v>
                </c:pt>
                <c:pt idx="3">
                  <c:v>283.46800000000002</c:v>
                </c:pt>
                <c:pt idx="4">
                  <c:v>575.20000000000005</c:v>
                </c:pt>
                <c:pt idx="5">
                  <c:v>384.34423076923082</c:v>
                </c:pt>
                <c:pt idx="6">
                  <c:v>400.125</c:v>
                </c:pt>
                <c:pt idx="8">
                  <c:v>617.41538461538448</c:v>
                </c:pt>
                <c:pt idx="9">
                  <c:v>604.23269230769233</c:v>
                </c:pt>
                <c:pt idx="10">
                  <c:v>461.49807692307695</c:v>
                </c:pt>
                <c:pt idx="11">
                  <c:v>470.65769230769234</c:v>
                </c:pt>
                <c:pt idx="12">
                  <c:v>271.85000000000002</c:v>
                </c:pt>
                <c:pt idx="13">
                  <c:v>495.85769230769228</c:v>
                </c:pt>
                <c:pt idx="14">
                  <c:v>578.58461538461529</c:v>
                </c:pt>
                <c:pt idx="15">
                  <c:v>490.52692307692308</c:v>
                </c:pt>
                <c:pt idx="16">
                  <c:v>476.77962962962954</c:v>
                </c:pt>
                <c:pt idx="17">
                  <c:v>446.4</c:v>
                </c:pt>
                <c:pt idx="18">
                  <c:v>384.1185185185185</c:v>
                </c:pt>
                <c:pt idx="19">
                  <c:v>141.56296296296296</c:v>
                </c:pt>
                <c:pt idx="20">
                  <c:v>280.62407407407414</c:v>
                </c:pt>
                <c:pt idx="21">
                  <c:v>218.60185185185188</c:v>
                </c:pt>
                <c:pt idx="22">
                  <c:v>604.09259259259261</c:v>
                </c:pt>
                <c:pt idx="23">
                  <c:v>540.62222222222226</c:v>
                </c:pt>
                <c:pt idx="24">
                  <c:v>534.87777777777785</c:v>
                </c:pt>
                <c:pt idx="25">
                  <c:v>420.70370370370358</c:v>
                </c:pt>
                <c:pt idx="26">
                  <c:v>535.15740740740739</c:v>
                </c:pt>
                <c:pt idx="27">
                  <c:v>548.65925925925933</c:v>
                </c:pt>
                <c:pt idx="28">
                  <c:v>218.57222222222222</c:v>
                </c:pt>
                <c:pt idx="29">
                  <c:v>184.89074074074071</c:v>
                </c:pt>
                <c:pt idx="30">
                  <c:v>491.06666666666672</c:v>
                </c:pt>
                <c:pt idx="31">
                  <c:v>574.20925925925928</c:v>
                </c:pt>
                <c:pt idx="32">
                  <c:v>589.68888888888887</c:v>
                </c:pt>
                <c:pt idx="33">
                  <c:v>578.72037037037035</c:v>
                </c:pt>
                <c:pt idx="34">
                  <c:v>458.4166666666668</c:v>
                </c:pt>
                <c:pt idx="35">
                  <c:v>482.85370370370373</c:v>
                </c:pt>
                <c:pt idx="36">
                  <c:v>542.82592592592584</c:v>
                </c:pt>
                <c:pt idx="37">
                  <c:v>394.46111111111099</c:v>
                </c:pt>
                <c:pt idx="38">
                  <c:v>551.40555555555568</c:v>
                </c:pt>
                <c:pt idx="39">
                  <c:v>571.39444444444439</c:v>
                </c:pt>
                <c:pt idx="40">
                  <c:v>385.38888888888903</c:v>
                </c:pt>
                <c:pt idx="41">
                  <c:v>564.12777777777762</c:v>
                </c:pt>
                <c:pt idx="42">
                  <c:v>557.79444444444448</c:v>
                </c:pt>
                <c:pt idx="43">
                  <c:v>585.42222222222222</c:v>
                </c:pt>
                <c:pt idx="44">
                  <c:v>535.51111111111118</c:v>
                </c:pt>
                <c:pt idx="45">
                  <c:v>580.21296296296293</c:v>
                </c:pt>
                <c:pt idx="46">
                  <c:v>468.12777777777774</c:v>
                </c:pt>
                <c:pt idx="47">
                  <c:v>502.25555555555547</c:v>
                </c:pt>
                <c:pt idx="48">
                  <c:v>528.07222222222219</c:v>
                </c:pt>
                <c:pt idx="49">
                  <c:v>451.80555555555554</c:v>
                </c:pt>
                <c:pt idx="50">
                  <c:v>471.20555555555546</c:v>
                </c:pt>
                <c:pt idx="51">
                  <c:v>552.12407407407397</c:v>
                </c:pt>
                <c:pt idx="52">
                  <c:v>439.8</c:v>
                </c:pt>
                <c:pt idx="53">
                  <c:v>575.27407407407418</c:v>
                </c:pt>
                <c:pt idx="54">
                  <c:v>556.98333333333346</c:v>
                </c:pt>
                <c:pt idx="55">
                  <c:v>426.42777777777781</c:v>
                </c:pt>
                <c:pt idx="56">
                  <c:v>407.23214285714283</c:v>
                </c:pt>
                <c:pt idx="57">
                  <c:v>528.41071428571422</c:v>
                </c:pt>
                <c:pt idx="61">
                  <c:v>508.69196428571422</c:v>
                </c:pt>
                <c:pt idx="66">
                  <c:v>488.97321428571428</c:v>
                </c:pt>
                <c:pt idx="67">
                  <c:v>476.86964285714288</c:v>
                </c:pt>
                <c:pt idx="68">
                  <c:v>476.86964285714288</c:v>
                </c:pt>
                <c:pt idx="75">
                  <c:v>362.99017857142854</c:v>
                </c:pt>
                <c:pt idx="78">
                  <c:v>249.11071428571424</c:v>
                </c:pt>
                <c:pt idx="81">
                  <c:v>501.27499999999998</c:v>
                </c:pt>
                <c:pt idx="82">
                  <c:v>284.58571428571429</c:v>
                </c:pt>
                <c:pt idx="83">
                  <c:v>193.65535714285716</c:v>
                </c:pt>
                <c:pt idx="84">
                  <c:v>71.619642857142864</c:v>
                </c:pt>
                <c:pt idx="85">
                  <c:v>133.78749999999999</c:v>
                </c:pt>
                <c:pt idx="86">
                  <c:v>333.76249999999999</c:v>
                </c:pt>
                <c:pt idx="87">
                  <c:v>227.92857142857139</c:v>
                </c:pt>
                <c:pt idx="88">
                  <c:v>529.60714285714289</c:v>
                </c:pt>
                <c:pt idx="89">
                  <c:v>376.24821428571431</c:v>
                </c:pt>
                <c:pt idx="90">
                  <c:v>132.31071428571428</c:v>
                </c:pt>
                <c:pt idx="91">
                  <c:v>505.04642857142863</c:v>
                </c:pt>
                <c:pt idx="92">
                  <c:v>334.93035714285719</c:v>
                </c:pt>
                <c:pt idx="93">
                  <c:v>411.53571428571422</c:v>
                </c:pt>
                <c:pt idx="94">
                  <c:v>344.10357142857134</c:v>
                </c:pt>
                <c:pt idx="95">
                  <c:v>447.16250000000002</c:v>
                </c:pt>
                <c:pt idx="96">
                  <c:v>537.72142857142865</c:v>
                </c:pt>
                <c:pt idx="97">
                  <c:v>509.34642857142853</c:v>
                </c:pt>
                <c:pt idx="98">
                  <c:v>306.79464285714295</c:v>
                </c:pt>
                <c:pt idx="99">
                  <c:v>335.06428571428563</c:v>
                </c:pt>
                <c:pt idx="100">
                  <c:v>228.90892857142859</c:v>
                </c:pt>
                <c:pt idx="101">
                  <c:v>172.13571428571427</c:v>
                </c:pt>
                <c:pt idx="102">
                  <c:v>455.27499999999998</c:v>
                </c:pt>
                <c:pt idx="103">
                  <c:v>318.89999999999998</c:v>
                </c:pt>
                <c:pt idx="104">
                  <c:v>454.5</c:v>
                </c:pt>
                <c:pt idx="105">
                  <c:v>476.63333333333327</c:v>
                </c:pt>
                <c:pt idx="106">
                  <c:v>180.44444444444446</c:v>
                </c:pt>
                <c:pt idx="107">
                  <c:v>393.08703703703719</c:v>
                </c:pt>
                <c:pt idx="108">
                  <c:v>499.53518518518507</c:v>
                </c:pt>
                <c:pt idx="109">
                  <c:v>548.24444444444453</c:v>
                </c:pt>
                <c:pt idx="110">
                  <c:v>298.3518518518519</c:v>
                </c:pt>
                <c:pt idx="111">
                  <c:v>209.09259259259258</c:v>
                </c:pt>
                <c:pt idx="112">
                  <c:v>534.21851851851852</c:v>
                </c:pt>
                <c:pt idx="113">
                  <c:v>448.43518518518528</c:v>
                </c:pt>
                <c:pt idx="114">
                  <c:v>456.66296296296315</c:v>
                </c:pt>
                <c:pt idx="115">
                  <c:v>459.10925925925909</c:v>
                </c:pt>
                <c:pt idx="116">
                  <c:v>430.2961538461538</c:v>
                </c:pt>
                <c:pt idx="117">
                  <c:v>530.82307692307688</c:v>
                </c:pt>
                <c:pt idx="118">
                  <c:v>435.38846153846157</c:v>
                </c:pt>
                <c:pt idx="119">
                  <c:v>543.05769230769238</c:v>
                </c:pt>
                <c:pt idx="120">
                  <c:v>501.125</c:v>
                </c:pt>
                <c:pt idx="121">
                  <c:v>536.5403846153846</c:v>
                </c:pt>
                <c:pt idx="122">
                  <c:v>425.04807692307691</c:v>
                </c:pt>
                <c:pt idx="123">
                  <c:v>252.21538461538461</c:v>
                </c:pt>
                <c:pt idx="124">
                  <c:v>381.45</c:v>
                </c:pt>
                <c:pt idx="125">
                  <c:v>351.74230769230769</c:v>
                </c:pt>
                <c:pt idx="126">
                  <c:v>151.88846153846151</c:v>
                </c:pt>
                <c:pt idx="127">
                  <c:v>51.1</c:v>
                </c:pt>
                <c:pt idx="128">
                  <c:v>115.7173076923077</c:v>
                </c:pt>
                <c:pt idx="129">
                  <c:v>535.36538461538453</c:v>
                </c:pt>
                <c:pt idx="130">
                  <c:v>248.79423076923075</c:v>
                </c:pt>
                <c:pt idx="131">
                  <c:v>505.32115384615378</c:v>
                </c:pt>
                <c:pt idx="132">
                  <c:v>479.0961538461537</c:v>
                </c:pt>
                <c:pt idx="133">
                  <c:v>51.890384615384619</c:v>
                </c:pt>
                <c:pt idx="134">
                  <c:v>104.14230769230768</c:v>
                </c:pt>
                <c:pt idx="135">
                  <c:v>309.80576923076922</c:v>
                </c:pt>
                <c:pt idx="136">
                  <c:v>545.23846153846159</c:v>
                </c:pt>
                <c:pt idx="137">
                  <c:v>553.47307692307686</c:v>
                </c:pt>
                <c:pt idx="138">
                  <c:v>557.58199999999988</c:v>
                </c:pt>
                <c:pt idx="139">
                  <c:v>541.61799999999994</c:v>
                </c:pt>
                <c:pt idx="140">
                  <c:v>476.03800000000001</c:v>
                </c:pt>
                <c:pt idx="141">
                  <c:v>379.38200000000006</c:v>
                </c:pt>
                <c:pt idx="142">
                  <c:v>431.68</c:v>
                </c:pt>
                <c:pt idx="143">
                  <c:v>368.19400000000002</c:v>
                </c:pt>
                <c:pt idx="144">
                  <c:v>313.34799999999996</c:v>
                </c:pt>
                <c:pt idx="145">
                  <c:v>509.60200000000003</c:v>
                </c:pt>
                <c:pt idx="146">
                  <c:v>539.54</c:v>
                </c:pt>
                <c:pt idx="147">
                  <c:v>498.16</c:v>
                </c:pt>
                <c:pt idx="148">
                  <c:v>518.11799999999994</c:v>
                </c:pt>
                <c:pt idx="149">
                  <c:v>531.91</c:v>
                </c:pt>
                <c:pt idx="150">
                  <c:v>523.12</c:v>
                </c:pt>
                <c:pt idx="151">
                  <c:v>510.95</c:v>
                </c:pt>
                <c:pt idx="152">
                  <c:v>541.01199999999994</c:v>
                </c:pt>
                <c:pt idx="153">
                  <c:v>528.61599999999999</c:v>
                </c:pt>
                <c:pt idx="154">
                  <c:v>515.05399999999997</c:v>
                </c:pt>
                <c:pt idx="155">
                  <c:v>490.06799999999987</c:v>
                </c:pt>
                <c:pt idx="156">
                  <c:v>519.154</c:v>
                </c:pt>
                <c:pt idx="157">
                  <c:v>462.42400000000009</c:v>
                </c:pt>
                <c:pt idx="158">
                  <c:v>448.42</c:v>
                </c:pt>
                <c:pt idx="159">
                  <c:v>351.86400000000003</c:v>
                </c:pt>
                <c:pt idx="160">
                  <c:v>486.27800000000008</c:v>
                </c:pt>
                <c:pt idx="161">
                  <c:v>493.34399999999999</c:v>
                </c:pt>
                <c:pt idx="162">
                  <c:v>112.294</c:v>
                </c:pt>
                <c:pt idx="163">
                  <c:v>177.73124999999999</c:v>
                </c:pt>
                <c:pt idx="164">
                  <c:v>424.29374999999999</c:v>
                </c:pt>
                <c:pt idx="165">
                  <c:v>186.84791666666663</c:v>
                </c:pt>
                <c:pt idx="166">
                  <c:v>494.86041666666671</c:v>
                </c:pt>
                <c:pt idx="167">
                  <c:v>477.40652173913037</c:v>
                </c:pt>
                <c:pt idx="168">
                  <c:v>561.20434782608697</c:v>
                </c:pt>
                <c:pt idx="169">
                  <c:v>550.13043478260875</c:v>
                </c:pt>
                <c:pt idx="170">
                  <c:v>487.85</c:v>
                </c:pt>
                <c:pt idx="171">
                  <c:v>336.94347826086954</c:v>
                </c:pt>
              </c:numCache>
            </c:numRef>
          </c:yVal>
          <c:smooth val="0"/>
          <c:extLst>
            <c:ext xmlns:c16="http://schemas.microsoft.com/office/drawing/2014/chart" uri="{C3380CC4-5D6E-409C-BE32-E72D297353CC}">
              <c16:uniqueId val="{00000000-5039-4315-BF34-A29F93BE8CFF}"/>
            </c:ext>
          </c:extLst>
        </c:ser>
        <c:ser>
          <c:idx val="1"/>
          <c:order val="1"/>
          <c:tx>
            <c:v>Channel</c:v>
          </c:tx>
          <c:spPr>
            <a:ln w="28575">
              <a:noFill/>
            </a:ln>
          </c:spPr>
          <c:marker>
            <c:symbol val="circle"/>
            <c:size val="5"/>
            <c:spPr>
              <a:solidFill>
                <a:srgbClr val="000000"/>
              </a:solidFill>
              <a:ln>
                <a:solidFill>
                  <a:srgbClr val="000000"/>
                </a:solidFill>
                <a:prstDash val="solid"/>
              </a:ln>
            </c:spPr>
          </c:marker>
          <c:xVal>
            <c:numRef>
              <c:f>'SP01'!$A$3:$A$174</c:f>
              <c:numCache>
                <c:formatCode>[$-409]d\-mmm;@</c:formatCode>
                <c:ptCount val="172"/>
                <c:pt idx="0">
                  <c:v>41376</c:v>
                </c:pt>
                <c:pt idx="1">
                  <c:v>41377</c:v>
                </c:pt>
                <c:pt idx="2">
                  <c:v>41378</c:v>
                </c:pt>
                <c:pt idx="3">
                  <c:v>41379</c:v>
                </c:pt>
                <c:pt idx="4">
                  <c:v>41380</c:v>
                </c:pt>
                <c:pt idx="5">
                  <c:v>41381</c:v>
                </c:pt>
                <c:pt idx="6">
                  <c:v>41382</c:v>
                </c:pt>
                <c:pt idx="7">
                  <c:v>41383</c:v>
                </c:pt>
                <c:pt idx="8">
                  <c:v>41384</c:v>
                </c:pt>
                <c:pt idx="9">
                  <c:v>41385</c:v>
                </c:pt>
                <c:pt idx="10">
                  <c:v>41386</c:v>
                </c:pt>
                <c:pt idx="11">
                  <c:v>41387</c:v>
                </c:pt>
                <c:pt idx="12">
                  <c:v>41388</c:v>
                </c:pt>
                <c:pt idx="13">
                  <c:v>41389</c:v>
                </c:pt>
                <c:pt idx="14">
                  <c:v>41390</c:v>
                </c:pt>
                <c:pt idx="15">
                  <c:v>41391</c:v>
                </c:pt>
                <c:pt idx="16">
                  <c:v>41392</c:v>
                </c:pt>
                <c:pt idx="17">
                  <c:v>41393</c:v>
                </c:pt>
                <c:pt idx="18">
                  <c:v>41394</c:v>
                </c:pt>
                <c:pt idx="19">
                  <c:v>41395</c:v>
                </c:pt>
                <c:pt idx="20">
                  <c:v>41396</c:v>
                </c:pt>
                <c:pt idx="21">
                  <c:v>41397</c:v>
                </c:pt>
                <c:pt idx="22">
                  <c:v>41398</c:v>
                </c:pt>
                <c:pt idx="23">
                  <c:v>41399</c:v>
                </c:pt>
                <c:pt idx="24">
                  <c:v>41400</c:v>
                </c:pt>
                <c:pt idx="25">
                  <c:v>41401</c:v>
                </c:pt>
                <c:pt idx="26">
                  <c:v>41402</c:v>
                </c:pt>
                <c:pt idx="27">
                  <c:v>41403</c:v>
                </c:pt>
                <c:pt idx="28">
                  <c:v>41404</c:v>
                </c:pt>
                <c:pt idx="29">
                  <c:v>41405</c:v>
                </c:pt>
                <c:pt idx="30">
                  <c:v>41406</c:v>
                </c:pt>
                <c:pt idx="31">
                  <c:v>41407</c:v>
                </c:pt>
                <c:pt idx="32">
                  <c:v>41408</c:v>
                </c:pt>
                <c:pt idx="33">
                  <c:v>41409</c:v>
                </c:pt>
                <c:pt idx="34">
                  <c:v>41410</c:v>
                </c:pt>
                <c:pt idx="35">
                  <c:v>41411</c:v>
                </c:pt>
                <c:pt idx="36">
                  <c:v>41412</c:v>
                </c:pt>
                <c:pt idx="37">
                  <c:v>41413</c:v>
                </c:pt>
                <c:pt idx="38">
                  <c:v>41414</c:v>
                </c:pt>
                <c:pt idx="39">
                  <c:v>41415</c:v>
                </c:pt>
                <c:pt idx="40">
                  <c:v>41416</c:v>
                </c:pt>
                <c:pt idx="41">
                  <c:v>41417</c:v>
                </c:pt>
                <c:pt idx="42">
                  <c:v>41418</c:v>
                </c:pt>
                <c:pt idx="43">
                  <c:v>41419</c:v>
                </c:pt>
                <c:pt idx="44">
                  <c:v>41420</c:v>
                </c:pt>
                <c:pt idx="45">
                  <c:v>41421</c:v>
                </c:pt>
                <c:pt idx="46">
                  <c:v>41422</c:v>
                </c:pt>
                <c:pt idx="47">
                  <c:v>41423</c:v>
                </c:pt>
                <c:pt idx="48">
                  <c:v>41424</c:v>
                </c:pt>
                <c:pt idx="49">
                  <c:v>41425</c:v>
                </c:pt>
                <c:pt idx="50">
                  <c:v>41426</c:v>
                </c:pt>
                <c:pt idx="51">
                  <c:v>41427</c:v>
                </c:pt>
                <c:pt idx="52">
                  <c:v>41428</c:v>
                </c:pt>
                <c:pt idx="53">
                  <c:v>41429</c:v>
                </c:pt>
                <c:pt idx="54">
                  <c:v>41430</c:v>
                </c:pt>
                <c:pt idx="55">
                  <c:v>41431</c:v>
                </c:pt>
                <c:pt idx="56">
                  <c:v>41432</c:v>
                </c:pt>
                <c:pt idx="57">
                  <c:v>41433</c:v>
                </c:pt>
                <c:pt idx="58">
                  <c:v>41434</c:v>
                </c:pt>
                <c:pt idx="59">
                  <c:v>41435</c:v>
                </c:pt>
                <c:pt idx="60">
                  <c:v>41436</c:v>
                </c:pt>
                <c:pt idx="61">
                  <c:v>41437</c:v>
                </c:pt>
                <c:pt idx="62">
                  <c:v>41438</c:v>
                </c:pt>
                <c:pt idx="63">
                  <c:v>41439</c:v>
                </c:pt>
                <c:pt idx="64">
                  <c:v>41440</c:v>
                </c:pt>
                <c:pt idx="65">
                  <c:v>41441</c:v>
                </c:pt>
                <c:pt idx="66">
                  <c:v>41442</c:v>
                </c:pt>
                <c:pt idx="67">
                  <c:v>41443</c:v>
                </c:pt>
                <c:pt idx="68">
                  <c:v>41444</c:v>
                </c:pt>
                <c:pt idx="69">
                  <c:v>41445</c:v>
                </c:pt>
                <c:pt idx="70">
                  <c:v>41446</c:v>
                </c:pt>
                <c:pt idx="71">
                  <c:v>41447</c:v>
                </c:pt>
                <c:pt idx="72">
                  <c:v>41448</c:v>
                </c:pt>
                <c:pt idx="73">
                  <c:v>41449</c:v>
                </c:pt>
                <c:pt idx="74">
                  <c:v>41450</c:v>
                </c:pt>
                <c:pt idx="75">
                  <c:v>41451</c:v>
                </c:pt>
                <c:pt idx="76">
                  <c:v>41452</c:v>
                </c:pt>
                <c:pt idx="77">
                  <c:v>41453</c:v>
                </c:pt>
                <c:pt idx="78">
                  <c:v>41454</c:v>
                </c:pt>
                <c:pt idx="79">
                  <c:v>41455</c:v>
                </c:pt>
                <c:pt idx="80">
                  <c:v>41456</c:v>
                </c:pt>
                <c:pt idx="81">
                  <c:v>41457</c:v>
                </c:pt>
                <c:pt idx="82">
                  <c:v>41458</c:v>
                </c:pt>
                <c:pt idx="83">
                  <c:v>41459</c:v>
                </c:pt>
                <c:pt idx="84">
                  <c:v>41460</c:v>
                </c:pt>
                <c:pt idx="85">
                  <c:v>41461</c:v>
                </c:pt>
                <c:pt idx="86">
                  <c:v>41462</c:v>
                </c:pt>
                <c:pt idx="87">
                  <c:v>41463</c:v>
                </c:pt>
                <c:pt idx="88">
                  <c:v>41464</c:v>
                </c:pt>
                <c:pt idx="89">
                  <c:v>41465</c:v>
                </c:pt>
                <c:pt idx="90">
                  <c:v>41466</c:v>
                </c:pt>
                <c:pt idx="91">
                  <c:v>41467</c:v>
                </c:pt>
                <c:pt idx="92">
                  <c:v>41468</c:v>
                </c:pt>
                <c:pt idx="93">
                  <c:v>41469</c:v>
                </c:pt>
                <c:pt idx="94">
                  <c:v>41470</c:v>
                </c:pt>
                <c:pt idx="95">
                  <c:v>41471</c:v>
                </c:pt>
                <c:pt idx="96">
                  <c:v>41472</c:v>
                </c:pt>
                <c:pt idx="97">
                  <c:v>41473</c:v>
                </c:pt>
                <c:pt idx="98">
                  <c:v>41474</c:v>
                </c:pt>
                <c:pt idx="99">
                  <c:v>41475</c:v>
                </c:pt>
                <c:pt idx="100">
                  <c:v>41476</c:v>
                </c:pt>
                <c:pt idx="101">
                  <c:v>41477</c:v>
                </c:pt>
                <c:pt idx="102">
                  <c:v>41478</c:v>
                </c:pt>
                <c:pt idx="103">
                  <c:v>41479</c:v>
                </c:pt>
                <c:pt idx="104">
                  <c:v>41480</c:v>
                </c:pt>
                <c:pt idx="105">
                  <c:v>41481</c:v>
                </c:pt>
                <c:pt idx="106">
                  <c:v>41482</c:v>
                </c:pt>
                <c:pt idx="107">
                  <c:v>41483</c:v>
                </c:pt>
                <c:pt idx="108">
                  <c:v>41484</c:v>
                </c:pt>
                <c:pt idx="109">
                  <c:v>41485</c:v>
                </c:pt>
                <c:pt idx="110">
                  <c:v>41486</c:v>
                </c:pt>
                <c:pt idx="111">
                  <c:v>41487</c:v>
                </c:pt>
                <c:pt idx="112">
                  <c:v>41488</c:v>
                </c:pt>
                <c:pt idx="113">
                  <c:v>41489</c:v>
                </c:pt>
                <c:pt idx="114">
                  <c:v>41490</c:v>
                </c:pt>
                <c:pt idx="115">
                  <c:v>41491</c:v>
                </c:pt>
                <c:pt idx="116">
                  <c:v>41492</c:v>
                </c:pt>
                <c:pt idx="117">
                  <c:v>41493</c:v>
                </c:pt>
                <c:pt idx="118">
                  <c:v>41494</c:v>
                </c:pt>
                <c:pt idx="119">
                  <c:v>41495</c:v>
                </c:pt>
                <c:pt idx="120">
                  <c:v>41496</c:v>
                </c:pt>
                <c:pt idx="121">
                  <c:v>41497</c:v>
                </c:pt>
                <c:pt idx="122">
                  <c:v>41498</c:v>
                </c:pt>
                <c:pt idx="123">
                  <c:v>41499</c:v>
                </c:pt>
                <c:pt idx="124">
                  <c:v>41500</c:v>
                </c:pt>
                <c:pt idx="125">
                  <c:v>41501</c:v>
                </c:pt>
                <c:pt idx="126">
                  <c:v>41502</c:v>
                </c:pt>
                <c:pt idx="127">
                  <c:v>41503</c:v>
                </c:pt>
                <c:pt idx="128">
                  <c:v>41504</c:v>
                </c:pt>
                <c:pt idx="129">
                  <c:v>41505</c:v>
                </c:pt>
                <c:pt idx="130">
                  <c:v>41506</c:v>
                </c:pt>
                <c:pt idx="131">
                  <c:v>41507</c:v>
                </c:pt>
                <c:pt idx="132">
                  <c:v>41508</c:v>
                </c:pt>
                <c:pt idx="133">
                  <c:v>41509</c:v>
                </c:pt>
                <c:pt idx="134">
                  <c:v>41510</c:v>
                </c:pt>
                <c:pt idx="135">
                  <c:v>41511</c:v>
                </c:pt>
                <c:pt idx="136">
                  <c:v>41512</c:v>
                </c:pt>
                <c:pt idx="137">
                  <c:v>41513</c:v>
                </c:pt>
                <c:pt idx="138">
                  <c:v>41514</c:v>
                </c:pt>
                <c:pt idx="139">
                  <c:v>41515</c:v>
                </c:pt>
                <c:pt idx="140">
                  <c:v>41516</c:v>
                </c:pt>
                <c:pt idx="141">
                  <c:v>41517</c:v>
                </c:pt>
                <c:pt idx="142">
                  <c:v>41518</c:v>
                </c:pt>
                <c:pt idx="143">
                  <c:v>41519</c:v>
                </c:pt>
                <c:pt idx="144">
                  <c:v>41520</c:v>
                </c:pt>
                <c:pt idx="145">
                  <c:v>41521</c:v>
                </c:pt>
                <c:pt idx="146">
                  <c:v>41522</c:v>
                </c:pt>
                <c:pt idx="147">
                  <c:v>41523</c:v>
                </c:pt>
                <c:pt idx="148">
                  <c:v>41524</c:v>
                </c:pt>
                <c:pt idx="149">
                  <c:v>41525</c:v>
                </c:pt>
                <c:pt idx="150">
                  <c:v>41526</c:v>
                </c:pt>
                <c:pt idx="151">
                  <c:v>41527</c:v>
                </c:pt>
                <c:pt idx="152">
                  <c:v>41528</c:v>
                </c:pt>
                <c:pt idx="153">
                  <c:v>41529</c:v>
                </c:pt>
                <c:pt idx="154">
                  <c:v>41530</c:v>
                </c:pt>
                <c:pt idx="155">
                  <c:v>41531</c:v>
                </c:pt>
                <c:pt idx="156">
                  <c:v>41532</c:v>
                </c:pt>
                <c:pt idx="157">
                  <c:v>41533</c:v>
                </c:pt>
                <c:pt idx="158">
                  <c:v>41534</c:v>
                </c:pt>
                <c:pt idx="159">
                  <c:v>41535</c:v>
                </c:pt>
                <c:pt idx="160">
                  <c:v>41536</c:v>
                </c:pt>
                <c:pt idx="161">
                  <c:v>41537</c:v>
                </c:pt>
                <c:pt idx="162">
                  <c:v>41538</c:v>
                </c:pt>
                <c:pt idx="163">
                  <c:v>41539</c:v>
                </c:pt>
                <c:pt idx="164">
                  <c:v>41540</c:v>
                </c:pt>
                <c:pt idx="165">
                  <c:v>41541</c:v>
                </c:pt>
                <c:pt idx="166">
                  <c:v>41542</c:v>
                </c:pt>
                <c:pt idx="167">
                  <c:v>41543</c:v>
                </c:pt>
                <c:pt idx="168">
                  <c:v>41544</c:v>
                </c:pt>
                <c:pt idx="169">
                  <c:v>41545</c:v>
                </c:pt>
                <c:pt idx="170">
                  <c:v>41546</c:v>
                </c:pt>
                <c:pt idx="171">
                  <c:v>41547</c:v>
                </c:pt>
              </c:numCache>
            </c:numRef>
          </c:xVal>
          <c:yVal>
            <c:numRef>
              <c:f>'SP01'!$V$3:$V$174</c:f>
              <c:numCache>
                <c:formatCode>0</c:formatCode>
                <c:ptCount val="172"/>
                <c:pt idx="0">
                  <c:v>245.42500000000001</c:v>
                </c:pt>
                <c:pt idx="1">
                  <c:v>610.45000000000005</c:v>
                </c:pt>
                <c:pt idx="3">
                  <c:v>283.46800000000002</c:v>
                </c:pt>
                <c:pt idx="4">
                  <c:v>575.20000000000005</c:v>
                </c:pt>
                <c:pt idx="5">
                  <c:v>384.34423076923082</c:v>
                </c:pt>
                <c:pt idx="6">
                  <c:v>400.125</c:v>
                </c:pt>
                <c:pt idx="8">
                  <c:v>617.41538461538448</c:v>
                </c:pt>
                <c:pt idx="9">
                  <c:v>604.23269230769233</c:v>
                </c:pt>
                <c:pt idx="10">
                  <c:v>461.49807692307695</c:v>
                </c:pt>
                <c:pt idx="11">
                  <c:v>470.65769230769234</c:v>
                </c:pt>
                <c:pt idx="12">
                  <c:v>271.85000000000002</c:v>
                </c:pt>
                <c:pt idx="13">
                  <c:v>495.85769230769228</c:v>
                </c:pt>
                <c:pt idx="14">
                  <c:v>578.58461538461529</c:v>
                </c:pt>
                <c:pt idx="15">
                  <c:v>490.52692307692308</c:v>
                </c:pt>
                <c:pt idx="16">
                  <c:v>476.77962962962954</c:v>
                </c:pt>
                <c:pt idx="17">
                  <c:v>446.4</c:v>
                </c:pt>
                <c:pt idx="18">
                  <c:v>384.1185185185185</c:v>
                </c:pt>
                <c:pt idx="19">
                  <c:v>141.56296296296296</c:v>
                </c:pt>
                <c:pt idx="20">
                  <c:v>280.62407407407414</c:v>
                </c:pt>
                <c:pt idx="21">
                  <c:v>218.60185185185188</c:v>
                </c:pt>
                <c:pt idx="22">
                  <c:v>604.09259259259261</c:v>
                </c:pt>
                <c:pt idx="23">
                  <c:v>540.62222222222226</c:v>
                </c:pt>
                <c:pt idx="24">
                  <c:v>534.87777777777785</c:v>
                </c:pt>
                <c:pt idx="25">
                  <c:v>420.70370370370358</c:v>
                </c:pt>
                <c:pt idx="26">
                  <c:v>535.15740740740739</c:v>
                </c:pt>
                <c:pt idx="27">
                  <c:v>548.65925925925933</c:v>
                </c:pt>
                <c:pt idx="28">
                  <c:v>218.57222222222222</c:v>
                </c:pt>
                <c:pt idx="29">
                  <c:v>184.89074074074071</c:v>
                </c:pt>
                <c:pt idx="30">
                  <c:v>491.06666666666672</c:v>
                </c:pt>
                <c:pt idx="31">
                  <c:v>574.20925925925928</c:v>
                </c:pt>
                <c:pt idx="32">
                  <c:v>589.68888888888887</c:v>
                </c:pt>
                <c:pt idx="33">
                  <c:v>578.72037037037035</c:v>
                </c:pt>
                <c:pt idx="34">
                  <c:v>458.4166666666668</c:v>
                </c:pt>
                <c:pt idx="35">
                  <c:v>482.85370370370373</c:v>
                </c:pt>
                <c:pt idx="36">
                  <c:v>542.82592592592584</c:v>
                </c:pt>
                <c:pt idx="37">
                  <c:v>394.46111111111099</c:v>
                </c:pt>
                <c:pt idx="38">
                  <c:v>551.40555555555568</c:v>
                </c:pt>
                <c:pt idx="39">
                  <c:v>571.39444444444439</c:v>
                </c:pt>
                <c:pt idx="40">
                  <c:v>385.38888888888903</c:v>
                </c:pt>
                <c:pt idx="41">
                  <c:v>564.12777777777762</c:v>
                </c:pt>
                <c:pt idx="42">
                  <c:v>557.79444444444448</c:v>
                </c:pt>
                <c:pt idx="43">
                  <c:v>585.42222222222222</c:v>
                </c:pt>
                <c:pt idx="44">
                  <c:v>535.51111111111118</c:v>
                </c:pt>
                <c:pt idx="45">
                  <c:v>580.21296296296293</c:v>
                </c:pt>
                <c:pt idx="46">
                  <c:v>468.12777777777774</c:v>
                </c:pt>
                <c:pt idx="47">
                  <c:v>502.25555555555547</c:v>
                </c:pt>
                <c:pt idx="48">
                  <c:v>528.07222222222219</c:v>
                </c:pt>
                <c:pt idx="49">
                  <c:v>451.80555555555554</c:v>
                </c:pt>
                <c:pt idx="50">
                  <c:v>471.20555555555546</c:v>
                </c:pt>
                <c:pt idx="51">
                  <c:v>552.12407407407397</c:v>
                </c:pt>
                <c:pt idx="52">
                  <c:v>439.8</c:v>
                </c:pt>
                <c:pt idx="53">
                  <c:v>575.27407407407418</c:v>
                </c:pt>
                <c:pt idx="54">
                  <c:v>556.98333333333346</c:v>
                </c:pt>
                <c:pt idx="55">
                  <c:v>426.42777777777781</c:v>
                </c:pt>
                <c:pt idx="56">
                  <c:v>407.23214285714283</c:v>
                </c:pt>
                <c:pt idx="57">
                  <c:v>528.41071428571422</c:v>
                </c:pt>
                <c:pt idx="61">
                  <c:v>508.69196428571422</c:v>
                </c:pt>
                <c:pt idx="66">
                  <c:v>488.97321428571428</c:v>
                </c:pt>
                <c:pt idx="67">
                  <c:v>476.86964285714288</c:v>
                </c:pt>
                <c:pt idx="68">
                  <c:v>476.86964285714288</c:v>
                </c:pt>
                <c:pt idx="75">
                  <c:v>362.99017857142854</c:v>
                </c:pt>
                <c:pt idx="78">
                  <c:v>249.11071428571424</c:v>
                </c:pt>
                <c:pt idx="81">
                  <c:v>501.27499999999998</c:v>
                </c:pt>
                <c:pt idx="82">
                  <c:v>284.58571428571429</c:v>
                </c:pt>
                <c:pt idx="83">
                  <c:v>193.65535714285716</c:v>
                </c:pt>
                <c:pt idx="84">
                  <c:v>71.619642857142864</c:v>
                </c:pt>
                <c:pt idx="85">
                  <c:v>133.78749999999999</c:v>
                </c:pt>
                <c:pt idx="86">
                  <c:v>333.76249999999999</c:v>
                </c:pt>
                <c:pt idx="87">
                  <c:v>227.92857142857139</c:v>
                </c:pt>
                <c:pt idx="88">
                  <c:v>529.60714285714289</c:v>
                </c:pt>
                <c:pt idx="89">
                  <c:v>376.24821428571431</c:v>
                </c:pt>
                <c:pt idx="90">
                  <c:v>132.31071428571428</c:v>
                </c:pt>
                <c:pt idx="91">
                  <c:v>505.04642857142863</c:v>
                </c:pt>
                <c:pt idx="92">
                  <c:v>334.93035714285719</c:v>
                </c:pt>
                <c:pt idx="93">
                  <c:v>411.53571428571422</c:v>
                </c:pt>
                <c:pt idx="94">
                  <c:v>344.10357142857134</c:v>
                </c:pt>
                <c:pt idx="95">
                  <c:v>447.16250000000002</c:v>
                </c:pt>
                <c:pt idx="96">
                  <c:v>537.72142857142865</c:v>
                </c:pt>
                <c:pt idx="97">
                  <c:v>509.34642857142853</c:v>
                </c:pt>
                <c:pt idx="98">
                  <c:v>306.79464285714295</c:v>
                </c:pt>
                <c:pt idx="99">
                  <c:v>335.06428571428563</c:v>
                </c:pt>
                <c:pt idx="100">
                  <c:v>228.90892857142859</c:v>
                </c:pt>
                <c:pt idx="101">
                  <c:v>172.13571428571427</c:v>
                </c:pt>
                <c:pt idx="102">
                  <c:v>455.27499999999998</c:v>
                </c:pt>
                <c:pt idx="103">
                  <c:v>318.89999999999998</c:v>
                </c:pt>
                <c:pt idx="104">
                  <c:v>454.5</c:v>
                </c:pt>
                <c:pt idx="105">
                  <c:v>476.63333333333327</c:v>
                </c:pt>
                <c:pt idx="106">
                  <c:v>180.44444444444446</c:v>
                </c:pt>
                <c:pt idx="107">
                  <c:v>393.08703703703719</c:v>
                </c:pt>
                <c:pt idx="108">
                  <c:v>499.53518518518507</c:v>
                </c:pt>
                <c:pt idx="109">
                  <c:v>548.24444444444453</c:v>
                </c:pt>
                <c:pt idx="110">
                  <c:v>298.3518518518519</c:v>
                </c:pt>
                <c:pt idx="111">
                  <c:v>209.09259259259258</c:v>
                </c:pt>
                <c:pt idx="112">
                  <c:v>534.21851851851852</c:v>
                </c:pt>
                <c:pt idx="113">
                  <c:v>448.43518518518528</c:v>
                </c:pt>
                <c:pt idx="114">
                  <c:v>456.66296296296315</c:v>
                </c:pt>
                <c:pt idx="115">
                  <c:v>459.10925925925909</c:v>
                </c:pt>
                <c:pt idx="116">
                  <c:v>430.2961538461538</c:v>
                </c:pt>
                <c:pt idx="117">
                  <c:v>530.82307692307688</c:v>
                </c:pt>
                <c:pt idx="118">
                  <c:v>435.38846153846157</c:v>
                </c:pt>
                <c:pt idx="119">
                  <c:v>543.05769230769238</c:v>
                </c:pt>
                <c:pt idx="120">
                  <c:v>501.125</c:v>
                </c:pt>
                <c:pt idx="121">
                  <c:v>536.5403846153846</c:v>
                </c:pt>
                <c:pt idx="122">
                  <c:v>425.04807692307691</c:v>
                </c:pt>
                <c:pt idx="123">
                  <c:v>252.21538461538461</c:v>
                </c:pt>
                <c:pt idx="124">
                  <c:v>381.45</c:v>
                </c:pt>
                <c:pt idx="125">
                  <c:v>351.74230769230769</c:v>
                </c:pt>
                <c:pt idx="126">
                  <c:v>151.88846153846151</c:v>
                </c:pt>
                <c:pt idx="127">
                  <c:v>51.1</c:v>
                </c:pt>
                <c:pt idx="128">
                  <c:v>115.7173076923077</c:v>
                </c:pt>
                <c:pt idx="129">
                  <c:v>535.36538461538453</c:v>
                </c:pt>
                <c:pt idx="130">
                  <c:v>248.79423076923075</c:v>
                </c:pt>
                <c:pt idx="131">
                  <c:v>505.32115384615378</c:v>
                </c:pt>
                <c:pt idx="132">
                  <c:v>479.0961538461537</c:v>
                </c:pt>
                <c:pt idx="133">
                  <c:v>51.890384615384619</c:v>
                </c:pt>
                <c:pt idx="134">
                  <c:v>104.14230769230768</c:v>
                </c:pt>
                <c:pt idx="135">
                  <c:v>309.80576923076922</c:v>
                </c:pt>
                <c:pt idx="136">
                  <c:v>545.23846153846159</c:v>
                </c:pt>
                <c:pt idx="137">
                  <c:v>553.47307692307686</c:v>
                </c:pt>
                <c:pt idx="138">
                  <c:v>557.58199999999988</c:v>
                </c:pt>
                <c:pt idx="139">
                  <c:v>541.61799999999994</c:v>
                </c:pt>
                <c:pt idx="140">
                  <c:v>476.03800000000001</c:v>
                </c:pt>
                <c:pt idx="141">
                  <c:v>379.38200000000006</c:v>
                </c:pt>
                <c:pt idx="142">
                  <c:v>431.68</c:v>
                </c:pt>
                <c:pt idx="143">
                  <c:v>368.19400000000002</c:v>
                </c:pt>
                <c:pt idx="144">
                  <c:v>313.34799999999996</c:v>
                </c:pt>
                <c:pt idx="145">
                  <c:v>509.60200000000003</c:v>
                </c:pt>
                <c:pt idx="146">
                  <c:v>539.54</c:v>
                </c:pt>
                <c:pt idx="147">
                  <c:v>498.16</c:v>
                </c:pt>
                <c:pt idx="148">
                  <c:v>518.11799999999994</c:v>
                </c:pt>
                <c:pt idx="149">
                  <c:v>531.91</c:v>
                </c:pt>
                <c:pt idx="150">
                  <c:v>523.12</c:v>
                </c:pt>
                <c:pt idx="151">
                  <c:v>510.95</c:v>
                </c:pt>
                <c:pt idx="152">
                  <c:v>541.01199999999994</c:v>
                </c:pt>
                <c:pt idx="153">
                  <c:v>528.61599999999999</c:v>
                </c:pt>
                <c:pt idx="154">
                  <c:v>515.05399999999997</c:v>
                </c:pt>
                <c:pt idx="155">
                  <c:v>490.06799999999987</c:v>
                </c:pt>
                <c:pt idx="156">
                  <c:v>519.154</c:v>
                </c:pt>
                <c:pt idx="157">
                  <c:v>462.42400000000009</c:v>
                </c:pt>
                <c:pt idx="158">
                  <c:v>448.42</c:v>
                </c:pt>
                <c:pt idx="159">
                  <c:v>351.86400000000003</c:v>
                </c:pt>
                <c:pt idx="160">
                  <c:v>486.27800000000008</c:v>
                </c:pt>
                <c:pt idx="161">
                  <c:v>493.34399999999999</c:v>
                </c:pt>
                <c:pt idx="162">
                  <c:v>112.294</c:v>
                </c:pt>
                <c:pt idx="163">
                  <c:v>177.73124999999999</c:v>
                </c:pt>
                <c:pt idx="164">
                  <c:v>424.29374999999999</c:v>
                </c:pt>
                <c:pt idx="165">
                  <c:v>186.84791666666663</c:v>
                </c:pt>
                <c:pt idx="166">
                  <c:v>494.86041666666671</c:v>
                </c:pt>
                <c:pt idx="167">
                  <c:v>477.40652173913037</c:v>
                </c:pt>
                <c:pt idx="168">
                  <c:v>561.20434782608697</c:v>
                </c:pt>
                <c:pt idx="169">
                  <c:v>550.13043478260875</c:v>
                </c:pt>
                <c:pt idx="170">
                  <c:v>487.85</c:v>
                </c:pt>
                <c:pt idx="171">
                  <c:v>336.94347826086954</c:v>
                </c:pt>
              </c:numCache>
            </c:numRef>
          </c:yVal>
          <c:smooth val="0"/>
          <c:extLst>
            <c:ext xmlns:c16="http://schemas.microsoft.com/office/drawing/2014/chart" uri="{C3380CC4-5D6E-409C-BE32-E72D297353CC}">
              <c16:uniqueId val="{00000001-5039-4315-BF34-A29F93BE8CFF}"/>
            </c:ext>
          </c:extLst>
        </c:ser>
        <c:dLbls>
          <c:showLegendKey val="0"/>
          <c:showVal val="0"/>
          <c:showCatName val="0"/>
          <c:showSerName val="0"/>
          <c:showPercent val="0"/>
          <c:showBubbleSize val="0"/>
        </c:dLbls>
        <c:axId val="263524888"/>
        <c:axId val="263525280"/>
      </c:scatterChart>
      <c:valAx>
        <c:axId val="263524888"/>
        <c:scaling>
          <c:orientation val="minMax"/>
          <c:max val="41549"/>
          <c:min val="41365"/>
        </c:scaling>
        <c:delete val="0"/>
        <c:axPos val="b"/>
        <c:numFmt formatCode="mm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525280"/>
        <c:crosses val="autoZero"/>
        <c:crossBetween val="midCat"/>
        <c:majorUnit val="30.6"/>
      </c:valAx>
      <c:valAx>
        <c:axId val="263525280"/>
        <c:scaling>
          <c:orientation val="minMax"/>
          <c:max val="700"/>
          <c:min val="0"/>
        </c:scaling>
        <c:delete val="0"/>
        <c:axPos val="l"/>
        <c:title>
          <c:tx>
            <c:rich>
              <a:bodyPr/>
              <a:lstStyle/>
              <a:p>
                <a:pPr>
                  <a:defRPr sz="1000" b="0" i="0" u="none" strike="noStrike" baseline="0">
                    <a:solidFill>
                      <a:srgbClr val="000000"/>
                    </a:solidFill>
                    <a:latin typeface="Arial"/>
                    <a:ea typeface="Arial"/>
                    <a:cs typeface="Arial"/>
                  </a:defRPr>
                </a:pPr>
                <a:r>
                  <a:rPr lang="en-US"/>
                  <a:t>Irradiance</a:t>
                </a:r>
              </a:p>
              <a:p>
                <a:pPr>
                  <a:defRPr sz="1000" b="0" i="0" u="none" strike="noStrike" baseline="0">
                    <a:solidFill>
                      <a:srgbClr val="000000"/>
                    </a:solidFill>
                    <a:latin typeface="Arial"/>
                    <a:ea typeface="Arial"/>
                    <a:cs typeface="Arial"/>
                  </a:defRPr>
                </a:pPr>
                <a:r>
                  <a:rPr lang="en-US"/>
                  <a:t> (W m</a:t>
                </a:r>
                <a:r>
                  <a:rPr lang="en-US" baseline="30000"/>
                  <a:t>-2</a:t>
                </a:r>
                <a:r>
                  <a:rPr lang="en-US"/>
                  <a:t>)</a:t>
                </a:r>
              </a:p>
            </c:rich>
          </c:tx>
          <c:layout>
            <c:manualLayout>
              <c:xMode val="edge"/>
              <c:yMode val="edge"/>
              <c:x val="1.5910331043466522E-2"/>
              <c:y val="0.2124293226970633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3524888"/>
        <c:crosses val="autoZero"/>
        <c:crossBetween val="midCat"/>
        <c:majorUnit val="20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76</xdr:col>
      <xdr:colOff>314325</xdr:colOff>
      <xdr:row>7</xdr:row>
      <xdr:rowOff>57150</xdr:rowOff>
    </xdr:from>
    <xdr:to>
      <xdr:col>84</xdr:col>
      <xdr:colOff>9525</xdr:colOff>
      <xdr:row>23</xdr:row>
      <xdr:rowOff>114300</xdr:rowOff>
    </xdr:to>
    <xdr:graphicFrame macro="">
      <xdr:nvGraphicFramePr>
        <xdr:cNvPr id="974924" name="Chart 1">
          <a:extLst>
            <a:ext uri="{FF2B5EF4-FFF2-40B4-BE49-F238E27FC236}">
              <a16:creationId xmlns:a16="http://schemas.microsoft.com/office/drawing/2014/main" id="{00000000-0008-0000-0000-00004CE0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0.15717</cdr:x>
      <cdr:y>0.09306</cdr:y>
    </cdr:from>
    <cdr:to>
      <cdr:x>0.18001</cdr:x>
      <cdr:y>0.23569</cdr:y>
    </cdr:to>
    <cdr:sp macro="" textlink="">
      <cdr:nvSpPr>
        <cdr:cNvPr id="757761" name="Text Box 1">
          <a:extLst xmlns:a="http://schemas.openxmlformats.org/drawingml/2006/main">
            <a:ext uri="{FF2B5EF4-FFF2-40B4-BE49-F238E27FC236}">
              <a16:creationId xmlns:a16="http://schemas.microsoft.com/office/drawing/2014/main" id="{00CA2CDF-5C78-4C5A-8C60-02D279205AF0}"/>
            </a:ext>
          </a:extLst>
        </cdr:cNvPr>
        <cdr:cNvSpPr txBox="1">
          <a:spLocks xmlns:a="http://schemas.openxmlformats.org/drawingml/2006/main" noChangeArrowheads="1"/>
        </cdr:cNvSpPr>
      </cdr:nvSpPr>
      <cdr:spPr bwMode="auto">
        <a:xfrm xmlns:a="http://schemas.openxmlformats.org/drawingml/2006/main">
          <a:off x="969926" y="151654"/>
          <a:ext cx="141000"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a</a:t>
          </a:r>
        </a:p>
      </cdr:txBody>
    </cdr:sp>
  </cdr:relSizeAnchor>
</c:userShapes>
</file>

<file path=xl/drawings/drawing11.xml><?xml version="1.0" encoding="utf-8"?>
<c:userShapes xmlns:c="http://schemas.openxmlformats.org/drawingml/2006/chart">
  <cdr:relSizeAnchor xmlns:cdr="http://schemas.openxmlformats.org/drawingml/2006/chartDrawing">
    <cdr:from>
      <cdr:x>0.15964</cdr:x>
      <cdr:y>0.07767</cdr:y>
    </cdr:from>
    <cdr:to>
      <cdr:x>0.18248</cdr:x>
      <cdr:y>0.21993</cdr:y>
    </cdr:to>
    <cdr:sp macro="" textlink="">
      <cdr:nvSpPr>
        <cdr:cNvPr id="758785" name="Text Box 1">
          <a:extLst xmlns:a="http://schemas.openxmlformats.org/drawingml/2006/main">
            <a:ext uri="{FF2B5EF4-FFF2-40B4-BE49-F238E27FC236}">
              <a16:creationId xmlns:a16="http://schemas.microsoft.com/office/drawing/2014/main" id="{756BD03E-2345-4499-863E-F28B0ACA7D84}"/>
            </a:ext>
          </a:extLst>
        </cdr:cNvPr>
        <cdr:cNvSpPr txBox="1">
          <a:spLocks xmlns:a="http://schemas.openxmlformats.org/drawingml/2006/main" noChangeArrowheads="1"/>
        </cdr:cNvSpPr>
      </cdr:nvSpPr>
      <cdr:spPr bwMode="auto">
        <a:xfrm xmlns:a="http://schemas.openxmlformats.org/drawingml/2006/main">
          <a:off x="985169" y="126917"/>
          <a:ext cx="141000"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b</a:t>
          </a:r>
        </a:p>
      </cdr:txBody>
    </cdr:sp>
  </cdr:relSizeAnchor>
</c:userShapes>
</file>

<file path=xl/drawings/drawing12.xml><?xml version="1.0" encoding="utf-8"?>
<c:userShapes xmlns:c="http://schemas.openxmlformats.org/drawingml/2006/chart">
  <cdr:relSizeAnchor xmlns:cdr="http://schemas.openxmlformats.org/drawingml/2006/chartDrawing">
    <cdr:from>
      <cdr:x>0.1581</cdr:x>
      <cdr:y>0.10237</cdr:y>
    </cdr:from>
    <cdr:to>
      <cdr:x>0.17954</cdr:x>
      <cdr:y>0.24546</cdr:y>
    </cdr:to>
    <cdr:sp macro="" textlink="">
      <cdr:nvSpPr>
        <cdr:cNvPr id="759809" name="Text Box 1">
          <a:extLst xmlns:a="http://schemas.openxmlformats.org/drawingml/2006/main">
            <a:ext uri="{FF2B5EF4-FFF2-40B4-BE49-F238E27FC236}">
              <a16:creationId xmlns:a16="http://schemas.microsoft.com/office/drawing/2014/main" id="{AF3960C2-23AB-4AFC-BBF0-851D59EAE03C}"/>
            </a:ext>
          </a:extLst>
        </cdr:cNvPr>
        <cdr:cNvSpPr txBox="1">
          <a:spLocks xmlns:a="http://schemas.openxmlformats.org/drawingml/2006/main" noChangeArrowheads="1"/>
        </cdr:cNvSpPr>
      </cdr:nvSpPr>
      <cdr:spPr bwMode="auto">
        <a:xfrm xmlns:a="http://schemas.openxmlformats.org/drawingml/2006/main">
          <a:off x="975672" y="166297"/>
          <a:ext cx="132344"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c</a:t>
          </a:r>
        </a:p>
      </cdr:txBody>
    </cdr:sp>
  </cdr:relSizeAnchor>
</c:userShapes>
</file>

<file path=xl/drawings/drawing13.xml><?xml version="1.0" encoding="utf-8"?>
<c:userShapes xmlns:c="http://schemas.openxmlformats.org/drawingml/2006/chart">
  <cdr:relSizeAnchor xmlns:cdr="http://schemas.openxmlformats.org/drawingml/2006/chartDrawing">
    <cdr:from>
      <cdr:x>0.15749</cdr:x>
      <cdr:y>0.10098</cdr:y>
    </cdr:from>
    <cdr:to>
      <cdr:x>0.18034</cdr:x>
      <cdr:y>0.24407</cdr:y>
    </cdr:to>
    <cdr:sp macro="" textlink="">
      <cdr:nvSpPr>
        <cdr:cNvPr id="760833" name="Text Box 1">
          <a:extLst xmlns:a="http://schemas.openxmlformats.org/drawingml/2006/main">
            <a:ext uri="{FF2B5EF4-FFF2-40B4-BE49-F238E27FC236}">
              <a16:creationId xmlns:a16="http://schemas.microsoft.com/office/drawing/2014/main" id="{63B23EB0-314C-47D6-98D7-68B990421F0A}"/>
            </a:ext>
          </a:extLst>
        </cdr:cNvPr>
        <cdr:cNvSpPr txBox="1">
          <a:spLocks xmlns:a="http://schemas.openxmlformats.org/drawingml/2006/main" noChangeArrowheads="1"/>
        </cdr:cNvSpPr>
      </cdr:nvSpPr>
      <cdr:spPr bwMode="auto">
        <a:xfrm xmlns:a="http://schemas.openxmlformats.org/drawingml/2006/main">
          <a:off x="971931" y="164039"/>
          <a:ext cx="141000"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d</a:t>
          </a:r>
        </a:p>
      </cdr:txBody>
    </cdr:sp>
  </cdr:relSizeAnchor>
</c:userShapes>
</file>

<file path=xl/drawings/drawing14.xml><?xml version="1.0" encoding="utf-8"?>
<c:userShapes xmlns:c="http://schemas.openxmlformats.org/drawingml/2006/chart">
  <cdr:relSizeAnchor xmlns:cdr="http://schemas.openxmlformats.org/drawingml/2006/chartDrawing">
    <cdr:from>
      <cdr:x>0.15247</cdr:x>
      <cdr:y>0.10315</cdr:y>
    </cdr:from>
    <cdr:to>
      <cdr:x>0.17531</cdr:x>
      <cdr:y>0.24541</cdr:y>
    </cdr:to>
    <cdr:sp macro="" textlink="">
      <cdr:nvSpPr>
        <cdr:cNvPr id="762881" name="Text Box 1">
          <a:extLst xmlns:a="http://schemas.openxmlformats.org/drawingml/2006/main">
            <a:ext uri="{FF2B5EF4-FFF2-40B4-BE49-F238E27FC236}">
              <a16:creationId xmlns:a16="http://schemas.microsoft.com/office/drawing/2014/main" id="{00FC20FE-B3F1-4C08-85F0-A18A1DF744AB}"/>
            </a:ext>
          </a:extLst>
        </cdr:cNvPr>
        <cdr:cNvSpPr txBox="1">
          <a:spLocks xmlns:a="http://schemas.openxmlformats.org/drawingml/2006/main" noChangeArrowheads="1"/>
        </cdr:cNvSpPr>
      </cdr:nvSpPr>
      <cdr:spPr bwMode="auto">
        <a:xfrm xmlns:a="http://schemas.openxmlformats.org/drawingml/2006/main">
          <a:off x="940919" y="168550"/>
          <a:ext cx="141001"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e</a:t>
          </a:r>
        </a:p>
      </cdr:txBody>
    </cdr:sp>
  </cdr:relSizeAnchor>
</c:userShapes>
</file>

<file path=xl/drawings/drawing15.xml><?xml version="1.0" encoding="utf-8"?>
<c:userShapes xmlns:c="http://schemas.openxmlformats.org/drawingml/2006/chart">
  <cdr:relSizeAnchor xmlns:cdr="http://schemas.openxmlformats.org/drawingml/2006/chartDrawing">
    <cdr:from>
      <cdr:x>0.15882</cdr:x>
      <cdr:y>0.09603</cdr:y>
    </cdr:from>
    <cdr:to>
      <cdr:x>0.17472</cdr:x>
      <cdr:y>0.23949</cdr:y>
    </cdr:to>
    <cdr:sp macro="" textlink="">
      <cdr:nvSpPr>
        <cdr:cNvPr id="761857" name="Text Box 1">
          <a:extLst xmlns:a="http://schemas.openxmlformats.org/drawingml/2006/main">
            <a:ext uri="{FF2B5EF4-FFF2-40B4-BE49-F238E27FC236}">
              <a16:creationId xmlns:a16="http://schemas.microsoft.com/office/drawing/2014/main" id="{AB803622-D6B2-4410-8747-54A32CEE4F1E}"/>
            </a:ext>
          </a:extLst>
        </cdr:cNvPr>
        <cdr:cNvSpPr txBox="1">
          <a:spLocks xmlns:a="http://schemas.openxmlformats.org/drawingml/2006/main" noChangeArrowheads="1"/>
        </cdr:cNvSpPr>
      </cdr:nvSpPr>
      <cdr:spPr bwMode="auto">
        <a:xfrm xmlns:a="http://schemas.openxmlformats.org/drawingml/2006/main">
          <a:off x="980109" y="155572"/>
          <a:ext cx="98167"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f</a:t>
          </a:r>
        </a:p>
      </cdr:txBody>
    </cdr:sp>
  </cdr:relSizeAnchor>
</c:userShapes>
</file>

<file path=xl/drawings/drawing16.xml><?xml version="1.0" encoding="utf-8"?>
<c:userShapes xmlns:c="http://schemas.openxmlformats.org/drawingml/2006/chart">
  <cdr:relSizeAnchor xmlns:cdr="http://schemas.openxmlformats.org/drawingml/2006/chartDrawing">
    <cdr:from>
      <cdr:x>0.15328</cdr:x>
      <cdr:y>0.09773</cdr:y>
    </cdr:from>
    <cdr:to>
      <cdr:x>0.18026</cdr:x>
      <cdr:y>0.23779</cdr:y>
    </cdr:to>
    <cdr:sp macro="" textlink="">
      <cdr:nvSpPr>
        <cdr:cNvPr id="761857" name="Text Box 1">
          <a:extLst xmlns:a="http://schemas.openxmlformats.org/drawingml/2006/main">
            <a:ext uri="{FF2B5EF4-FFF2-40B4-BE49-F238E27FC236}">
              <a16:creationId xmlns:a16="http://schemas.microsoft.com/office/drawing/2014/main" id="{52D5CAAF-24A3-4F32-8408-9A6E185A7FC9}"/>
            </a:ext>
          </a:extLst>
        </cdr:cNvPr>
        <cdr:cNvSpPr txBox="1">
          <a:spLocks xmlns:a="http://schemas.openxmlformats.org/drawingml/2006/main" noChangeArrowheads="1"/>
        </cdr:cNvSpPr>
      </cdr:nvSpPr>
      <cdr:spPr bwMode="auto">
        <a:xfrm xmlns:a="http://schemas.openxmlformats.org/drawingml/2006/main">
          <a:off x="945798" y="162177"/>
          <a:ext cx="166520"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H</a:t>
          </a:r>
        </a:p>
      </cdr:txBody>
    </cdr:sp>
  </cdr:relSizeAnchor>
</c:userShapes>
</file>

<file path=xl/drawings/drawing17.xml><?xml version="1.0" encoding="utf-8"?>
<c:userShapes xmlns:c="http://schemas.openxmlformats.org/drawingml/2006/chart">
  <cdr:relSizeAnchor xmlns:cdr="http://schemas.openxmlformats.org/drawingml/2006/chartDrawing">
    <cdr:from>
      <cdr:x>0.15535</cdr:x>
      <cdr:y>0.09596</cdr:y>
    </cdr:from>
    <cdr:to>
      <cdr:x>0.17819</cdr:x>
      <cdr:y>0.23956</cdr:y>
    </cdr:to>
    <cdr:sp macro="" textlink="">
      <cdr:nvSpPr>
        <cdr:cNvPr id="761857" name="Text Box 1">
          <a:extLst xmlns:a="http://schemas.openxmlformats.org/drawingml/2006/main">
            <a:ext uri="{FF2B5EF4-FFF2-40B4-BE49-F238E27FC236}">
              <a16:creationId xmlns:a16="http://schemas.microsoft.com/office/drawing/2014/main" id="{F218EF29-3106-4958-B74D-E2E072E33990}"/>
            </a:ext>
          </a:extLst>
        </cdr:cNvPr>
        <cdr:cNvSpPr txBox="1">
          <a:spLocks xmlns:a="http://schemas.openxmlformats.org/drawingml/2006/main" noChangeArrowheads="1"/>
        </cdr:cNvSpPr>
      </cdr:nvSpPr>
      <cdr:spPr bwMode="auto">
        <a:xfrm xmlns:a="http://schemas.openxmlformats.org/drawingml/2006/main">
          <a:off x="958694" y="155341"/>
          <a:ext cx="141000"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g</a:t>
          </a:r>
        </a:p>
      </cdr:txBody>
    </cdr:sp>
  </cdr:relSizeAnchor>
</c:userShapes>
</file>

<file path=xl/drawings/drawing18.xml><?xml version="1.0" encoding="utf-8"?>
<c:userShapes xmlns:c="http://schemas.openxmlformats.org/drawingml/2006/chart">
  <cdr:relSizeAnchor xmlns:cdr="http://schemas.openxmlformats.org/drawingml/2006/chartDrawing">
    <cdr:from>
      <cdr:x>0.15258</cdr:x>
      <cdr:y>0.09773</cdr:y>
    </cdr:from>
    <cdr:to>
      <cdr:x>0.18096</cdr:x>
      <cdr:y>0.23779</cdr:y>
    </cdr:to>
    <cdr:sp macro="" textlink="">
      <cdr:nvSpPr>
        <cdr:cNvPr id="761857" name="Text Box 1">
          <a:extLst xmlns:a="http://schemas.openxmlformats.org/drawingml/2006/main">
            <a:ext uri="{FF2B5EF4-FFF2-40B4-BE49-F238E27FC236}">
              <a16:creationId xmlns:a16="http://schemas.microsoft.com/office/drawing/2014/main" id="{27C6FDEB-B081-4004-921B-DC9279D6A7E0}"/>
            </a:ext>
          </a:extLst>
        </cdr:cNvPr>
        <cdr:cNvSpPr txBox="1">
          <a:spLocks xmlns:a="http://schemas.openxmlformats.org/drawingml/2006/main" noChangeArrowheads="1"/>
        </cdr:cNvSpPr>
      </cdr:nvSpPr>
      <cdr:spPr bwMode="auto">
        <a:xfrm xmlns:a="http://schemas.openxmlformats.org/drawingml/2006/main">
          <a:off x="941501" y="162176"/>
          <a:ext cx="175112"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G</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384313</xdr:colOff>
      <xdr:row>5</xdr:row>
      <xdr:rowOff>86138</xdr:rowOff>
    </xdr:from>
    <xdr:to>
      <xdr:col>13</xdr:col>
      <xdr:colOff>240878</xdr:colOff>
      <xdr:row>12</xdr:row>
      <xdr:rowOff>107061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6228853" y="924338"/>
          <a:ext cx="2355925" cy="119440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Pasted</a:t>
          </a:r>
          <a:r>
            <a:rPr lang="en-US" sz="1100" baseline="0">
              <a:solidFill>
                <a:sysClr val="windowText" lastClr="000000"/>
              </a:solidFill>
            </a:rPr>
            <a:t> from Surfer File</a:t>
          </a:r>
          <a:endParaRPr lang="en-US" sz="1100">
            <a:solidFill>
              <a:sysClr val="windowText" lastClr="000000"/>
            </a:solidFill>
          </a:endParaRPr>
        </a:p>
      </xdr:txBody>
    </xdr:sp>
    <xdr:clientData/>
  </xdr:twoCellAnchor>
  <xdr:twoCellAnchor editAs="oneCell">
    <xdr:from>
      <xdr:col>0</xdr:col>
      <xdr:colOff>0</xdr:colOff>
      <xdr:row>0</xdr:row>
      <xdr:rowOff>0</xdr:rowOff>
    </xdr:from>
    <xdr:to>
      <xdr:col>6</xdr:col>
      <xdr:colOff>238982</xdr:colOff>
      <xdr:row>28</xdr:row>
      <xdr:rowOff>106680</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7562" cy="480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200108</xdr:colOff>
      <xdr:row>2</xdr:row>
      <xdr:rowOff>6627</xdr:rowOff>
    </xdr:from>
    <xdr:to>
      <xdr:col>7</xdr:col>
      <xdr:colOff>390608</xdr:colOff>
      <xdr:row>3</xdr:row>
      <xdr:rowOff>92435</xdr:rowOff>
    </xdr:to>
    <xdr:sp macro="" textlink="">
      <xdr:nvSpPr>
        <xdr:cNvPr id="3" name="Rectangle 166">
          <a:extLst>
            <a:ext uri="{FF2B5EF4-FFF2-40B4-BE49-F238E27FC236}">
              <a16:creationId xmlns:a16="http://schemas.microsoft.com/office/drawing/2014/main" id="{00000000-0008-0000-0100-000003000000}"/>
            </a:ext>
          </a:extLst>
        </xdr:cNvPr>
        <xdr:cNvSpPr>
          <a:spLocks noChangeArrowheads="1"/>
        </xdr:cNvSpPr>
      </xdr:nvSpPr>
      <xdr:spPr bwMode="auto">
        <a:xfrm>
          <a:off x="1785068" y="174267"/>
          <a:ext cx="2202180" cy="451568"/>
        </a:xfrm>
        <a:prstGeom prst="rect">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lnSpc>
              <a:spcPts val="900"/>
            </a:lnSpc>
            <a:defRPr sz="1000"/>
          </a:pPr>
          <a:r>
            <a:rPr lang="en-US" sz="1000" b="0" i="0" u="none" strike="noStrike" baseline="0">
              <a:solidFill>
                <a:srgbClr val="000000"/>
              </a:solidFill>
              <a:latin typeface="Arial"/>
              <a:cs typeface="Arial"/>
            </a:rPr>
            <a:t>Data pulled from Plankton Experiments spreadheet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1089</xdr:colOff>
      <xdr:row>0</xdr:row>
      <xdr:rowOff>28349</xdr:rowOff>
    </xdr:from>
    <xdr:to>
      <xdr:col>9</xdr:col>
      <xdr:colOff>1089</xdr:colOff>
      <xdr:row>16</xdr:row>
      <xdr:rowOff>104549</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2994</xdr:colOff>
      <xdr:row>17</xdr:row>
      <xdr:rowOff>39779</xdr:rowOff>
    </xdr:from>
    <xdr:to>
      <xdr:col>9</xdr:col>
      <xdr:colOff>2994</xdr:colOff>
      <xdr:row>33</xdr:row>
      <xdr:rowOff>100739</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0.14869</cdr:x>
      <cdr:y>0.05882</cdr:y>
    </cdr:from>
    <cdr:to>
      <cdr:x>0.19795</cdr:x>
      <cdr:y>0.15702</cdr:y>
    </cdr:to>
    <cdr:sp macro="" textlink="">
      <cdr:nvSpPr>
        <cdr:cNvPr id="2" name="TextBox 1">
          <a:extLst xmlns:a="http://schemas.openxmlformats.org/drawingml/2006/main">
            <a:ext uri="{FF2B5EF4-FFF2-40B4-BE49-F238E27FC236}">
              <a16:creationId xmlns:a16="http://schemas.microsoft.com/office/drawing/2014/main" id="{95BE5C35-8F1E-4D4B-84C1-AF4BA53C9233}"/>
            </a:ext>
          </a:extLst>
        </cdr:cNvPr>
        <cdr:cNvSpPr txBox="1"/>
      </cdr:nvSpPr>
      <cdr:spPr>
        <a:xfrm xmlns:a="http://schemas.openxmlformats.org/drawingml/2006/main">
          <a:off x="815773" y="161355"/>
          <a:ext cx="270267"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a</a:t>
          </a:r>
        </a:p>
      </cdr:txBody>
    </cdr:sp>
  </cdr:relSizeAnchor>
</c:userShapes>
</file>

<file path=xl/drawings/drawing22.xml><?xml version="1.0" encoding="utf-8"?>
<c:userShapes xmlns:c="http://schemas.openxmlformats.org/drawingml/2006/chart">
  <cdr:relSizeAnchor xmlns:cdr="http://schemas.openxmlformats.org/drawingml/2006/chartDrawing">
    <cdr:from>
      <cdr:x>0.14869</cdr:x>
      <cdr:y>0.05882</cdr:y>
    </cdr:from>
    <cdr:to>
      <cdr:x>0.19795</cdr:x>
      <cdr:y>0.15681</cdr:y>
    </cdr:to>
    <cdr:sp macro="" textlink="">
      <cdr:nvSpPr>
        <cdr:cNvPr id="2" name="TextBox 1">
          <a:extLst xmlns:a="http://schemas.openxmlformats.org/drawingml/2006/main">
            <a:ext uri="{FF2B5EF4-FFF2-40B4-BE49-F238E27FC236}">
              <a16:creationId xmlns:a16="http://schemas.microsoft.com/office/drawing/2014/main" id="{8A96C157-1F4E-46BF-8902-1FF9849FA05F}"/>
            </a:ext>
          </a:extLst>
        </cdr:cNvPr>
        <cdr:cNvSpPr txBox="1"/>
      </cdr:nvSpPr>
      <cdr:spPr>
        <a:xfrm xmlns:a="http://schemas.openxmlformats.org/drawingml/2006/main">
          <a:off x="815773" y="161691"/>
          <a:ext cx="270267"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b</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16</xdr:row>
      <xdr:rowOff>111369</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110490</xdr:rowOff>
    </xdr:from>
    <xdr:to>
      <xdr:col>9</xdr:col>
      <xdr:colOff>1905</xdr:colOff>
      <xdr:row>32</xdr:row>
      <xdr:rowOff>39932</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0.14869</cdr:x>
      <cdr:y>0.05882</cdr:y>
    </cdr:from>
    <cdr:to>
      <cdr:x>0.19795</cdr:x>
      <cdr:y>0.15577</cdr:y>
    </cdr:to>
    <cdr:sp macro="" textlink="">
      <cdr:nvSpPr>
        <cdr:cNvPr id="2" name="TextBox 1">
          <a:extLst xmlns:a="http://schemas.openxmlformats.org/drawingml/2006/main">
            <a:ext uri="{FF2B5EF4-FFF2-40B4-BE49-F238E27FC236}">
              <a16:creationId xmlns:a16="http://schemas.microsoft.com/office/drawing/2014/main" id="{D3B42864-6EC1-4AAC-8220-5702507E5A6D}"/>
            </a:ext>
          </a:extLst>
        </cdr:cNvPr>
        <cdr:cNvSpPr txBox="1"/>
      </cdr:nvSpPr>
      <cdr:spPr>
        <a:xfrm xmlns:a="http://schemas.openxmlformats.org/drawingml/2006/main">
          <a:off x="815773" y="163424"/>
          <a:ext cx="270267"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a</a:t>
          </a:r>
        </a:p>
      </cdr:txBody>
    </cdr:sp>
  </cdr:relSizeAnchor>
</c:userShapes>
</file>

<file path=xl/drawings/drawing25.xml><?xml version="1.0" encoding="utf-8"?>
<c:userShapes xmlns:c="http://schemas.openxmlformats.org/drawingml/2006/chart">
  <cdr:relSizeAnchor xmlns:cdr="http://schemas.openxmlformats.org/drawingml/2006/chartDrawing">
    <cdr:from>
      <cdr:x>0.14869</cdr:x>
      <cdr:y>0.05882</cdr:y>
    </cdr:from>
    <cdr:to>
      <cdr:x>0.19793</cdr:x>
      <cdr:y>0.15574</cdr:y>
    </cdr:to>
    <cdr:sp macro="" textlink="">
      <cdr:nvSpPr>
        <cdr:cNvPr id="2" name="TextBox 1">
          <a:extLst xmlns:a="http://schemas.openxmlformats.org/drawingml/2006/main">
            <a:ext uri="{FF2B5EF4-FFF2-40B4-BE49-F238E27FC236}">
              <a16:creationId xmlns:a16="http://schemas.microsoft.com/office/drawing/2014/main" id="{0F952617-47A1-4311-8077-A94CA14091DD}"/>
            </a:ext>
          </a:extLst>
        </cdr:cNvPr>
        <cdr:cNvSpPr txBox="1"/>
      </cdr:nvSpPr>
      <cdr:spPr>
        <a:xfrm xmlns:a="http://schemas.openxmlformats.org/drawingml/2006/main">
          <a:off x="816056" y="163480"/>
          <a:ext cx="270267"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b</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1089</xdr:colOff>
      <xdr:row>0</xdr:row>
      <xdr:rowOff>28349</xdr:rowOff>
    </xdr:from>
    <xdr:to>
      <xdr:col>9</xdr:col>
      <xdr:colOff>1089</xdr:colOff>
      <xdr:row>16</xdr:row>
      <xdr:rowOff>104549</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91102</xdr:rowOff>
    </xdr:from>
    <xdr:to>
      <xdr:col>9</xdr:col>
      <xdr:colOff>0</xdr:colOff>
      <xdr:row>31</xdr:row>
      <xdr:rowOff>149373</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0.14869</cdr:x>
      <cdr:y>0.05882</cdr:y>
    </cdr:from>
    <cdr:to>
      <cdr:x>0.19665</cdr:x>
      <cdr:y>0.15264</cdr:y>
    </cdr:to>
    <cdr:sp macro="" textlink="">
      <cdr:nvSpPr>
        <cdr:cNvPr id="2" name="TextBox 1">
          <a:extLst xmlns:a="http://schemas.openxmlformats.org/drawingml/2006/main">
            <a:ext uri="{FF2B5EF4-FFF2-40B4-BE49-F238E27FC236}">
              <a16:creationId xmlns:a16="http://schemas.microsoft.com/office/drawing/2014/main" id="{326B52BF-F47B-4A07-83B0-E8D6645197E5}"/>
            </a:ext>
          </a:extLst>
        </cdr:cNvPr>
        <cdr:cNvSpPr txBox="1"/>
      </cdr:nvSpPr>
      <cdr:spPr>
        <a:xfrm xmlns:a="http://schemas.openxmlformats.org/drawingml/2006/main">
          <a:off x="815773" y="159601"/>
          <a:ext cx="263149" cy="254557"/>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100" b="0">
              <a:latin typeface="Arial" panose="020B0604020202020204" pitchFamily="34" charset="0"/>
              <a:cs typeface="Arial" panose="020B0604020202020204" pitchFamily="34" charset="0"/>
            </a:rPr>
            <a:t>a</a:t>
          </a:r>
        </a:p>
      </cdr:txBody>
    </cdr:sp>
  </cdr:relSizeAnchor>
</c:userShapes>
</file>

<file path=xl/drawings/drawing28.xml><?xml version="1.0" encoding="utf-8"?>
<c:userShapes xmlns:c="http://schemas.openxmlformats.org/drawingml/2006/chart">
  <cdr:relSizeAnchor xmlns:cdr="http://schemas.openxmlformats.org/drawingml/2006/chartDrawing">
    <cdr:from>
      <cdr:x>0.14869</cdr:x>
      <cdr:y>0.05882</cdr:y>
    </cdr:from>
    <cdr:to>
      <cdr:x>0.19665</cdr:x>
      <cdr:y>0.1528</cdr:y>
    </cdr:to>
    <cdr:sp macro="" textlink="">
      <cdr:nvSpPr>
        <cdr:cNvPr id="2" name="TextBox 1">
          <a:extLst xmlns:a="http://schemas.openxmlformats.org/drawingml/2006/main">
            <a:ext uri="{FF2B5EF4-FFF2-40B4-BE49-F238E27FC236}">
              <a16:creationId xmlns:a16="http://schemas.microsoft.com/office/drawing/2014/main" id="{FF7A5F80-F974-4E22-9D31-74C21CEFBE74}"/>
            </a:ext>
          </a:extLst>
        </cdr:cNvPr>
        <cdr:cNvSpPr txBox="1"/>
      </cdr:nvSpPr>
      <cdr:spPr>
        <a:xfrm xmlns:a="http://schemas.openxmlformats.org/drawingml/2006/main">
          <a:off x="815773" y="159326"/>
          <a:ext cx="263149" cy="254557"/>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100" b="0">
              <a:latin typeface="Arial" panose="020B0604020202020204" pitchFamily="34" charset="0"/>
              <a:cs typeface="Arial" panose="020B0604020202020204" pitchFamily="34" charset="0"/>
            </a:rPr>
            <a:t>b</a:t>
          </a:r>
        </a:p>
      </cdr:txBody>
    </cdr:sp>
  </cdr:relSizeAnchor>
</c:userShapes>
</file>

<file path=xl/drawings/drawing29.xml><?xml version="1.0" encoding="utf-8"?>
<xdr:wsDr xmlns:xdr="http://schemas.openxmlformats.org/drawingml/2006/spreadsheetDrawing" xmlns:a="http://schemas.openxmlformats.org/drawingml/2006/main">
  <xdr:twoCellAnchor editAs="absolute">
    <xdr:from>
      <xdr:col>6</xdr:col>
      <xdr:colOff>457202</xdr:colOff>
      <xdr:row>0</xdr:row>
      <xdr:rowOff>141515</xdr:rowOff>
    </xdr:from>
    <xdr:to>
      <xdr:col>13</xdr:col>
      <xdr:colOff>762002</xdr:colOff>
      <xdr:row>21</xdr:row>
      <xdr:rowOff>69670</xdr:rowOff>
    </xdr:to>
    <xdr:graphicFrame macro="">
      <xdr:nvGraphicFramePr>
        <xdr:cNvPr id="13" name="Chart 19">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457202</xdr:colOff>
      <xdr:row>19</xdr:row>
      <xdr:rowOff>65316</xdr:rowOff>
    </xdr:from>
    <xdr:to>
      <xdr:col>13</xdr:col>
      <xdr:colOff>762002</xdr:colOff>
      <xdr:row>39</xdr:row>
      <xdr:rowOff>145871</xdr:rowOff>
    </xdr:to>
    <xdr:graphicFrame macro="">
      <xdr:nvGraphicFramePr>
        <xdr:cNvPr id="14" name="Chart 19">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3</xdr:colOff>
      <xdr:row>0</xdr:row>
      <xdr:rowOff>141515</xdr:rowOff>
    </xdr:from>
    <xdr:to>
      <xdr:col>7</xdr:col>
      <xdr:colOff>304803</xdr:colOff>
      <xdr:row>21</xdr:row>
      <xdr:rowOff>69670</xdr:rowOff>
    </xdr:to>
    <xdr:graphicFrame macro="">
      <xdr:nvGraphicFramePr>
        <xdr:cNvPr id="11" name="Chart 19">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xdr:colOff>
      <xdr:row>19</xdr:row>
      <xdr:rowOff>65316</xdr:rowOff>
    </xdr:from>
    <xdr:to>
      <xdr:col>7</xdr:col>
      <xdr:colOff>304803</xdr:colOff>
      <xdr:row>39</xdr:row>
      <xdr:rowOff>145871</xdr:rowOff>
    </xdr:to>
    <xdr:graphicFrame macro="">
      <xdr:nvGraphicFramePr>
        <xdr:cNvPr id="12" name="Chart 19">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284183</xdr:colOff>
      <xdr:row>0</xdr:row>
      <xdr:rowOff>44822</xdr:rowOff>
    </xdr:from>
    <xdr:to>
      <xdr:col>18</xdr:col>
      <xdr:colOff>35858</xdr:colOff>
      <xdr:row>5</xdr:row>
      <xdr:rowOff>26893</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6730703" y="669662"/>
          <a:ext cx="2723475" cy="1170791"/>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Comparison of plankton production (Pm) and respiraiton (R) at channel and shoal sites.  Pm rates were from the high light treatment. Demonstrates similarity in water masses between sites</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0.18095</cdr:x>
      <cdr:y>0.0488</cdr:y>
    </cdr:from>
    <cdr:to>
      <cdr:x>0.24048</cdr:x>
      <cdr:y>0.12036</cdr:y>
    </cdr:to>
    <cdr:sp macro="" textlink="">
      <cdr:nvSpPr>
        <cdr:cNvPr id="2" name="TextBox 1">
          <a:extLst xmlns:a="http://schemas.openxmlformats.org/drawingml/2006/main">
            <a:ext uri="{FF2B5EF4-FFF2-40B4-BE49-F238E27FC236}">
              <a16:creationId xmlns:a16="http://schemas.microsoft.com/office/drawing/2014/main" id="{B7A1DE28-04D2-46CC-8009-ABA089BB8EA6}"/>
            </a:ext>
          </a:extLst>
        </cdr:cNvPr>
        <cdr:cNvSpPr txBox="1"/>
      </cdr:nvSpPr>
      <cdr:spPr>
        <a:xfrm xmlns:a="http://schemas.openxmlformats.org/drawingml/2006/main">
          <a:off x="827314" y="163286"/>
          <a:ext cx="272143" cy="2394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c</a:t>
          </a:r>
        </a:p>
      </cdr:txBody>
    </cdr:sp>
  </cdr:relSizeAnchor>
  <cdr:relSizeAnchor xmlns:cdr="http://schemas.openxmlformats.org/drawingml/2006/chartDrawing">
    <cdr:from>
      <cdr:x>0.80714</cdr:x>
      <cdr:y>0.02928</cdr:y>
    </cdr:from>
    <cdr:to>
      <cdr:x>0.94719</cdr:x>
      <cdr:y>0.13172</cdr:y>
    </cdr:to>
    <cdr:sp macro="" textlink="">
      <cdr:nvSpPr>
        <cdr:cNvPr id="4" name="TextBox 3"/>
        <cdr:cNvSpPr txBox="1"/>
      </cdr:nvSpPr>
      <cdr:spPr>
        <a:xfrm xmlns:a="http://schemas.openxmlformats.org/drawingml/2006/main">
          <a:off x="3690258" y="97971"/>
          <a:ext cx="640303" cy="34278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600"/>
            <a:t>Shoal</a:t>
          </a:r>
        </a:p>
      </cdr:txBody>
    </cdr:sp>
  </cdr:relSizeAnchor>
  <cdr:relSizeAnchor xmlns:cdr="http://schemas.openxmlformats.org/drawingml/2006/chartDrawing">
    <cdr:from>
      <cdr:x>0.48333</cdr:x>
      <cdr:y>0.15614</cdr:y>
    </cdr:from>
    <cdr:to>
      <cdr:x>0.88095</cdr:x>
      <cdr:y>0.27651</cdr:y>
    </cdr:to>
    <cdr:sp macro="" textlink="">
      <cdr:nvSpPr>
        <cdr:cNvPr id="3" name="TextBox 2"/>
        <cdr:cNvSpPr txBox="1"/>
      </cdr:nvSpPr>
      <cdr:spPr>
        <a:xfrm xmlns:a="http://schemas.openxmlformats.org/drawingml/2006/main">
          <a:off x="2209788" y="522495"/>
          <a:ext cx="1817919" cy="40279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y</a:t>
          </a:r>
          <a:r>
            <a:rPr lang="en-US" sz="1000" baseline="0">
              <a:latin typeface="Arial" panose="020B0604020202020204" pitchFamily="34" charset="0"/>
              <a:cs typeface="Arial" panose="020B0604020202020204" pitchFamily="34" charset="0"/>
            </a:rPr>
            <a:t> = 515x - 33,  R</a:t>
          </a:r>
          <a:r>
            <a:rPr lang="en-US" sz="1000" baseline="30000">
              <a:latin typeface="Arial" panose="020B0604020202020204" pitchFamily="34" charset="0"/>
              <a:cs typeface="Arial" panose="020B0604020202020204" pitchFamily="34" charset="0"/>
            </a:rPr>
            <a:t>2</a:t>
          </a:r>
          <a:r>
            <a:rPr lang="en-US" sz="1000" baseline="0">
              <a:latin typeface="Arial" panose="020B0604020202020204" pitchFamily="34" charset="0"/>
              <a:cs typeface="Arial" panose="020B0604020202020204" pitchFamily="34" charset="0"/>
            </a:rPr>
            <a:t> = 0.45</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ea typeface="+mn-ea"/>
              <a:cs typeface="Arial" panose="020B0604020202020204" pitchFamily="34" charset="0"/>
            </a:rPr>
            <a:t>y</a:t>
          </a:r>
          <a:r>
            <a:rPr lang="en-US" sz="1000" baseline="0">
              <a:effectLst/>
              <a:latin typeface="Arial" panose="020B0604020202020204" pitchFamily="34" charset="0"/>
              <a:ea typeface="+mn-ea"/>
              <a:cs typeface="Arial" panose="020B0604020202020204" pitchFamily="34" charset="0"/>
            </a:rPr>
            <a:t> = 402x + 17, R</a:t>
          </a:r>
          <a:r>
            <a:rPr lang="en-US" sz="1000" baseline="30000">
              <a:effectLst/>
              <a:latin typeface="Arial" panose="020B0604020202020204" pitchFamily="34" charset="0"/>
              <a:ea typeface="+mn-ea"/>
              <a:cs typeface="Arial" panose="020B0604020202020204" pitchFamily="34" charset="0"/>
            </a:rPr>
            <a:t>2</a:t>
          </a:r>
          <a:r>
            <a:rPr lang="en-US" sz="1000" baseline="0">
              <a:effectLst/>
              <a:latin typeface="Arial" panose="020B0604020202020204" pitchFamily="34" charset="0"/>
              <a:ea typeface="+mn-ea"/>
              <a:cs typeface="Arial" panose="020B0604020202020204" pitchFamily="34" charset="0"/>
            </a:rPr>
            <a:t> = 0.33</a:t>
          </a:r>
          <a:endParaRPr lang="en-US" sz="1000">
            <a:effectLst/>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0.18095</cdr:x>
      <cdr:y>0.0488</cdr:y>
    </cdr:from>
    <cdr:to>
      <cdr:x>0.24048</cdr:x>
      <cdr:y>0.12036</cdr:y>
    </cdr:to>
    <cdr:sp macro="" textlink="">
      <cdr:nvSpPr>
        <cdr:cNvPr id="2" name="TextBox 1">
          <a:extLst xmlns:a="http://schemas.openxmlformats.org/drawingml/2006/main">
            <a:ext uri="{FF2B5EF4-FFF2-40B4-BE49-F238E27FC236}">
              <a16:creationId xmlns:a16="http://schemas.microsoft.com/office/drawing/2014/main" id="{B7A1DE28-04D2-46CC-8009-ABA089BB8EA6}"/>
            </a:ext>
          </a:extLst>
        </cdr:cNvPr>
        <cdr:cNvSpPr txBox="1"/>
      </cdr:nvSpPr>
      <cdr:spPr>
        <a:xfrm xmlns:a="http://schemas.openxmlformats.org/drawingml/2006/main">
          <a:off x="827314" y="163286"/>
          <a:ext cx="272143" cy="2394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d</a:t>
          </a:r>
        </a:p>
      </cdr:txBody>
    </cdr:sp>
  </cdr:relSizeAnchor>
  <cdr:relSizeAnchor xmlns:cdr="http://schemas.openxmlformats.org/drawingml/2006/chartDrawing">
    <cdr:from>
      <cdr:x>0.76666</cdr:x>
      <cdr:y>0.02603</cdr:y>
    </cdr:from>
    <cdr:to>
      <cdr:x>0.95583</cdr:x>
      <cdr:y>0.12847</cdr:y>
    </cdr:to>
    <cdr:sp macro="" textlink="">
      <cdr:nvSpPr>
        <cdr:cNvPr id="4" name="TextBox 3"/>
        <cdr:cNvSpPr txBox="1"/>
      </cdr:nvSpPr>
      <cdr:spPr>
        <a:xfrm xmlns:a="http://schemas.openxmlformats.org/drawingml/2006/main">
          <a:off x="3505187" y="87094"/>
          <a:ext cx="864852" cy="34278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600"/>
            <a:t>Channel</a:t>
          </a:r>
        </a:p>
      </cdr:txBody>
    </cdr:sp>
  </cdr:relSizeAnchor>
  <cdr:relSizeAnchor xmlns:cdr="http://schemas.openxmlformats.org/drawingml/2006/chartDrawing">
    <cdr:from>
      <cdr:x>0.5619</cdr:x>
      <cdr:y>0.68639</cdr:y>
    </cdr:from>
    <cdr:to>
      <cdr:x>0.95952</cdr:x>
      <cdr:y>0.80676</cdr:y>
    </cdr:to>
    <cdr:sp macro="" textlink="">
      <cdr:nvSpPr>
        <cdr:cNvPr id="3" name="TextBox 2"/>
        <cdr:cNvSpPr txBox="1"/>
      </cdr:nvSpPr>
      <cdr:spPr>
        <a:xfrm xmlns:a="http://schemas.openxmlformats.org/drawingml/2006/main">
          <a:off x="2569014" y="2296858"/>
          <a:ext cx="1817918" cy="4027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y</a:t>
          </a:r>
          <a:r>
            <a:rPr lang="en-US" sz="1000" baseline="0">
              <a:latin typeface="Arial" panose="020B0604020202020204" pitchFamily="34" charset="0"/>
              <a:cs typeface="Arial" panose="020B0604020202020204" pitchFamily="34" charset="0"/>
            </a:rPr>
            <a:t> = -504x + 128,  R</a:t>
          </a:r>
          <a:r>
            <a:rPr lang="en-US" sz="1000" baseline="30000">
              <a:latin typeface="Arial" panose="020B0604020202020204" pitchFamily="34" charset="0"/>
              <a:cs typeface="Arial" panose="020B0604020202020204" pitchFamily="34" charset="0"/>
            </a:rPr>
            <a:t>2</a:t>
          </a:r>
          <a:r>
            <a:rPr lang="en-US" sz="1000" baseline="0">
              <a:latin typeface="Arial" panose="020B0604020202020204" pitchFamily="34" charset="0"/>
              <a:cs typeface="Arial" panose="020B0604020202020204" pitchFamily="34" charset="0"/>
            </a:rPr>
            <a:t> = 0.14</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ea typeface="+mn-ea"/>
              <a:cs typeface="Arial" panose="020B0604020202020204" pitchFamily="34" charset="0"/>
            </a:rPr>
            <a:t>y</a:t>
          </a:r>
          <a:r>
            <a:rPr lang="en-US" sz="1000" baseline="0">
              <a:effectLst/>
              <a:latin typeface="Arial" panose="020B0604020202020204" pitchFamily="34" charset="0"/>
              <a:ea typeface="+mn-ea"/>
              <a:cs typeface="Arial" panose="020B0604020202020204" pitchFamily="34" charset="0"/>
            </a:rPr>
            <a:t> = -460x + 184,  R</a:t>
          </a:r>
          <a:r>
            <a:rPr lang="en-US" sz="1000" baseline="30000">
              <a:effectLst/>
              <a:latin typeface="Arial" panose="020B0604020202020204" pitchFamily="34" charset="0"/>
              <a:ea typeface="+mn-ea"/>
              <a:cs typeface="Arial" panose="020B0604020202020204" pitchFamily="34" charset="0"/>
            </a:rPr>
            <a:t>2</a:t>
          </a:r>
          <a:r>
            <a:rPr lang="en-US" sz="1000" baseline="0">
              <a:effectLst/>
              <a:latin typeface="Arial" panose="020B0604020202020204" pitchFamily="34" charset="0"/>
              <a:ea typeface="+mn-ea"/>
              <a:cs typeface="Arial" panose="020B0604020202020204" pitchFamily="34" charset="0"/>
            </a:rPr>
            <a:t> = 0.07</a:t>
          </a:r>
          <a:endParaRPr lang="en-US" sz="1000">
            <a:effectLst/>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0.18095</cdr:x>
      <cdr:y>0.0488</cdr:y>
    </cdr:from>
    <cdr:to>
      <cdr:x>0.24048</cdr:x>
      <cdr:y>0.12036</cdr:y>
    </cdr:to>
    <cdr:sp macro="" textlink="">
      <cdr:nvSpPr>
        <cdr:cNvPr id="2" name="TextBox 1">
          <a:extLst xmlns:a="http://schemas.openxmlformats.org/drawingml/2006/main">
            <a:ext uri="{FF2B5EF4-FFF2-40B4-BE49-F238E27FC236}">
              <a16:creationId xmlns:a16="http://schemas.microsoft.com/office/drawing/2014/main" id="{B7A1DE28-04D2-46CC-8009-ABA089BB8EA6}"/>
            </a:ext>
          </a:extLst>
        </cdr:cNvPr>
        <cdr:cNvSpPr txBox="1"/>
      </cdr:nvSpPr>
      <cdr:spPr>
        <a:xfrm xmlns:a="http://schemas.openxmlformats.org/drawingml/2006/main">
          <a:off x="827314" y="163286"/>
          <a:ext cx="272143" cy="2394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a</a:t>
          </a:r>
        </a:p>
      </cdr:txBody>
    </cdr:sp>
  </cdr:relSizeAnchor>
  <cdr:relSizeAnchor xmlns:cdr="http://schemas.openxmlformats.org/drawingml/2006/chartDrawing">
    <cdr:from>
      <cdr:x>0.80714</cdr:x>
      <cdr:y>0.02928</cdr:y>
    </cdr:from>
    <cdr:to>
      <cdr:x>0.94719</cdr:x>
      <cdr:y>0.13172</cdr:y>
    </cdr:to>
    <cdr:sp macro="" textlink="">
      <cdr:nvSpPr>
        <cdr:cNvPr id="4" name="TextBox 3"/>
        <cdr:cNvSpPr txBox="1"/>
      </cdr:nvSpPr>
      <cdr:spPr>
        <a:xfrm xmlns:a="http://schemas.openxmlformats.org/drawingml/2006/main">
          <a:off x="3690258" y="97971"/>
          <a:ext cx="640303" cy="34278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600"/>
            <a:t>Shoal</a:t>
          </a:r>
        </a:p>
      </cdr:txBody>
    </cdr:sp>
  </cdr:relSizeAnchor>
  <cdr:relSizeAnchor xmlns:cdr="http://schemas.openxmlformats.org/drawingml/2006/chartDrawing">
    <cdr:from>
      <cdr:x>0.58095</cdr:x>
      <cdr:y>0.18542</cdr:y>
    </cdr:from>
    <cdr:to>
      <cdr:x>0.97857</cdr:x>
      <cdr:y>0.30579</cdr:y>
    </cdr:to>
    <cdr:sp macro="" textlink="">
      <cdr:nvSpPr>
        <cdr:cNvPr id="3" name="TextBox 2"/>
        <cdr:cNvSpPr txBox="1"/>
      </cdr:nvSpPr>
      <cdr:spPr>
        <a:xfrm xmlns:a="http://schemas.openxmlformats.org/drawingml/2006/main">
          <a:off x="2656094" y="620479"/>
          <a:ext cx="1817933" cy="4027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y</a:t>
          </a:r>
          <a:r>
            <a:rPr lang="en-US" sz="1000" baseline="0">
              <a:latin typeface="Arial" panose="020B0604020202020204" pitchFamily="34" charset="0"/>
              <a:cs typeface="Arial" panose="020B0604020202020204" pitchFamily="34" charset="0"/>
            </a:rPr>
            <a:t> = 38.8x + 112, R</a:t>
          </a:r>
          <a:r>
            <a:rPr lang="en-US" sz="1000" baseline="30000">
              <a:latin typeface="Arial" panose="020B0604020202020204" pitchFamily="34" charset="0"/>
              <a:cs typeface="Arial" panose="020B0604020202020204" pitchFamily="34" charset="0"/>
            </a:rPr>
            <a:t>2</a:t>
          </a:r>
          <a:r>
            <a:rPr lang="en-US" sz="1000" baseline="0">
              <a:latin typeface="Arial" panose="020B0604020202020204" pitchFamily="34" charset="0"/>
              <a:cs typeface="Arial" panose="020B0604020202020204" pitchFamily="34" charset="0"/>
            </a:rPr>
            <a:t> = 0.01</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ea typeface="+mn-ea"/>
              <a:cs typeface="Arial" panose="020B0604020202020204" pitchFamily="34" charset="0"/>
            </a:rPr>
            <a:t>y</a:t>
          </a:r>
          <a:r>
            <a:rPr lang="en-US" sz="1000" baseline="0">
              <a:effectLst/>
              <a:latin typeface="Arial" panose="020B0604020202020204" pitchFamily="34" charset="0"/>
              <a:ea typeface="+mn-ea"/>
              <a:cs typeface="Arial" panose="020B0604020202020204" pitchFamily="34" charset="0"/>
            </a:rPr>
            <a:t> = 36.3x + 124, R</a:t>
          </a:r>
          <a:r>
            <a:rPr lang="en-US" sz="1000" baseline="30000">
              <a:effectLst/>
              <a:latin typeface="Arial" panose="020B0604020202020204" pitchFamily="34" charset="0"/>
              <a:ea typeface="+mn-ea"/>
              <a:cs typeface="Arial" panose="020B0604020202020204" pitchFamily="34" charset="0"/>
            </a:rPr>
            <a:t>2</a:t>
          </a:r>
          <a:r>
            <a:rPr lang="en-US" sz="1000" baseline="0">
              <a:effectLst/>
              <a:latin typeface="Arial" panose="020B0604020202020204" pitchFamily="34" charset="0"/>
              <a:ea typeface="+mn-ea"/>
              <a:cs typeface="Arial" panose="020B0604020202020204" pitchFamily="34" charset="0"/>
            </a:rPr>
            <a:t> = 0.06</a:t>
          </a:r>
          <a:endParaRPr lang="en-US" sz="1000">
            <a:effectLst/>
            <a:latin typeface="Arial" panose="020B0604020202020204" pitchFamily="34" charset="0"/>
            <a:cs typeface="Arial" panose="020B06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0.18095</cdr:x>
      <cdr:y>0.0488</cdr:y>
    </cdr:from>
    <cdr:to>
      <cdr:x>0.24048</cdr:x>
      <cdr:y>0.12036</cdr:y>
    </cdr:to>
    <cdr:sp macro="" textlink="">
      <cdr:nvSpPr>
        <cdr:cNvPr id="2" name="TextBox 1">
          <a:extLst xmlns:a="http://schemas.openxmlformats.org/drawingml/2006/main">
            <a:ext uri="{FF2B5EF4-FFF2-40B4-BE49-F238E27FC236}">
              <a16:creationId xmlns:a16="http://schemas.microsoft.com/office/drawing/2014/main" id="{B7A1DE28-04D2-46CC-8009-ABA089BB8EA6}"/>
            </a:ext>
          </a:extLst>
        </cdr:cNvPr>
        <cdr:cNvSpPr txBox="1"/>
      </cdr:nvSpPr>
      <cdr:spPr>
        <a:xfrm xmlns:a="http://schemas.openxmlformats.org/drawingml/2006/main">
          <a:off x="827314" y="163286"/>
          <a:ext cx="272143" cy="2394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b</a:t>
          </a:r>
        </a:p>
      </cdr:txBody>
    </cdr:sp>
  </cdr:relSizeAnchor>
  <cdr:relSizeAnchor xmlns:cdr="http://schemas.openxmlformats.org/drawingml/2006/chartDrawing">
    <cdr:from>
      <cdr:x>0.76051</cdr:x>
      <cdr:y>0.04229</cdr:y>
    </cdr:from>
    <cdr:to>
      <cdr:x>0.94967</cdr:x>
      <cdr:y>0.14473</cdr:y>
    </cdr:to>
    <cdr:sp macro="" textlink="">
      <cdr:nvSpPr>
        <cdr:cNvPr id="4" name="TextBox 3"/>
        <cdr:cNvSpPr txBox="1"/>
      </cdr:nvSpPr>
      <cdr:spPr>
        <a:xfrm xmlns:a="http://schemas.openxmlformats.org/drawingml/2006/main">
          <a:off x="3477058" y="141522"/>
          <a:ext cx="864852" cy="342786"/>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600"/>
            <a:t>Channel</a:t>
          </a:r>
        </a:p>
      </cdr:txBody>
    </cdr:sp>
  </cdr:relSizeAnchor>
  <cdr:relSizeAnchor xmlns:cdr="http://schemas.openxmlformats.org/drawingml/2006/chartDrawing">
    <cdr:from>
      <cdr:x>0.42142</cdr:x>
      <cdr:y>0.15289</cdr:y>
    </cdr:from>
    <cdr:to>
      <cdr:x>0.79523</cdr:x>
      <cdr:y>0.29278</cdr:y>
    </cdr:to>
    <cdr:sp macro="" textlink="">
      <cdr:nvSpPr>
        <cdr:cNvPr id="3" name="TextBox 2"/>
        <cdr:cNvSpPr txBox="1"/>
      </cdr:nvSpPr>
      <cdr:spPr>
        <a:xfrm xmlns:a="http://schemas.openxmlformats.org/drawingml/2006/main">
          <a:off x="1926751" y="511622"/>
          <a:ext cx="1709059" cy="4680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y</a:t>
          </a:r>
          <a:r>
            <a:rPr lang="en-US" sz="1000" baseline="0">
              <a:latin typeface="Arial" panose="020B0604020202020204" pitchFamily="34" charset="0"/>
              <a:cs typeface="Arial" panose="020B0604020202020204" pitchFamily="34" charset="0"/>
            </a:rPr>
            <a:t> = 16.8x - 115, R</a:t>
          </a:r>
          <a:r>
            <a:rPr lang="en-US" sz="1000" baseline="30000">
              <a:latin typeface="Arial" panose="020B0604020202020204" pitchFamily="34" charset="0"/>
              <a:cs typeface="Arial" panose="020B0604020202020204" pitchFamily="34" charset="0"/>
            </a:rPr>
            <a:t>2</a:t>
          </a:r>
          <a:r>
            <a:rPr lang="en-US" sz="1000" baseline="0">
              <a:latin typeface="Arial" panose="020B0604020202020204" pitchFamily="34" charset="0"/>
              <a:cs typeface="Arial" panose="020B0604020202020204" pitchFamily="34" charset="0"/>
            </a:rPr>
            <a:t> = 0.16</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ea typeface="+mn-ea"/>
              <a:cs typeface="Arial" panose="020B0604020202020204" pitchFamily="34" charset="0"/>
            </a:rPr>
            <a:t>y</a:t>
          </a:r>
          <a:r>
            <a:rPr lang="en-US" sz="1000" baseline="0">
              <a:effectLst/>
              <a:latin typeface="Arial" panose="020B0604020202020204" pitchFamily="34" charset="0"/>
              <a:ea typeface="+mn-ea"/>
              <a:cs typeface="Arial" panose="020B0604020202020204" pitchFamily="34" charset="0"/>
            </a:rPr>
            <a:t> = 21.5x  -  91, R</a:t>
          </a:r>
          <a:r>
            <a:rPr lang="en-US" sz="1000" baseline="30000">
              <a:effectLst/>
              <a:latin typeface="Arial" panose="020B0604020202020204" pitchFamily="34" charset="0"/>
              <a:ea typeface="+mn-ea"/>
              <a:cs typeface="Arial" panose="020B0604020202020204" pitchFamily="34" charset="0"/>
            </a:rPr>
            <a:t>2</a:t>
          </a:r>
          <a:r>
            <a:rPr lang="en-US" sz="1000" baseline="0">
              <a:effectLst/>
              <a:latin typeface="Arial" panose="020B0604020202020204" pitchFamily="34" charset="0"/>
              <a:ea typeface="+mn-ea"/>
              <a:cs typeface="Arial" panose="020B0604020202020204" pitchFamily="34" charset="0"/>
            </a:rPr>
            <a:t> = 0.15</a:t>
          </a:r>
          <a:endParaRPr lang="en-US" sz="1000">
            <a:effectLst/>
            <a:latin typeface="Arial" panose="020B0604020202020204" pitchFamily="34" charset="0"/>
            <a:cs typeface="Arial" panose="020B0604020202020204" pitchFamily="34" charset="0"/>
          </a:endParaRPr>
        </a:p>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37</xdr:col>
      <xdr:colOff>340659</xdr:colOff>
      <xdr:row>1</xdr:row>
      <xdr:rowOff>170327</xdr:rowOff>
    </xdr:from>
    <xdr:to>
      <xdr:col>46</xdr:col>
      <xdr:colOff>333999</xdr:colOff>
      <xdr:row>21</xdr:row>
      <xdr:rowOff>77551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349623</xdr:colOff>
      <xdr:row>20</xdr:row>
      <xdr:rowOff>17927</xdr:rowOff>
    </xdr:from>
    <xdr:to>
      <xdr:col>46</xdr:col>
      <xdr:colOff>342963</xdr:colOff>
      <xdr:row>39</xdr:row>
      <xdr:rowOff>95481</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0.19687</cdr:x>
      <cdr:y>0.03517</cdr:y>
    </cdr:from>
    <cdr:to>
      <cdr:x>0.95219</cdr:x>
      <cdr:y>0.83592</cdr:y>
    </cdr:to>
    <cdr:cxnSp macro="">
      <cdr:nvCxnSpPr>
        <cdr:cNvPr id="3" name="Straight Connector 2">
          <a:extLst xmlns:a="http://schemas.openxmlformats.org/drawingml/2006/main">
            <a:ext uri="{FF2B5EF4-FFF2-40B4-BE49-F238E27FC236}">
              <a16:creationId xmlns:a16="http://schemas.microsoft.com/office/drawing/2014/main" id="{A2D9E899-4E6A-441C-B91C-D60A798754B7}"/>
            </a:ext>
          </a:extLst>
        </cdr:cNvPr>
        <cdr:cNvCxnSpPr/>
      </cdr:nvCxnSpPr>
      <cdr:spPr>
        <a:xfrm xmlns:a="http://schemas.openxmlformats.org/drawingml/2006/main" flipV="1">
          <a:off x="932330" y="116544"/>
          <a:ext cx="3576918" cy="2653553"/>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35</xdr:col>
      <xdr:colOff>182881</xdr:colOff>
      <xdr:row>3</xdr:row>
      <xdr:rowOff>53340</xdr:rowOff>
    </xdr:from>
    <xdr:to>
      <xdr:col>41</xdr:col>
      <xdr:colOff>91441</xdr:colOff>
      <xdr:row>17</xdr:row>
      <xdr:rowOff>144780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5</xdr:row>
      <xdr:rowOff>107577</xdr:rowOff>
    </xdr:from>
    <xdr:to>
      <xdr:col>53</xdr:col>
      <xdr:colOff>379744</xdr:colOff>
      <xdr:row>24</xdr:row>
      <xdr:rowOff>11117</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0.1962</cdr:x>
      <cdr:y>0.0316</cdr:y>
    </cdr:from>
    <cdr:to>
      <cdr:x>0.95137</cdr:x>
      <cdr:y>0.83324</cdr:y>
    </cdr:to>
    <cdr:cxnSp macro="">
      <cdr:nvCxnSpPr>
        <cdr:cNvPr id="2" name="Straight Connector 1">
          <a:extLst xmlns:a="http://schemas.openxmlformats.org/drawingml/2006/main">
            <a:ext uri="{FF2B5EF4-FFF2-40B4-BE49-F238E27FC236}">
              <a16:creationId xmlns:a16="http://schemas.microsoft.com/office/drawing/2014/main" id="{3B20F29D-4746-40A5-8DE8-6682BCD0552C}"/>
            </a:ext>
          </a:extLst>
        </cdr:cNvPr>
        <cdr:cNvCxnSpPr/>
      </cdr:nvCxnSpPr>
      <cdr:spPr>
        <a:xfrm xmlns:a="http://schemas.openxmlformats.org/drawingml/2006/main" flipV="1">
          <a:off x="929341" y="104588"/>
          <a:ext cx="3576918" cy="2653553"/>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editAs="absolute">
    <xdr:from>
      <xdr:col>5</xdr:col>
      <xdr:colOff>47625</xdr:colOff>
      <xdr:row>1</xdr:row>
      <xdr:rowOff>85725</xdr:rowOff>
    </xdr:from>
    <xdr:to>
      <xdr:col>12</xdr:col>
      <xdr:colOff>352425</xdr:colOff>
      <xdr:row>17</xdr:row>
      <xdr:rowOff>142875</xdr:rowOff>
    </xdr:to>
    <xdr:graphicFrame macro="">
      <xdr:nvGraphicFramePr>
        <xdr:cNvPr id="1064961" name="Chart 7">
          <a:extLst>
            <a:ext uri="{FF2B5EF4-FFF2-40B4-BE49-F238E27FC236}">
              <a16:creationId xmlns:a16="http://schemas.microsoft.com/office/drawing/2014/main" id="{00000000-0008-0000-1500-0000014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9525</xdr:colOff>
      <xdr:row>17</xdr:row>
      <xdr:rowOff>104775</xdr:rowOff>
    </xdr:from>
    <xdr:to>
      <xdr:col>12</xdr:col>
      <xdr:colOff>314325</xdr:colOff>
      <xdr:row>34</xdr:row>
      <xdr:rowOff>0</xdr:rowOff>
    </xdr:to>
    <xdr:graphicFrame macro="">
      <xdr:nvGraphicFramePr>
        <xdr:cNvPr id="1064962" name="Chart 7">
          <a:extLst>
            <a:ext uri="{FF2B5EF4-FFF2-40B4-BE49-F238E27FC236}">
              <a16:creationId xmlns:a16="http://schemas.microsoft.com/office/drawing/2014/main" id="{00000000-0008-0000-1500-0000024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16</xdr:row>
      <xdr:rowOff>147357</xdr:rowOff>
    </xdr:from>
    <xdr:to>
      <xdr:col>9</xdr:col>
      <xdr:colOff>0</xdr:colOff>
      <xdr:row>26</xdr:row>
      <xdr:rowOff>137832</xdr:rowOff>
    </xdr:to>
    <xdr:graphicFrame macro="">
      <xdr:nvGraphicFramePr>
        <xdr:cNvPr id="19" name="Chart 1">
          <a:extLst>
            <a:ext uri="{FF2B5EF4-FFF2-40B4-BE49-F238E27FC236}">
              <a16:creationId xmlns:a16="http://schemas.microsoft.com/office/drawing/2014/main"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19</xdr:row>
      <xdr:rowOff>19050</xdr:rowOff>
    </xdr:to>
    <xdr:graphicFrame macro="">
      <xdr:nvGraphicFramePr>
        <xdr:cNvPr id="1068033" name="Chart 1">
          <a:extLst>
            <a:ext uri="{FF2B5EF4-FFF2-40B4-BE49-F238E27FC236}">
              <a16:creationId xmlns:a16="http://schemas.microsoft.com/office/drawing/2014/main" id="{00000000-0008-0000-1600-0000014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89647</xdr:colOff>
      <xdr:row>18</xdr:row>
      <xdr:rowOff>156323</xdr:rowOff>
    </xdr:from>
    <xdr:to>
      <xdr:col>24</xdr:col>
      <xdr:colOff>89647</xdr:colOff>
      <xdr:row>28</xdr:row>
      <xdr:rowOff>146797</xdr:rowOff>
    </xdr:to>
    <xdr:graphicFrame macro="">
      <xdr:nvGraphicFramePr>
        <xdr:cNvPr id="1068034" name="Chart 1">
          <a:extLst>
            <a:ext uri="{FF2B5EF4-FFF2-40B4-BE49-F238E27FC236}">
              <a16:creationId xmlns:a16="http://schemas.microsoft.com/office/drawing/2014/main" id="{00000000-0008-0000-1600-0000024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25</xdr:row>
      <xdr:rowOff>95250</xdr:rowOff>
    </xdr:from>
    <xdr:to>
      <xdr:col>9</xdr:col>
      <xdr:colOff>0</xdr:colOff>
      <xdr:row>44</xdr:row>
      <xdr:rowOff>114300</xdr:rowOff>
    </xdr:to>
    <xdr:graphicFrame macro="">
      <xdr:nvGraphicFramePr>
        <xdr:cNvPr id="1068035" name="Chart 1">
          <a:extLst>
            <a:ext uri="{FF2B5EF4-FFF2-40B4-BE49-F238E27FC236}">
              <a16:creationId xmlns:a16="http://schemas.microsoft.com/office/drawing/2014/main" id="{00000000-0008-0000-1600-0000034C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428625</xdr:colOff>
      <xdr:row>6</xdr:row>
      <xdr:rowOff>133350</xdr:rowOff>
    </xdr:from>
    <xdr:to>
      <xdr:col>2</xdr:col>
      <xdr:colOff>428625</xdr:colOff>
      <xdr:row>22</xdr:row>
      <xdr:rowOff>66675</xdr:rowOff>
    </xdr:to>
    <xdr:sp macro="" textlink="">
      <xdr:nvSpPr>
        <xdr:cNvPr id="1068036" name="Line 15">
          <a:extLst>
            <a:ext uri="{FF2B5EF4-FFF2-40B4-BE49-F238E27FC236}">
              <a16:creationId xmlns:a16="http://schemas.microsoft.com/office/drawing/2014/main" id="{00000000-0008-0000-1600-0000044C1000}"/>
            </a:ext>
          </a:extLst>
        </xdr:cNvPr>
        <xdr:cNvSpPr>
          <a:spLocks noChangeShapeType="1"/>
        </xdr:cNvSpPr>
      </xdr:nvSpPr>
      <xdr:spPr bwMode="auto">
        <a:xfrm>
          <a:off x="1647825" y="1104900"/>
          <a:ext cx="0" cy="2524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104775</xdr:colOff>
      <xdr:row>7</xdr:row>
      <xdr:rowOff>95250</xdr:rowOff>
    </xdr:from>
    <xdr:to>
      <xdr:col>2</xdr:col>
      <xdr:colOff>104775</xdr:colOff>
      <xdr:row>23</xdr:row>
      <xdr:rowOff>38100</xdr:rowOff>
    </xdr:to>
    <xdr:sp macro="" textlink="">
      <xdr:nvSpPr>
        <xdr:cNvPr id="1068037" name="Line 16">
          <a:extLst>
            <a:ext uri="{FF2B5EF4-FFF2-40B4-BE49-F238E27FC236}">
              <a16:creationId xmlns:a16="http://schemas.microsoft.com/office/drawing/2014/main" id="{00000000-0008-0000-1600-0000054C1000}"/>
            </a:ext>
          </a:extLst>
        </xdr:cNvPr>
        <xdr:cNvSpPr>
          <a:spLocks noChangeShapeType="1"/>
        </xdr:cNvSpPr>
      </xdr:nvSpPr>
      <xdr:spPr bwMode="auto">
        <a:xfrm>
          <a:off x="1323975" y="1228725"/>
          <a:ext cx="0" cy="2533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447675</xdr:colOff>
      <xdr:row>6</xdr:row>
      <xdr:rowOff>133350</xdr:rowOff>
    </xdr:from>
    <xdr:to>
      <xdr:col>3</xdr:col>
      <xdr:colOff>447675</xdr:colOff>
      <xdr:row>22</xdr:row>
      <xdr:rowOff>66675</xdr:rowOff>
    </xdr:to>
    <xdr:sp macro="" textlink="">
      <xdr:nvSpPr>
        <xdr:cNvPr id="1068038" name="Line 17">
          <a:extLst>
            <a:ext uri="{FF2B5EF4-FFF2-40B4-BE49-F238E27FC236}">
              <a16:creationId xmlns:a16="http://schemas.microsoft.com/office/drawing/2014/main" id="{00000000-0008-0000-1600-0000064C1000}"/>
            </a:ext>
          </a:extLst>
        </xdr:cNvPr>
        <xdr:cNvSpPr>
          <a:spLocks noChangeShapeType="1"/>
        </xdr:cNvSpPr>
      </xdr:nvSpPr>
      <xdr:spPr bwMode="auto">
        <a:xfrm>
          <a:off x="2276475" y="1104900"/>
          <a:ext cx="0" cy="2524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352425</xdr:colOff>
      <xdr:row>6</xdr:row>
      <xdr:rowOff>85725</xdr:rowOff>
    </xdr:from>
    <xdr:to>
      <xdr:col>4</xdr:col>
      <xdr:colOff>352425</xdr:colOff>
      <xdr:row>22</xdr:row>
      <xdr:rowOff>19050</xdr:rowOff>
    </xdr:to>
    <xdr:sp macro="" textlink="">
      <xdr:nvSpPr>
        <xdr:cNvPr id="1068039" name="Line 18">
          <a:extLst>
            <a:ext uri="{FF2B5EF4-FFF2-40B4-BE49-F238E27FC236}">
              <a16:creationId xmlns:a16="http://schemas.microsoft.com/office/drawing/2014/main" id="{00000000-0008-0000-1600-0000074C1000}"/>
            </a:ext>
          </a:extLst>
        </xdr:cNvPr>
        <xdr:cNvSpPr>
          <a:spLocks noChangeShapeType="1"/>
        </xdr:cNvSpPr>
      </xdr:nvSpPr>
      <xdr:spPr bwMode="auto">
        <a:xfrm>
          <a:off x="2790825" y="1057275"/>
          <a:ext cx="0" cy="2524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9525</xdr:colOff>
      <xdr:row>6</xdr:row>
      <xdr:rowOff>95250</xdr:rowOff>
    </xdr:from>
    <xdr:to>
      <xdr:col>3</xdr:col>
      <xdr:colOff>9525</xdr:colOff>
      <xdr:row>22</xdr:row>
      <xdr:rowOff>38100</xdr:rowOff>
    </xdr:to>
    <xdr:sp macro="" textlink="">
      <xdr:nvSpPr>
        <xdr:cNvPr id="1068040" name="Line 19">
          <a:extLst>
            <a:ext uri="{FF2B5EF4-FFF2-40B4-BE49-F238E27FC236}">
              <a16:creationId xmlns:a16="http://schemas.microsoft.com/office/drawing/2014/main" id="{00000000-0008-0000-1600-0000084C1000}"/>
            </a:ext>
          </a:extLst>
        </xdr:cNvPr>
        <xdr:cNvSpPr>
          <a:spLocks noChangeShapeType="1"/>
        </xdr:cNvSpPr>
      </xdr:nvSpPr>
      <xdr:spPr bwMode="auto">
        <a:xfrm>
          <a:off x="1838325" y="1066800"/>
          <a:ext cx="0" cy="2533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207308</xdr:colOff>
      <xdr:row>21</xdr:row>
      <xdr:rowOff>22410</xdr:rowOff>
    </xdr:from>
    <xdr:to>
      <xdr:col>3</xdr:col>
      <xdr:colOff>207308</xdr:colOff>
      <xdr:row>36</xdr:row>
      <xdr:rowOff>70036</xdr:rowOff>
    </xdr:to>
    <xdr:sp macro="" textlink="">
      <xdr:nvSpPr>
        <xdr:cNvPr id="1068041" name="Line 20">
          <a:extLst>
            <a:ext uri="{FF2B5EF4-FFF2-40B4-BE49-F238E27FC236}">
              <a16:creationId xmlns:a16="http://schemas.microsoft.com/office/drawing/2014/main" id="{00000000-0008-0000-1600-0000094C1000}"/>
            </a:ext>
          </a:extLst>
        </xdr:cNvPr>
        <xdr:cNvSpPr>
          <a:spLocks noChangeShapeType="1"/>
        </xdr:cNvSpPr>
      </xdr:nvSpPr>
      <xdr:spPr bwMode="auto">
        <a:xfrm flipV="1">
          <a:off x="2036108" y="3599328"/>
          <a:ext cx="0" cy="260256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484094</xdr:colOff>
      <xdr:row>23</xdr:row>
      <xdr:rowOff>76200</xdr:rowOff>
    </xdr:from>
    <xdr:to>
      <xdr:col>3</xdr:col>
      <xdr:colOff>484094</xdr:colOff>
      <xdr:row>37</xdr:row>
      <xdr:rowOff>76200</xdr:rowOff>
    </xdr:to>
    <xdr:sp macro="" textlink="">
      <xdr:nvSpPr>
        <xdr:cNvPr id="1068042" name="Line 21">
          <a:extLst>
            <a:ext uri="{FF2B5EF4-FFF2-40B4-BE49-F238E27FC236}">
              <a16:creationId xmlns:a16="http://schemas.microsoft.com/office/drawing/2014/main" id="{00000000-0008-0000-1600-00000A4C1000}"/>
            </a:ext>
          </a:extLst>
        </xdr:cNvPr>
        <xdr:cNvSpPr>
          <a:spLocks noChangeShapeType="1"/>
        </xdr:cNvSpPr>
      </xdr:nvSpPr>
      <xdr:spPr bwMode="auto">
        <a:xfrm flipV="1">
          <a:off x="2312894" y="3993776"/>
          <a:ext cx="0" cy="238461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236444</xdr:colOff>
      <xdr:row>23</xdr:row>
      <xdr:rowOff>67235</xdr:rowOff>
    </xdr:from>
    <xdr:to>
      <xdr:col>4</xdr:col>
      <xdr:colOff>236444</xdr:colOff>
      <xdr:row>37</xdr:row>
      <xdr:rowOff>76760</xdr:rowOff>
    </xdr:to>
    <xdr:sp macro="" textlink="">
      <xdr:nvSpPr>
        <xdr:cNvPr id="1068043" name="Line 22">
          <a:extLst>
            <a:ext uri="{FF2B5EF4-FFF2-40B4-BE49-F238E27FC236}">
              <a16:creationId xmlns:a16="http://schemas.microsoft.com/office/drawing/2014/main" id="{00000000-0008-0000-1600-00000B4C1000}"/>
            </a:ext>
          </a:extLst>
        </xdr:cNvPr>
        <xdr:cNvSpPr>
          <a:spLocks noChangeShapeType="1"/>
        </xdr:cNvSpPr>
      </xdr:nvSpPr>
      <xdr:spPr bwMode="auto">
        <a:xfrm flipV="1">
          <a:off x="2674844" y="3984811"/>
          <a:ext cx="0" cy="23941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363631</xdr:colOff>
      <xdr:row>23</xdr:row>
      <xdr:rowOff>122704</xdr:rowOff>
    </xdr:from>
    <xdr:to>
      <xdr:col>5</xdr:col>
      <xdr:colOff>363631</xdr:colOff>
      <xdr:row>35</xdr:row>
      <xdr:rowOff>113179</xdr:rowOff>
    </xdr:to>
    <xdr:sp macro="" textlink="">
      <xdr:nvSpPr>
        <xdr:cNvPr id="1068044" name="Line 23">
          <a:extLst>
            <a:ext uri="{FF2B5EF4-FFF2-40B4-BE49-F238E27FC236}">
              <a16:creationId xmlns:a16="http://schemas.microsoft.com/office/drawing/2014/main" id="{00000000-0008-0000-1600-00000C4C1000}"/>
            </a:ext>
          </a:extLst>
        </xdr:cNvPr>
        <xdr:cNvSpPr>
          <a:spLocks noChangeShapeType="1"/>
        </xdr:cNvSpPr>
      </xdr:nvSpPr>
      <xdr:spPr bwMode="auto">
        <a:xfrm flipV="1">
          <a:off x="3411631" y="4040280"/>
          <a:ext cx="0" cy="203442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23</xdr:row>
      <xdr:rowOff>133350</xdr:rowOff>
    </xdr:from>
    <xdr:to>
      <xdr:col>6</xdr:col>
      <xdr:colOff>19050</xdr:colOff>
      <xdr:row>34</xdr:row>
      <xdr:rowOff>104775</xdr:rowOff>
    </xdr:to>
    <xdr:sp macro="" textlink="">
      <xdr:nvSpPr>
        <xdr:cNvPr id="1068045" name="Line 24">
          <a:extLst>
            <a:ext uri="{FF2B5EF4-FFF2-40B4-BE49-F238E27FC236}">
              <a16:creationId xmlns:a16="http://schemas.microsoft.com/office/drawing/2014/main" id="{00000000-0008-0000-1600-00000D4C1000}"/>
            </a:ext>
          </a:extLst>
        </xdr:cNvPr>
        <xdr:cNvSpPr>
          <a:spLocks noChangeShapeType="1"/>
        </xdr:cNvSpPr>
      </xdr:nvSpPr>
      <xdr:spPr bwMode="auto">
        <a:xfrm flipV="1">
          <a:off x="3676650" y="3857625"/>
          <a:ext cx="0" cy="1752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483533</xdr:colOff>
      <xdr:row>22</xdr:row>
      <xdr:rowOff>8964</xdr:rowOff>
    </xdr:from>
    <xdr:to>
      <xdr:col>6</xdr:col>
      <xdr:colOff>483533</xdr:colOff>
      <xdr:row>35</xdr:row>
      <xdr:rowOff>74519</xdr:rowOff>
    </xdr:to>
    <xdr:sp macro="" textlink="">
      <xdr:nvSpPr>
        <xdr:cNvPr id="1068046" name="Line 25">
          <a:extLst>
            <a:ext uri="{FF2B5EF4-FFF2-40B4-BE49-F238E27FC236}">
              <a16:creationId xmlns:a16="http://schemas.microsoft.com/office/drawing/2014/main" id="{00000000-0008-0000-1600-00000E4C1000}"/>
            </a:ext>
          </a:extLst>
        </xdr:cNvPr>
        <xdr:cNvSpPr>
          <a:spLocks noChangeShapeType="1"/>
        </xdr:cNvSpPr>
      </xdr:nvSpPr>
      <xdr:spPr bwMode="auto">
        <a:xfrm flipV="1">
          <a:off x="4141133" y="3756211"/>
          <a:ext cx="0" cy="22798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196662</xdr:colOff>
      <xdr:row>21</xdr:row>
      <xdr:rowOff>132790</xdr:rowOff>
    </xdr:from>
    <xdr:to>
      <xdr:col>7</xdr:col>
      <xdr:colOff>196662</xdr:colOff>
      <xdr:row>33</xdr:row>
      <xdr:rowOff>113740</xdr:rowOff>
    </xdr:to>
    <xdr:sp macro="" textlink="">
      <xdr:nvSpPr>
        <xdr:cNvPr id="1068047" name="Line 26">
          <a:extLst>
            <a:ext uri="{FF2B5EF4-FFF2-40B4-BE49-F238E27FC236}">
              <a16:creationId xmlns:a16="http://schemas.microsoft.com/office/drawing/2014/main" id="{00000000-0008-0000-1600-00000F4C1000}"/>
            </a:ext>
          </a:extLst>
        </xdr:cNvPr>
        <xdr:cNvSpPr>
          <a:spLocks noChangeShapeType="1"/>
        </xdr:cNvSpPr>
      </xdr:nvSpPr>
      <xdr:spPr bwMode="auto">
        <a:xfrm flipV="1">
          <a:off x="4463862" y="3709708"/>
          <a:ext cx="0" cy="202490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551330</xdr:colOff>
      <xdr:row>21</xdr:row>
      <xdr:rowOff>106454</xdr:rowOff>
    </xdr:from>
    <xdr:to>
      <xdr:col>7</xdr:col>
      <xdr:colOff>551330</xdr:colOff>
      <xdr:row>35</xdr:row>
      <xdr:rowOff>96930</xdr:rowOff>
    </xdr:to>
    <xdr:sp macro="" textlink="">
      <xdr:nvSpPr>
        <xdr:cNvPr id="1068048" name="Line 27">
          <a:extLst>
            <a:ext uri="{FF2B5EF4-FFF2-40B4-BE49-F238E27FC236}">
              <a16:creationId xmlns:a16="http://schemas.microsoft.com/office/drawing/2014/main" id="{00000000-0008-0000-1600-0000104C1000}"/>
            </a:ext>
          </a:extLst>
        </xdr:cNvPr>
        <xdr:cNvSpPr>
          <a:spLocks noChangeShapeType="1"/>
        </xdr:cNvSpPr>
      </xdr:nvSpPr>
      <xdr:spPr bwMode="auto">
        <a:xfrm flipV="1">
          <a:off x="4818530" y="3683372"/>
          <a:ext cx="0" cy="237508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449356</xdr:colOff>
      <xdr:row>24</xdr:row>
      <xdr:rowOff>31375</xdr:rowOff>
    </xdr:from>
    <xdr:to>
      <xdr:col>2</xdr:col>
      <xdr:colOff>449356</xdr:colOff>
      <xdr:row>39</xdr:row>
      <xdr:rowOff>79001</xdr:rowOff>
    </xdr:to>
    <xdr:sp macro="" textlink="">
      <xdr:nvSpPr>
        <xdr:cNvPr id="18" name="Line 20">
          <a:extLst>
            <a:ext uri="{FF2B5EF4-FFF2-40B4-BE49-F238E27FC236}">
              <a16:creationId xmlns:a16="http://schemas.microsoft.com/office/drawing/2014/main" id="{00000000-0008-0000-1600-000012000000}"/>
            </a:ext>
          </a:extLst>
        </xdr:cNvPr>
        <xdr:cNvSpPr>
          <a:spLocks noChangeShapeType="1"/>
        </xdr:cNvSpPr>
      </xdr:nvSpPr>
      <xdr:spPr bwMode="auto">
        <a:xfrm flipV="1">
          <a:off x="1668556" y="4119281"/>
          <a:ext cx="0" cy="260256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284183</xdr:colOff>
      <xdr:row>1</xdr:row>
      <xdr:rowOff>44822</xdr:rowOff>
    </xdr:from>
    <xdr:to>
      <xdr:col>17</xdr:col>
      <xdr:colOff>35858</xdr:colOff>
      <xdr:row>7</xdr:row>
      <xdr:rowOff>26893</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6730703" y="669662"/>
          <a:ext cx="2723475" cy="1170791"/>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Comparison of plankton production (Pm) and respiraiton (R) at channel and shoal sites.  Pm rates were from the high light treatment. Demonstrates similarity in water masses between sites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449580</xdr:colOff>
      <xdr:row>0</xdr:row>
      <xdr:rowOff>30480</xdr:rowOff>
    </xdr:from>
    <xdr:to>
      <xdr:col>20</xdr:col>
      <xdr:colOff>13063</xdr:colOff>
      <xdr:row>16</xdr:row>
      <xdr:rowOff>106680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419100</xdr:colOff>
      <xdr:row>16</xdr:row>
      <xdr:rowOff>91440</xdr:rowOff>
    </xdr:from>
    <xdr:to>
      <xdr:col>19</xdr:col>
      <xdr:colOff>592183</xdr:colOff>
      <xdr:row>33</xdr:row>
      <xdr:rowOff>0</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95250</xdr:colOff>
      <xdr:row>3</xdr:row>
      <xdr:rowOff>66675</xdr:rowOff>
    </xdr:from>
    <xdr:to>
      <xdr:col>11</xdr:col>
      <xdr:colOff>581026</xdr:colOff>
      <xdr:row>19</xdr:row>
      <xdr:rowOff>142875</xdr:rowOff>
    </xdr:to>
    <xdr:graphicFrame macro="">
      <xdr:nvGraphicFramePr>
        <xdr:cNvPr id="979969" name="Chart 25">
          <a:extLst>
            <a:ext uri="{FF2B5EF4-FFF2-40B4-BE49-F238E27FC236}">
              <a16:creationId xmlns:a16="http://schemas.microsoft.com/office/drawing/2014/main" id="{00000000-0008-0000-1800-000001F4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323850</xdr:colOff>
      <xdr:row>21</xdr:row>
      <xdr:rowOff>95250</xdr:rowOff>
    </xdr:from>
    <xdr:to>
      <xdr:col>15</xdr:col>
      <xdr:colOff>333376</xdr:colOff>
      <xdr:row>43</xdr:row>
      <xdr:rowOff>19050</xdr:rowOff>
    </xdr:to>
    <xdr:graphicFrame macro="">
      <xdr:nvGraphicFramePr>
        <xdr:cNvPr id="979970" name="Chart 29">
          <a:extLst>
            <a:ext uri="{FF2B5EF4-FFF2-40B4-BE49-F238E27FC236}">
              <a16:creationId xmlns:a16="http://schemas.microsoft.com/office/drawing/2014/main" id="{00000000-0008-0000-1800-000002F4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581025</xdr:colOff>
      <xdr:row>3</xdr:row>
      <xdr:rowOff>66675</xdr:rowOff>
    </xdr:from>
    <xdr:to>
      <xdr:col>18</xdr:col>
      <xdr:colOff>581025</xdr:colOff>
      <xdr:row>19</xdr:row>
      <xdr:rowOff>142875</xdr:rowOff>
    </xdr:to>
    <xdr:graphicFrame macro="">
      <xdr:nvGraphicFramePr>
        <xdr:cNvPr id="979971" name="Chart 25">
          <a:extLst>
            <a:ext uri="{FF2B5EF4-FFF2-40B4-BE49-F238E27FC236}">
              <a16:creationId xmlns:a16="http://schemas.microsoft.com/office/drawing/2014/main" id="{00000000-0008-0000-1800-000003F4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0.64862</cdr:x>
      <cdr:y>0.03793</cdr:y>
    </cdr:from>
    <cdr:to>
      <cdr:x>0.74932</cdr:x>
      <cdr:y>0.12437</cdr:y>
    </cdr:to>
    <cdr:sp macro="" textlink="">
      <cdr:nvSpPr>
        <cdr:cNvPr id="747521" name="Text Box 1">
          <a:extLst xmlns:a="http://schemas.openxmlformats.org/drawingml/2006/main">
            <a:ext uri="{FF2B5EF4-FFF2-40B4-BE49-F238E27FC236}">
              <a16:creationId xmlns:a16="http://schemas.microsoft.com/office/drawing/2014/main" id="{1FF88E24-6B78-4DD0-B22C-20EDBE77D00F}"/>
            </a:ext>
          </a:extLst>
        </cdr:cNvPr>
        <cdr:cNvSpPr txBox="1">
          <a:spLocks xmlns:a="http://schemas.openxmlformats.org/drawingml/2006/main" noChangeArrowheads="1"/>
        </cdr:cNvSpPr>
      </cdr:nvSpPr>
      <cdr:spPr bwMode="auto">
        <a:xfrm xmlns:a="http://schemas.openxmlformats.org/drawingml/2006/main">
          <a:off x="2892233" y="101976"/>
          <a:ext cx="449034"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Shoal</a:t>
          </a:r>
        </a:p>
      </cdr:txBody>
    </cdr:sp>
  </cdr:relSizeAnchor>
</c:userShapes>
</file>

<file path=xl/drawings/drawing43.xml><?xml version="1.0" encoding="utf-8"?>
<c:userShapes xmlns:c="http://schemas.openxmlformats.org/drawingml/2006/chart">
  <cdr:relSizeAnchor xmlns:cdr="http://schemas.openxmlformats.org/drawingml/2006/chartDrawing">
    <cdr:from>
      <cdr:x>0.47448</cdr:x>
      <cdr:y>0.01689</cdr:y>
    </cdr:from>
    <cdr:to>
      <cdr:x>0.6162</cdr:x>
      <cdr:y>0.10334</cdr:y>
    </cdr:to>
    <cdr:sp macro="" textlink="">
      <cdr:nvSpPr>
        <cdr:cNvPr id="748545" name="Text Box 1">
          <a:extLst xmlns:a="http://schemas.openxmlformats.org/drawingml/2006/main">
            <a:ext uri="{FF2B5EF4-FFF2-40B4-BE49-F238E27FC236}">
              <a16:creationId xmlns:a16="http://schemas.microsoft.com/office/drawing/2014/main" id="{C3CFE3E3-5445-451F-8CBD-2D38072D80DD}"/>
            </a:ext>
          </a:extLst>
        </cdr:cNvPr>
        <cdr:cNvSpPr txBox="1">
          <a:spLocks xmlns:a="http://schemas.openxmlformats.org/drawingml/2006/main" noChangeArrowheads="1"/>
        </cdr:cNvSpPr>
      </cdr:nvSpPr>
      <cdr:spPr bwMode="auto">
        <a:xfrm xmlns:a="http://schemas.openxmlformats.org/drawingml/2006/main">
          <a:off x="2104741" y="45417"/>
          <a:ext cx="628698"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7432" rIns="27432" bIns="27432" anchor="ctr" upright="1">
          <a:spAutoFit/>
        </a:bodyPr>
        <a:lstStyle xmlns:a="http://schemas.openxmlformats.org/drawingml/2006/main"/>
        <a:p xmlns:a="http://schemas.openxmlformats.org/drawingml/2006/main">
          <a:pPr algn="ctr" rtl="0">
            <a:defRPr sz="1000"/>
          </a:pPr>
          <a:r>
            <a:rPr lang="en-US" sz="1200" b="0" i="0" u="none" strike="noStrike" baseline="0">
              <a:solidFill>
                <a:srgbClr val="000000"/>
              </a:solidFill>
              <a:latin typeface="Arial"/>
              <a:cs typeface="Arial"/>
            </a:rPr>
            <a:t>Channel</a:t>
          </a: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5</xdr:col>
      <xdr:colOff>742950</xdr:colOff>
      <xdr:row>1</xdr:row>
      <xdr:rowOff>0</xdr:rowOff>
    </xdr:from>
    <xdr:to>
      <xdr:col>12</xdr:col>
      <xdr:colOff>552450</xdr:colOff>
      <xdr:row>16</xdr:row>
      <xdr:rowOff>57150</xdr:rowOff>
    </xdr:to>
    <xdr:graphicFrame macro="">
      <xdr:nvGraphicFramePr>
        <xdr:cNvPr id="878616" name="Chart 25">
          <a:extLst>
            <a:ext uri="{FF2B5EF4-FFF2-40B4-BE49-F238E27FC236}">
              <a16:creationId xmlns:a16="http://schemas.microsoft.com/office/drawing/2014/main" id="{00000000-0008-0000-1900-0000186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133350</xdr:colOff>
      <xdr:row>17</xdr:row>
      <xdr:rowOff>161925</xdr:rowOff>
    </xdr:from>
    <xdr:to>
      <xdr:col>16</xdr:col>
      <xdr:colOff>171450</xdr:colOff>
      <xdr:row>39</xdr:row>
      <xdr:rowOff>9525</xdr:rowOff>
    </xdr:to>
    <xdr:graphicFrame macro="">
      <xdr:nvGraphicFramePr>
        <xdr:cNvPr id="878617" name="Chart 29">
          <a:extLst>
            <a:ext uri="{FF2B5EF4-FFF2-40B4-BE49-F238E27FC236}">
              <a16:creationId xmlns:a16="http://schemas.microsoft.com/office/drawing/2014/main" id="{00000000-0008-0000-1900-0000196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552450</xdr:colOff>
      <xdr:row>1</xdr:row>
      <xdr:rowOff>0</xdr:rowOff>
    </xdr:from>
    <xdr:to>
      <xdr:col>20</xdr:col>
      <xdr:colOff>1121</xdr:colOff>
      <xdr:row>16</xdr:row>
      <xdr:rowOff>57150</xdr:rowOff>
    </xdr:to>
    <xdr:graphicFrame macro="">
      <xdr:nvGraphicFramePr>
        <xdr:cNvPr id="878618" name="Chart 25">
          <a:extLst>
            <a:ext uri="{FF2B5EF4-FFF2-40B4-BE49-F238E27FC236}">
              <a16:creationId xmlns:a16="http://schemas.microsoft.com/office/drawing/2014/main" id="{00000000-0008-0000-1900-00001A6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485775</xdr:colOff>
      <xdr:row>40</xdr:row>
      <xdr:rowOff>38100</xdr:rowOff>
    </xdr:from>
    <xdr:to>
      <xdr:col>11</xdr:col>
      <xdr:colOff>295275</xdr:colOff>
      <xdr:row>56</xdr:row>
      <xdr:rowOff>57150</xdr:rowOff>
    </xdr:to>
    <xdr:graphicFrame macro="">
      <xdr:nvGraphicFramePr>
        <xdr:cNvPr id="878619" name="Chart 25">
          <a:extLst>
            <a:ext uri="{FF2B5EF4-FFF2-40B4-BE49-F238E27FC236}">
              <a16:creationId xmlns:a16="http://schemas.microsoft.com/office/drawing/2014/main" id="{00000000-0008-0000-1900-00001B6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247650</xdr:colOff>
      <xdr:row>40</xdr:row>
      <xdr:rowOff>114300</xdr:rowOff>
    </xdr:from>
    <xdr:to>
      <xdr:col>18</xdr:col>
      <xdr:colOff>304800</xdr:colOff>
      <xdr:row>56</xdr:row>
      <xdr:rowOff>133350</xdr:rowOff>
    </xdr:to>
    <xdr:graphicFrame macro="">
      <xdr:nvGraphicFramePr>
        <xdr:cNvPr id="878620" name="Chart 25">
          <a:extLst>
            <a:ext uri="{FF2B5EF4-FFF2-40B4-BE49-F238E27FC236}">
              <a16:creationId xmlns:a16="http://schemas.microsoft.com/office/drawing/2014/main" id="{00000000-0008-0000-1900-00001C6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124385</xdr:colOff>
      <xdr:row>17</xdr:row>
      <xdr:rowOff>63313</xdr:rowOff>
    </xdr:from>
    <xdr:to>
      <xdr:col>24</xdr:col>
      <xdr:colOff>341779</xdr:colOff>
      <xdr:row>38</xdr:row>
      <xdr:rowOff>72278</xdr:rowOff>
    </xdr:to>
    <xdr:graphicFrame macro="">
      <xdr:nvGraphicFramePr>
        <xdr:cNvPr id="7" name="Chart 29">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0.65835</cdr:x>
      <cdr:y>0.09706</cdr:y>
    </cdr:from>
    <cdr:to>
      <cdr:x>0.80271</cdr:x>
      <cdr:y>0.2152</cdr:y>
    </cdr:to>
    <cdr:sp macro="" textlink="">
      <cdr:nvSpPr>
        <cdr:cNvPr id="2" name="TextBox 1">
          <a:extLst xmlns:a="http://schemas.openxmlformats.org/drawingml/2006/main">
            <a:ext uri="{FF2B5EF4-FFF2-40B4-BE49-F238E27FC236}">
              <a16:creationId xmlns:a16="http://schemas.microsoft.com/office/drawing/2014/main" id="{0527070D-6E40-40BF-A725-DBBD457CC47E}"/>
            </a:ext>
          </a:extLst>
        </cdr:cNvPr>
        <cdr:cNvSpPr txBox="1"/>
      </cdr:nvSpPr>
      <cdr:spPr>
        <a:xfrm xmlns:a="http://schemas.openxmlformats.org/drawingml/2006/main">
          <a:off x="2936202" y="245481"/>
          <a:ext cx="643831" cy="298800"/>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400">
              <a:latin typeface="Arial" panose="020B0604020202020204" pitchFamily="34" charset="0"/>
              <a:cs typeface="Arial" panose="020B0604020202020204" pitchFamily="34" charset="0"/>
            </a:rPr>
            <a:t>Shoal</a:t>
          </a:r>
          <a:endParaRPr lang="en-US" sz="1200">
            <a:latin typeface="Arial" panose="020B0604020202020204" pitchFamily="34" charset="0"/>
            <a:cs typeface="Arial" panose="020B06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0.65567</cdr:x>
      <cdr:y>0.0973</cdr:y>
    </cdr:from>
    <cdr:to>
      <cdr:x>0.84745</cdr:x>
      <cdr:y>0.21544</cdr:y>
    </cdr:to>
    <cdr:sp macro="" textlink="">
      <cdr:nvSpPr>
        <cdr:cNvPr id="2" name="TextBox 1">
          <a:extLst xmlns:a="http://schemas.openxmlformats.org/drawingml/2006/main">
            <a:ext uri="{FF2B5EF4-FFF2-40B4-BE49-F238E27FC236}">
              <a16:creationId xmlns:a16="http://schemas.microsoft.com/office/drawing/2014/main" id="{560DBD60-39ED-4963-80F2-4F50A06C24E4}"/>
            </a:ext>
          </a:extLst>
        </cdr:cNvPr>
        <cdr:cNvSpPr txBox="1"/>
      </cdr:nvSpPr>
      <cdr:spPr>
        <a:xfrm xmlns:a="http://schemas.openxmlformats.org/drawingml/2006/main">
          <a:off x="2917637" y="246088"/>
          <a:ext cx="853375" cy="298800"/>
        </a:xfrm>
        <a:prstGeom xmlns:a="http://schemas.openxmlformats.org/drawingml/2006/main" prst="rect">
          <a:avLst/>
        </a:prstGeom>
      </cdr:spPr>
      <cdr:txBody>
        <a:bodyPr xmlns:a="http://schemas.openxmlformats.org/drawingml/2006/main" vertOverflow="clip" wrap="none" rtlCol="0">
          <a:spAutoFit/>
        </a:bodyPr>
        <a:lstStyle xmlns:a="http://schemas.openxmlformats.org/drawingml/2006/main"/>
        <a:p xmlns:a="http://schemas.openxmlformats.org/drawingml/2006/main">
          <a:r>
            <a:rPr lang="en-US" sz="1400">
              <a:latin typeface="Arial" panose="020B0604020202020204" pitchFamily="34" charset="0"/>
              <a:cs typeface="Arial" panose="020B0604020202020204" pitchFamily="34" charset="0"/>
            </a:rPr>
            <a:t>Channel</a:t>
          </a:r>
          <a:endParaRPr lang="en-US" sz="1200">
            <a:latin typeface="Arial" panose="020B0604020202020204" pitchFamily="34" charset="0"/>
            <a:cs typeface="Arial" panose="020B060402020202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twoCellAnchor editAs="absolute">
    <xdr:from>
      <xdr:col>7</xdr:col>
      <xdr:colOff>373380</xdr:colOff>
      <xdr:row>23</xdr:row>
      <xdr:rowOff>144780</xdr:rowOff>
    </xdr:from>
    <xdr:to>
      <xdr:col>14</xdr:col>
      <xdr:colOff>456367</xdr:colOff>
      <xdr:row>43</xdr:row>
      <xdr:rowOff>105793</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510541</xdr:colOff>
      <xdr:row>6</xdr:row>
      <xdr:rowOff>152400</xdr:rowOff>
    </xdr:from>
    <xdr:to>
      <xdr:col>20</xdr:col>
      <xdr:colOff>434341</xdr:colOff>
      <xdr:row>17</xdr:row>
      <xdr:rowOff>107576</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15</xdr:col>
      <xdr:colOff>502921</xdr:colOff>
      <xdr:row>15</xdr:row>
      <xdr:rowOff>157775</xdr:rowOff>
    </xdr:from>
    <xdr:to>
      <xdr:col>20</xdr:col>
      <xdr:colOff>426721</xdr:colOff>
      <xdr:row>26</xdr:row>
      <xdr:rowOff>112951</xdr:rowOff>
    </xdr:to>
    <xdr:graphicFrame macro="">
      <xdr:nvGraphicFramePr>
        <xdr:cNvPr id="6" name="Chart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15</xdr:col>
      <xdr:colOff>487681</xdr:colOff>
      <xdr:row>24</xdr:row>
      <xdr:rowOff>160463</xdr:rowOff>
    </xdr:from>
    <xdr:to>
      <xdr:col>20</xdr:col>
      <xdr:colOff>411481</xdr:colOff>
      <xdr:row>35</xdr:row>
      <xdr:rowOff>115640</xdr:rowOff>
    </xdr:to>
    <xdr:graphicFrame macro="">
      <xdr:nvGraphicFramePr>
        <xdr:cNvPr id="7" name="Chart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1089</xdr:colOff>
      <xdr:row>0</xdr:row>
      <xdr:rowOff>28349</xdr:rowOff>
    </xdr:from>
    <xdr:to>
      <xdr:col>9</xdr:col>
      <xdr:colOff>1089</xdr:colOff>
      <xdr:row>16</xdr:row>
      <xdr:rowOff>104549</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10614</xdr:colOff>
      <xdr:row>16</xdr:row>
      <xdr:rowOff>47399</xdr:rowOff>
    </xdr:from>
    <xdr:to>
      <xdr:col>9</xdr:col>
      <xdr:colOff>10614</xdr:colOff>
      <xdr:row>32</xdr:row>
      <xdr:rowOff>114074</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0</xdr:row>
      <xdr:rowOff>0</xdr:rowOff>
    </xdr:from>
    <xdr:to>
      <xdr:col>19</xdr:col>
      <xdr:colOff>0</xdr:colOff>
      <xdr:row>16</xdr:row>
      <xdr:rowOff>111369</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16</xdr:row>
      <xdr:rowOff>34290</xdr:rowOff>
    </xdr:from>
    <xdr:to>
      <xdr:col>19</xdr:col>
      <xdr:colOff>1905</xdr:colOff>
      <xdr:row>32</xdr:row>
      <xdr:rowOff>131372</xdr:rowOff>
    </xdr:to>
    <xdr:graphicFrame macro="">
      <xdr:nvGraphicFramePr>
        <xdr:cNvPr id="5" name="Chart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1089</xdr:colOff>
      <xdr:row>0</xdr:row>
      <xdr:rowOff>8466</xdr:rowOff>
    </xdr:from>
    <xdr:to>
      <xdr:col>29</xdr:col>
      <xdr:colOff>12685</xdr:colOff>
      <xdr:row>16</xdr:row>
      <xdr:rowOff>99759</xdr:rowOff>
    </xdr:to>
    <xdr:graphicFrame macro="">
      <xdr:nvGraphicFramePr>
        <xdr:cNvPr id="6" name="Chart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16</xdr:row>
      <xdr:rowOff>86313</xdr:rowOff>
    </xdr:from>
    <xdr:to>
      <xdr:col>29</xdr:col>
      <xdr:colOff>11596</xdr:colOff>
      <xdr:row>33</xdr:row>
      <xdr:rowOff>1386</xdr:rowOff>
    </xdr:to>
    <xdr:graphicFrame macro="">
      <xdr:nvGraphicFramePr>
        <xdr:cNvPr id="7" name="Chart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0.14869</cdr:x>
      <cdr:y>0.05882</cdr:y>
    </cdr:from>
    <cdr:to>
      <cdr:x>0.24921</cdr:x>
      <cdr:y>0.16079</cdr:y>
    </cdr:to>
    <cdr:sp macro="" textlink="">
      <cdr:nvSpPr>
        <cdr:cNvPr id="2" name="TextBox 1">
          <a:extLst xmlns:a="http://schemas.openxmlformats.org/drawingml/2006/main">
            <a:ext uri="{FF2B5EF4-FFF2-40B4-BE49-F238E27FC236}">
              <a16:creationId xmlns:a16="http://schemas.microsoft.com/office/drawing/2014/main" id="{95BE5C35-8F1E-4D4B-84C1-AF4BA53C9233}"/>
            </a:ext>
          </a:extLst>
        </cdr:cNvPr>
        <cdr:cNvSpPr txBox="1"/>
      </cdr:nvSpPr>
      <cdr:spPr>
        <a:xfrm xmlns:a="http://schemas.openxmlformats.org/drawingml/2006/main">
          <a:off x="855428" y="155379"/>
          <a:ext cx="578300"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Shoal</a:t>
          </a:r>
        </a:p>
      </cdr:txBody>
    </cdr:sp>
  </cdr:relSizeAnchor>
</c:userShapes>
</file>

<file path=xl/drawings/drawing5.xml><?xml version="1.0" encoding="utf-8"?>
<xdr:wsDr xmlns:xdr="http://schemas.openxmlformats.org/drawingml/2006/spreadsheetDrawing" xmlns:a="http://schemas.openxmlformats.org/drawingml/2006/main">
  <xdr:twoCellAnchor>
    <xdr:from>
      <xdr:col>15</xdr:col>
      <xdr:colOff>12102</xdr:colOff>
      <xdr:row>58</xdr:row>
      <xdr:rowOff>101301</xdr:rowOff>
    </xdr:from>
    <xdr:to>
      <xdr:col>19</xdr:col>
      <xdr:colOff>4382</xdr:colOff>
      <xdr:row>63</xdr:row>
      <xdr:rowOff>86061</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8516022" y="14609781"/>
          <a:ext cx="2179220" cy="82296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en-US" sz="1000" b="0" i="0" u="none" strike="noStrike" baseline="0">
              <a:solidFill>
                <a:srgbClr val="000000"/>
              </a:solidFill>
              <a:latin typeface="Arial"/>
              <a:cs typeface="Arial"/>
            </a:rPr>
            <a:t>Comparison of plankton production (Pm) and respiraiton (R) at channel and shoal sites.  Pm rates were from the high light treatment. Demonstrates similarity in water masses between sites</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0.14869</cdr:x>
      <cdr:y>0.05882</cdr:y>
    </cdr:from>
    <cdr:to>
      <cdr:x>0.28044</cdr:x>
      <cdr:y>0.16083</cdr:y>
    </cdr:to>
    <cdr:sp macro="" textlink="">
      <cdr:nvSpPr>
        <cdr:cNvPr id="2" name="TextBox 1">
          <a:extLst xmlns:a="http://schemas.openxmlformats.org/drawingml/2006/main">
            <a:ext uri="{FF2B5EF4-FFF2-40B4-BE49-F238E27FC236}">
              <a16:creationId xmlns:a16="http://schemas.microsoft.com/office/drawing/2014/main" id="{8A96C157-1F4E-46BF-8902-1FF9849FA05F}"/>
            </a:ext>
          </a:extLst>
        </cdr:cNvPr>
        <cdr:cNvSpPr txBox="1"/>
      </cdr:nvSpPr>
      <cdr:spPr>
        <a:xfrm xmlns:a="http://schemas.openxmlformats.org/drawingml/2006/main">
          <a:off x="855428" y="155317"/>
          <a:ext cx="757964"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Channel</a:t>
          </a:r>
        </a:p>
      </cdr:txBody>
    </cdr:sp>
  </cdr:relSizeAnchor>
</c:userShapes>
</file>

<file path=xl/drawings/drawing51.xml><?xml version="1.0" encoding="utf-8"?>
<c:userShapes xmlns:c="http://schemas.openxmlformats.org/drawingml/2006/chart">
  <cdr:relSizeAnchor xmlns:cdr="http://schemas.openxmlformats.org/drawingml/2006/chartDrawing">
    <cdr:from>
      <cdr:x>0.14869</cdr:x>
      <cdr:y>0.05882</cdr:y>
    </cdr:from>
    <cdr:to>
      <cdr:x>0.24921</cdr:x>
      <cdr:y>0.15945</cdr:y>
    </cdr:to>
    <cdr:sp macro="" textlink="">
      <cdr:nvSpPr>
        <cdr:cNvPr id="2" name="TextBox 1">
          <a:extLst xmlns:a="http://schemas.openxmlformats.org/drawingml/2006/main">
            <a:ext uri="{FF2B5EF4-FFF2-40B4-BE49-F238E27FC236}">
              <a16:creationId xmlns:a16="http://schemas.microsoft.com/office/drawing/2014/main" id="{D3B42864-6EC1-4AAC-8220-5702507E5A6D}"/>
            </a:ext>
          </a:extLst>
        </cdr:cNvPr>
        <cdr:cNvSpPr txBox="1"/>
      </cdr:nvSpPr>
      <cdr:spPr>
        <a:xfrm xmlns:a="http://schemas.openxmlformats.org/drawingml/2006/main">
          <a:off x="855428" y="157448"/>
          <a:ext cx="578300"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Shoal</a:t>
          </a:r>
        </a:p>
      </cdr:txBody>
    </cdr:sp>
  </cdr:relSizeAnchor>
</c:userShapes>
</file>

<file path=xl/drawings/drawing52.xml><?xml version="1.0" encoding="utf-8"?>
<c:userShapes xmlns:c="http://schemas.openxmlformats.org/drawingml/2006/chart">
  <cdr:relSizeAnchor xmlns:cdr="http://schemas.openxmlformats.org/drawingml/2006/chartDrawing">
    <cdr:from>
      <cdr:x>0.14869</cdr:x>
      <cdr:y>0.05882</cdr:y>
    </cdr:from>
    <cdr:to>
      <cdr:x>0.2804</cdr:x>
      <cdr:y>0.15967</cdr:y>
    </cdr:to>
    <cdr:sp macro="" textlink="">
      <cdr:nvSpPr>
        <cdr:cNvPr id="2" name="TextBox 1">
          <a:extLst xmlns:a="http://schemas.openxmlformats.org/drawingml/2006/main">
            <a:ext uri="{FF2B5EF4-FFF2-40B4-BE49-F238E27FC236}">
              <a16:creationId xmlns:a16="http://schemas.microsoft.com/office/drawing/2014/main" id="{0F952617-47A1-4311-8077-A94CA14091DD}"/>
            </a:ext>
          </a:extLst>
        </cdr:cNvPr>
        <cdr:cNvSpPr txBox="1"/>
      </cdr:nvSpPr>
      <cdr:spPr>
        <a:xfrm xmlns:a="http://schemas.openxmlformats.org/drawingml/2006/main">
          <a:off x="855712" y="157105"/>
          <a:ext cx="757964" cy="269369"/>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200" b="0">
              <a:latin typeface="Arial" panose="020B0604020202020204" pitchFamily="34" charset="0"/>
              <a:cs typeface="Arial" panose="020B0604020202020204" pitchFamily="34" charset="0"/>
            </a:rPr>
            <a:t>Channel</a:t>
          </a:r>
        </a:p>
      </cdr:txBody>
    </cdr:sp>
  </cdr:relSizeAnchor>
</c:userShapes>
</file>

<file path=xl/drawings/drawing53.xml><?xml version="1.0" encoding="utf-8"?>
<c:userShapes xmlns:c="http://schemas.openxmlformats.org/drawingml/2006/chart">
  <cdr:relSizeAnchor xmlns:cdr="http://schemas.openxmlformats.org/drawingml/2006/chartDrawing">
    <cdr:from>
      <cdr:x>0.14869</cdr:x>
      <cdr:y>0.05882</cdr:y>
    </cdr:from>
    <cdr:to>
      <cdr:x>0.24332</cdr:x>
      <cdr:y>0.15464</cdr:y>
    </cdr:to>
    <cdr:sp macro="" textlink="">
      <cdr:nvSpPr>
        <cdr:cNvPr id="2" name="TextBox 1">
          <a:extLst xmlns:a="http://schemas.openxmlformats.org/drawingml/2006/main">
            <a:ext uri="{FF2B5EF4-FFF2-40B4-BE49-F238E27FC236}">
              <a16:creationId xmlns:a16="http://schemas.microsoft.com/office/drawing/2014/main" id="{326B52BF-F47B-4A07-83B0-E8D6645197E5}"/>
            </a:ext>
          </a:extLst>
        </cdr:cNvPr>
        <cdr:cNvSpPr txBox="1"/>
      </cdr:nvSpPr>
      <cdr:spPr>
        <a:xfrm xmlns:a="http://schemas.openxmlformats.org/drawingml/2006/main">
          <a:off x="857153" y="156267"/>
          <a:ext cx="545534" cy="254557"/>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100" b="0">
              <a:latin typeface="Arial" panose="020B0604020202020204" pitchFamily="34" charset="0"/>
              <a:cs typeface="Arial" panose="020B0604020202020204" pitchFamily="34" charset="0"/>
            </a:rPr>
            <a:t>Shoal</a:t>
          </a:r>
        </a:p>
      </cdr:txBody>
    </cdr:sp>
  </cdr:relSizeAnchor>
</c:userShapes>
</file>

<file path=xl/drawings/drawing54.xml><?xml version="1.0" encoding="utf-8"?>
<c:userShapes xmlns:c="http://schemas.openxmlformats.org/drawingml/2006/chart">
  <cdr:relSizeAnchor xmlns:cdr="http://schemas.openxmlformats.org/drawingml/2006/chartDrawing">
    <cdr:from>
      <cdr:x>0.14869</cdr:x>
      <cdr:y>0.05882</cdr:y>
    </cdr:from>
    <cdr:to>
      <cdr:x>0.27191</cdr:x>
      <cdr:y>0.15489</cdr:y>
    </cdr:to>
    <cdr:sp macro="" textlink="">
      <cdr:nvSpPr>
        <cdr:cNvPr id="2" name="TextBox 1">
          <a:extLst xmlns:a="http://schemas.openxmlformats.org/drawingml/2006/main">
            <a:ext uri="{FF2B5EF4-FFF2-40B4-BE49-F238E27FC236}">
              <a16:creationId xmlns:a16="http://schemas.microsoft.com/office/drawing/2014/main" id="{FF7A5F80-F974-4E22-9D31-74C21CEFBE74}"/>
            </a:ext>
          </a:extLst>
        </cdr:cNvPr>
        <cdr:cNvSpPr txBox="1"/>
      </cdr:nvSpPr>
      <cdr:spPr>
        <a:xfrm xmlns:a="http://schemas.openxmlformats.org/drawingml/2006/main">
          <a:off x="857153" y="155862"/>
          <a:ext cx="710323" cy="254557"/>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100" b="0">
              <a:latin typeface="Arial" panose="020B0604020202020204" pitchFamily="34" charset="0"/>
              <a:cs typeface="Arial" panose="020B0604020202020204" pitchFamily="34" charset="0"/>
            </a:rPr>
            <a:t>Channel</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500743</xdr:colOff>
      <xdr:row>23</xdr:row>
      <xdr:rowOff>1354</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0.34375</cdr:x>
      <cdr:y>0.26473</cdr:y>
    </cdr:from>
    <cdr:to>
      <cdr:x>0.56782</cdr:x>
      <cdr:y>0.37279</cdr:y>
    </cdr:to>
    <cdr:sp macro="" textlink="">
      <cdr:nvSpPr>
        <cdr:cNvPr id="3" name="TextBox 2">
          <a:extLst xmlns:a="http://schemas.openxmlformats.org/drawingml/2006/main">
            <a:ext uri="{FF2B5EF4-FFF2-40B4-BE49-F238E27FC236}">
              <a16:creationId xmlns:a16="http://schemas.microsoft.com/office/drawing/2014/main" id="{220E64A9-5644-4A0E-AC09-75288B211A72}"/>
            </a:ext>
          </a:extLst>
        </cdr:cNvPr>
        <cdr:cNvSpPr txBox="1"/>
      </cdr:nvSpPr>
      <cdr:spPr>
        <a:xfrm xmlns:a="http://schemas.openxmlformats.org/drawingml/2006/main">
          <a:off x="1638971" y="1032721"/>
          <a:ext cx="1068369" cy="421542"/>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p xmlns:a="http://schemas.openxmlformats.org/drawingml/2006/main">
          <a:pPr algn="ctr"/>
          <a:r>
            <a:rPr lang="en-US" sz="1000" b="0">
              <a:latin typeface="Arial" panose="020B0604020202020204" pitchFamily="34" charset="0"/>
              <a:cs typeface="Arial" panose="020B0604020202020204" pitchFamily="34" charset="0"/>
            </a:rPr>
            <a:t>y = 5.93x -126</a:t>
          </a:r>
        </a:p>
        <a:p xmlns:a="http://schemas.openxmlformats.org/drawingml/2006/main">
          <a:pPr algn="ctr"/>
          <a:r>
            <a:rPr lang="en-US" sz="1000" b="0">
              <a:latin typeface="Arial" panose="020B0604020202020204" pitchFamily="34" charset="0"/>
              <a:cs typeface="Arial" panose="020B0604020202020204" pitchFamily="34" charset="0"/>
            </a:rPr>
            <a:t>R</a:t>
          </a:r>
          <a:r>
            <a:rPr lang="en-US" sz="1000" b="0" baseline="30000">
              <a:latin typeface="Arial" panose="020B0604020202020204" pitchFamily="34" charset="0"/>
              <a:cs typeface="Arial" panose="020B0604020202020204" pitchFamily="34" charset="0"/>
            </a:rPr>
            <a:t>2</a:t>
          </a:r>
          <a:r>
            <a:rPr lang="en-US" sz="1000" b="0">
              <a:latin typeface="Arial" panose="020B0604020202020204" pitchFamily="34" charset="0"/>
              <a:cs typeface="Arial" panose="020B0604020202020204" pitchFamily="34" charset="0"/>
            </a:rPr>
            <a:t>= 0.39</a:t>
          </a:r>
        </a:p>
      </cdr:txBody>
    </cdr:sp>
  </cdr:relSizeAnchor>
</c:userShapes>
</file>

<file path=xl/drawings/drawing57.xml><?xml version="1.0" encoding="utf-8"?>
<xdr:wsDr xmlns:xdr="http://schemas.openxmlformats.org/drawingml/2006/spreadsheetDrawing" xmlns:a="http://schemas.openxmlformats.org/drawingml/2006/main">
  <xdr:twoCellAnchor>
    <xdr:from>
      <xdr:col>15</xdr:col>
      <xdr:colOff>12102</xdr:colOff>
      <xdr:row>56</xdr:row>
      <xdr:rowOff>101301</xdr:rowOff>
    </xdr:from>
    <xdr:to>
      <xdr:col>19</xdr:col>
      <xdr:colOff>4382</xdr:colOff>
      <xdr:row>61</xdr:row>
      <xdr:rowOff>86061</xdr:rowOff>
    </xdr:to>
    <xdr:sp macro="" textlink="">
      <xdr:nvSpPr>
        <xdr:cNvPr id="2" name="Rectangle 1">
          <a:extLst>
            <a:ext uri="{FF2B5EF4-FFF2-40B4-BE49-F238E27FC236}">
              <a16:creationId xmlns:a16="http://schemas.microsoft.com/office/drawing/2014/main" id="{00000000-0008-0000-1D00-000002000000}"/>
            </a:ext>
          </a:extLst>
        </xdr:cNvPr>
        <xdr:cNvSpPr>
          <a:spLocks noChangeArrowheads="1"/>
        </xdr:cNvSpPr>
      </xdr:nvSpPr>
      <xdr:spPr bwMode="auto">
        <a:xfrm>
          <a:off x="8988462" y="10784541"/>
          <a:ext cx="2034440" cy="82296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en-US" sz="1000" b="0" i="0" u="none" strike="noStrike" baseline="0">
              <a:solidFill>
                <a:srgbClr val="000000"/>
              </a:solidFill>
              <a:latin typeface="Arial"/>
              <a:cs typeface="Arial"/>
            </a:rPr>
            <a:t>Comparison of plankton production (Pm) and respiraiton (R) at channel and shoal sites.  Pm rates were from the high light treatment. Demonstrates similarity in water masses between sites</a:t>
          </a:r>
        </a:p>
      </xdr:txBody>
    </xdr:sp>
    <xdr:clientData/>
  </xdr:twoCellAnchor>
</xdr:wsDr>
</file>

<file path=xl/drawings/drawing58.xml><?xml version="1.0" encoding="utf-8"?>
<xdr:wsDr xmlns:xdr="http://schemas.openxmlformats.org/drawingml/2006/spreadsheetDrawing" xmlns:a="http://schemas.openxmlformats.org/drawingml/2006/main">
  <xdr:twoCellAnchor editAs="absolute">
    <xdr:from>
      <xdr:col>4</xdr:col>
      <xdr:colOff>0</xdr:colOff>
      <xdr:row>57</xdr:row>
      <xdr:rowOff>0</xdr:rowOff>
    </xdr:from>
    <xdr:to>
      <xdr:col>11</xdr:col>
      <xdr:colOff>144780</xdr:colOff>
      <xdr:row>78</xdr:row>
      <xdr:rowOff>0</xdr:rowOff>
    </xdr:to>
    <xdr:graphicFrame macro="">
      <xdr:nvGraphicFramePr>
        <xdr:cNvPr id="7" name="Chart 19">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533400</xdr:colOff>
      <xdr:row>7</xdr:row>
      <xdr:rowOff>57150</xdr:rowOff>
    </xdr:from>
    <xdr:to>
      <xdr:col>22</xdr:col>
      <xdr:colOff>325770</xdr:colOff>
      <xdr:row>17</xdr:row>
      <xdr:rowOff>6819</xdr:rowOff>
    </xdr:to>
    <xdr:graphicFrame macro="">
      <xdr:nvGraphicFramePr>
        <xdr:cNvPr id="10" name="Chart 66">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522514</xdr:colOff>
      <xdr:row>17</xdr:row>
      <xdr:rowOff>59872</xdr:rowOff>
    </xdr:from>
    <xdr:to>
      <xdr:col>22</xdr:col>
      <xdr:colOff>314884</xdr:colOff>
      <xdr:row>27</xdr:row>
      <xdr:rowOff>9541</xdr:rowOff>
    </xdr:to>
    <xdr:graphicFrame macro="">
      <xdr:nvGraphicFramePr>
        <xdr:cNvPr id="11" name="Chart 66">
          <a:extLst>
            <a:ext uri="{FF2B5EF4-FFF2-40B4-BE49-F238E27FC236}">
              <a16:creationId xmlns:a16="http://schemas.microsoft.com/office/drawing/2014/main" id="{00000000-0008-0000-1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295835</xdr:colOff>
      <xdr:row>43</xdr:row>
      <xdr:rowOff>20031</xdr:rowOff>
    </xdr:to>
    <xdr:grpSp>
      <xdr:nvGrpSpPr>
        <xdr:cNvPr id="19" name="Group 18">
          <a:extLst>
            <a:ext uri="{FF2B5EF4-FFF2-40B4-BE49-F238E27FC236}">
              <a16:creationId xmlns:a16="http://schemas.microsoft.com/office/drawing/2014/main" id="{00000000-0008-0000-1E00-000013000000}"/>
            </a:ext>
          </a:extLst>
        </xdr:cNvPr>
        <xdr:cNvGrpSpPr/>
      </xdr:nvGrpSpPr>
      <xdr:grpSpPr>
        <a:xfrm>
          <a:off x="0" y="0"/>
          <a:ext cx="5943600" cy="7344196"/>
          <a:chOff x="0" y="0"/>
          <a:chExt cx="5942255" cy="7228551"/>
        </a:xfrm>
      </xdr:grpSpPr>
      <xdr:graphicFrame macro="">
        <xdr:nvGraphicFramePr>
          <xdr:cNvPr id="9" name="Chart 66">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5942255" cy="162171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54429" y="6943991"/>
            <a:ext cx="5809705" cy="28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200"/>
              <a:t>Date 2013</a:t>
            </a:r>
          </a:p>
        </xdr:txBody>
      </xdr:sp>
      <xdr:graphicFrame macro="">
        <xdr:nvGraphicFramePr>
          <xdr:cNvPr id="8" name="Chart 66">
            <a:extLst>
              <a:ext uri="{FF2B5EF4-FFF2-40B4-BE49-F238E27FC236}">
                <a16:creationId xmlns:a16="http://schemas.microsoft.com/office/drawing/2014/main" id="{00000000-0008-0000-1E00-000008000000}"/>
              </a:ext>
            </a:extLst>
          </xdr:cNvPr>
          <xdr:cNvGraphicFramePr>
            <a:graphicFrameLocks/>
          </xdr:cNvGraphicFramePr>
        </xdr:nvGraphicFramePr>
        <xdr:xfrm>
          <a:off x="0" y="1296418"/>
          <a:ext cx="5942255" cy="161467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2" name="Chart 66">
            <a:extLst>
              <a:ext uri="{FF2B5EF4-FFF2-40B4-BE49-F238E27FC236}">
                <a16:creationId xmlns:a16="http://schemas.microsoft.com/office/drawing/2014/main" id="{00000000-0008-0000-1E00-00000C000000}"/>
              </a:ext>
            </a:extLst>
          </xdr:cNvPr>
          <xdr:cNvGraphicFramePr>
            <a:graphicFrameLocks/>
          </xdr:cNvGraphicFramePr>
        </xdr:nvGraphicFramePr>
        <xdr:xfrm>
          <a:off x="0" y="2690879"/>
          <a:ext cx="5942255" cy="1614672"/>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4" name="Chart 66">
            <a:extLst>
              <a:ext uri="{FF2B5EF4-FFF2-40B4-BE49-F238E27FC236}">
                <a16:creationId xmlns:a16="http://schemas.microsoft.com/office/drawing/2014/main" id="{00000000-0008-0000-1E00-00000E000000}"/>
              </a:ext>
            </a:extLst>
          </xdr:cNvPr>
          <xdr:cNvGraphicFramePr>
            <a:graphicFrameLocks/>
          </xdr:cNvGraphicFramePr>
        </xdr:nvGraphicFramePr>
        <xdr:xfrm>
          <a:off x="0" y="4082620"/>
          <a:ext cx="5942255" cy="161902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6" name="Chart 66">
            <a:extLst>
              <a:ext uri="{FF2B5EF4-FFF2-40B4-BE49-F238E27FC236}">
                <a16:creationId xmlns:a16="http://schemas.microsoft.com/office/drawing/2014/main" id="{00000000-0008-0000-1E00-000006000000}"/>
              </a:ext>
            </a:extLst>
          </xdr:cNvPr>
          <xdr:cNvGraphicFramePr>
            <a:graphicFrameLocks/>
          </xdr:cNvGraphicFramePr>
        </xdr:nvGraphicFramePr>
        <xdr:xfrm>
          <a:off x="0" y="5417026"/>
          <a:ext cx="5942255" cy="1619025"/>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59.xml><?xml version="1.0" encoding="utf-8"?>
<c:userShapes xmlns:c="http://schemas.openxmlformats.org/drawingml/2006/chart">
  <cdr:relSizeAnchor xmlns:cdr="http://schemas.openxmlformats.org/drawingml/2006/chartDrawing">
    <cdr:from>
      <cdr:x>0.19032</cdr:x>
      <cdr:y>0.0566</cdr:y>
    </cdr:from>
    <cdr:to>
      <cdr:x>0.24941</cdr:x>
      <cdr:y>0.12238</cdr:y>
    </cdr:to>
    <cdr:sp macro="" textlink="">
      <cdr:nvSpPr>
        <cdr:cNvPr id="2" name="Text Box 1">
          <a:extLst xmlns:a="http://schemas.openxmlformats.org/drawingml/2006/main">
            <a:ext uri="{FF2B5EF4-FFF2-40B4-BE49-F238E27FC236}">
              <a16:creationId xmlns:a16="http://schemas.microsoft.com/office/drawing/2014/main" id="{A6A98957-2557-4440-BCF8-39783E41E12A}"/>
            </a:ext>
          </a:extLst>
        </cdr:cNvPr>
        <cdr:cNvSpPr txBox="1">
          <a:spLocks xmlns:a="http://schemas.openxmlformats.org/drawingml/2006/main" noChangeArrowheads="1"/>
        </cdr:cNvSpPr>
      </cdr:nvSpPr>
      <cdr:spPr bwMode="auto">
        <a:xfrm xmlns:a="http://schemas.openxmlformats.org/drawingml/2006/main">
          <a:off x="866517" y="200020"/>
          <a:ext cx="269034" cy="2324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7432" rIns="27432"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B</a:t>
          </a: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24</xdr:col>
      <xdr:colOff>462915</xdr:colOff>
      <xdr:row>11</xdr:row>
      <xdr:rowOff>70212</xdr:rowOff>
    </xdr:from>
    <xdr:to>
      <xdr:col>32</xdr:col>
      <xdr:colOff>33473</xdr:colOff>
      <xdr:row>27</xdr:row>
      <xdr:rowOff>55788</xdr:rowOff>
    </xdr:to>
    <xdr:graphicFrame macro="">
      <xdr:nvGraphicFramePr>
        <xdr:cNvPr id="2" name="Chart 19">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0.12226</cdr:x>
      <cdr:y>0.08855</cdr:y>
    </cdr:from>
    <cdr:to>
      <cdr:x>0.15195</cdr:x>
      <cdr:y>0.19013</cdr:y>
    </cdr:to>
    <cdr:sp macro="" textlink="">
      <cdr:nvSpPr>
        <cdr:cNvPr id="2" name="Text Box 2">
          <a:extLst xmlns:a="http://schemas.openxmlformats.org/drawingml/2006/main">
            <a:ext uri="{FF2B5EF4-FFF2-40B4-BE49-F238E27FC236}">
              <a16:creationId xmlns:a16="http://schemas.microsoft.com/office/drawing/2014/main" id="{AF56B472-9C6A-4D9C-93B7-E19273D5CB2F}"/>
            </a:ext>
          </a:extLst>
        </cdr:cNvPr>
        <cdr:cNvSpPr txBox="1">
          <a:spLocks xmlns:a="http://schemas.openxmlformats.org/drawingml/2006/main" noChangeArrowheads="1"/>
        </cdr:cNvSpPr>
      </cdr:nvSpPr>
      <cdr:spPr bwMode="auto">
        <a:xfrm xmlns:a="http://schemas.openxmlformats.org/drawingml/2006/main">
          <a:off x="721165" y="150029"/>
          <a:ext cx="175135" cy="1721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A</a:t>
          </a:r>
        </a:p>
      </cdr:txBody>
    </cdr:sp>
  </cdr:relSizeAnchor>
</c:userShapes>
</file>

<file path=xl/drawings/drawing61.xml><?xml version="1.0" encoding="utf-8"?>
<c:userShapes xmlns:c="http://schemas.openxmlformats.org/drawingml/2006/chart">
  <cdr:relSizeAnchor xmlns:cdr="http://schemas.openxmlformats.org/drawingml/2006/chartDrawing">
    <cdr:from>
      <cdr:x>0.12208</cdr:x>
      <cdr:y>0.06492</cdr:y>
    </cdr:from>
    <cdr:to>
      <cdr:x>0.15213</cdr:x>
      <cdr:y>0.21376</cdr:y>
    </cdr:to>
    <cdr:sp macro="" textlink="">
      <cdr:nvSpPr>
        <cdr:cNvPr id="2" name="Text Box 2">
          <a:extLst xmlns:a="http://schemas.openxmlformats.org/drawingml/2006/main">
            <a:ext uri="{FF2B5EF4-FFF2-40B4-BE49-F238E27FC236}">
              <a16:creationId xmlns:a16="http://schemas.microsoft.com/office/drawing/2014/main" id="{A95EB0E8-4FBF-4DCD-B631-A2E700B55C00}"/>
            </a:ext>
          </a:extLst>
        </cdr:cNvPr>
        <cdr:cNvSpPr txBox="1">
          <a:spLocks xmlns:a="http://schemas.openxmlformats.org/drawingml/2006/main" noChangeArrowheads="1"/>
        </cdr:cNvSpPr>
      </cdr:nvSpPr>
      <cdr:spPr bwMode="auto">
        <a:xfrm xmlns:a="http://schemas.openxmlformats.org/drawingml/2006/main">
          <a:off x="717055" y="101374"/>
          <a:ext cx="176523" cy="23243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B</a:t>
          </a:r>
        </a:p>
      </cdr:txBody>
    </cdr:sp>
  </cdr:relSizeAnchor>
</c:userShapes>
</file>

<file path=xl/drawings/drawing62.xml><?xml version="1.0" encoding="utf-8"?>
<c:userShapes xmlns:c="http://schemas.openxmlformats.org/drawingml/2006/chart">
  <cdr:relSizeAnchor xmlns:cdr="http://schemas.openxmlformats.org/drawingml/2006/chartDrawing">
    <cdr:from>
      <cdr:x>0.13651</cdr:x>
      <cdr:y>0.06873</cdr:y>
    </cdr:from>
    <cdr:to>
      <cdr:x>0.16334</cdr:x>
      <cdr:y>0.20995</cdr:y>
    </cdr:to>
    <cdr:sp macro="" textlink="">
      <cdr:nvSpPr>
        <cdr:cNvPr id="2" name="Text Box 2">
          <a:extLst xmlns:a="http://schemas.openxmlformats.org/drawingml/2006/main">
            <a:ext uri="{FF2B5EF4-FFF2-40B4-BE49-F238E27FC236}">
              <a16:creationId xmlns:a16="http://schemas.microsoft.com/office/drawing/2014/main" id="{B1E1D77D-6959-4DC3-8BA5-2146CFED5555}"/>
            </a:ext>
          </a:extLst>
        </cdr:cNvPr>
        <cdr:cNvSpPr txBox="1">
          <a:spLocks xmlns:a="http://schemas.openxmlformats.org/drawingml/2006/main" noChangeArrowheads="1"/>
        </cdr:cNvSpPr>
      </cdr:nvSpPr>
      <cdr:spPr bwMode="auto">
        <a:xfrm xmlns:a="http://schemas.openxmlformats.org/drawingml/2006/main">
          <a:off x="811601" y="108767"/>
          <a:ext cx="159519" cy="2234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a</a:t>
          </a:r>
        </a:p>
      </cdr:txBody>
    </cdr:sp>
  </cdr:relSizeAnchor>
</c:userShapes>
</file>

<file path=xl/drawings/drawing63.xml><?xml version="1.0" encoding="utf-8"?>
<c:userShapes xmlns:c="http://schemas.openxmlformats.org/drawingml/2006/chart">
  <cdr:relSizeAnchor xmlns:cdr="http://schemas.openxmlformats.org/drawingml/2006/chartDrawing">
    <cdr:from>
      <cdr:x>0.1337</cdr:x>
      <cdr:y>0.01382</cdr:y>
    </cdr:from>
    <cdr:to>
      <cdr:x>0.16054</cdr:x>
      <cdr:y>0.15504</cdr:y>
    </cdr:to>
    <cdr:sp macro="" textlink="">
      <cdr:nvSpPr>
        <cdr:cNvPr id="2" name="Text Box 2">
          <a:extLst xmlns:a="http://schemas.openxmlformats.org/drawingml/2006/main">
            <a:ext uri="{FF2B5EF4-FFF2-40B4-BE49-F238E27FC236}">
              <a16:creationId xmlns:a16="http://schemas.microsoft.com/office/drawing/2014/main" id="{4FE6792A-71A8-448E-A62F-3B8D7EB1E6CA}"/>
            </a:ext>
          </a:extLst>
        </cdr:cNvPr>
        <cdr:cNvSpPr txBox="1">
          <a:spLocks xmlns:a="http://schemas.openxmlformats.org/drawingml/2006/main" noChangeArrowheads="1"/>
        </cdr:cNvSpPr>
      </cdr:nvSpPr>
      <cdr:spPr bwMode="auto">
        <a:xfrm xmlns:a="http://schemas.openxmlformats.org/drawingml/2006/main">
          <a:off x="794944" y="21772"/>
          <a:ext cx="159577" cy="22249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b</a:t>
          </a:r>
        </a:p>
      </cdr:txBody>
    </cdr:sp>
  </cdr:relSizeAnchor>
</c:userShapes>
</file>

<file path=xl/drawings/drawing64.xml><?xml version="1.0" encoding="utf-8"?>
<c:userShapes xmlns:c="http://schemas.openxmlformats.org/drawingml/2006/chart">
  <cdr:relSizeAnchor xmlns:cdr="http://schemas.openxmlformats.org/drawingml/2006/chartDrawing">
    <cdr:from>
      <cdr:x>0.12528</cdr:x>
      <cdr:y>0</cdr:y>
    </cdr:from>
    <cdr:to>
      <cdr:x>0.15066</cdr:x>
      <cdr:y>0.14357</cdr:y>
    </cdr:to>
    <cdr:sp macro="" textlink="">
      <cdr:nvSpPr>
        <cdr:cNvPr id="2" name="Text Box 2">
          <a:extLst xmlns:a="http://schemas.openxmlformats.org/drawingml/2006/main">
            <a:ext uri="{FF2B5EF4-FFF2-40B4-BE49-F238E27FC236}">
              <a16:creationId xmlns:a16="http://schemas.microsoft.com/office/drawing/2014/main" id="{4FE6792A-71A8-448E-A62F-3B8D7EB1E6CA}"/>
            </a:ext>
          </a:extLst>
        </cdr:cNvPr>
        <cdr:cNvSpPr txBox="1">
          <a:spLocks xmlns:a="http://schemas.openxmlformats.org/drawingml/2006/main" noChangeArrowheads="1"/>
        </cdr:cNvSpPr>
      </cdr:nvSpPr>
      <cdr:spPr bwMode="auto">
        <a:xfrm xmlns:a="http://schemas.openxmlformats.org/drawingml/2006/main">
          <a:off x="744448" y="0"/>
          <a:ext cx="150811" cy="23243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c</a:t>
          </a:r>
        </a:p>
      </cdr:txBody>
    </cdr:sp>
  </cdr:relSizeAnchor>
</c:userShapes>
</file>

<file path=xl/drawings/drawing65.xml><?xml version="1.0" encoding="utf-8"?>
<c:userShapes xmlns:c="http://schemas.openxmlformats.org/drawingml/2006/chart">
  <cdr:relSizeAnchor xmlns:cdr="http://schemas.openxmlformats.org/drawingml/2006/chartDrawing">
    <cdr:from>
      <cdr:x>0.11938</cdr:x>
      <cdr:y>0.04604</cdr:y>
    </cdr:from>
    <cdr:to>
      <cdr:x>0.15746</cdr:x>
      <cdr:y>0.19357</cdr:y>
    </cdr:to>
    <cdr:sp macro="" textlink="">
      <cdr:nvSpPr>
        <cdr:cNvPr id="2" name="Text Box 2">
          <a:extLst xmlns:a="http://schemas.openxmlformats.org/drawingml/2006/main">
            <a:ext uri="{FF2B5EF4-FFF2-40B4-BE49-F238E27FC236}">
              <a16:creationId xmlns:a16="http://schemas.microsoft.com/office/drawing/2014/main" id="{4D9D2184-2E48-4654-B0DF-9AAE620E0820}"/>
            </a:ext>
          </a:extLst>
        </cdr:cNvPr>
        <cdr:cNvSpPr txBox="1">
          <a:spLocks xmlns:a="http://schemas.openxmlformats.org/drawingml/2006/main" noChangeArrowheads="1"/>
        </cdr:cNvSpPr>
      </cdr:nvSpPr>
      <cdr:spPr bwMode="auto">
        <a:xfrm xmlns:a="http://schemas.openxmlformats.org/drawingml/2006/main">
          <a:off x="709776" y="72535"/>
          <a:ext cx="226395" cy="232436"/>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d</a:t>
          </a:r>
        </a:p>
      </cdr:txBody>
    </cdr:sp>
  </cdr:relSizeAnchor>
</c:userShapes>
</file>

<file path=xl/drawings/drawing66.xml><?xml version="1.0" encoding="utf-8"?>
<c:userShapes xmlns:c="http://schemas.openxmlformats.org/drawingml/2006/chart">
  <cdr:relSizeAnchor xmlns:cdr="http://schemas.openxmlformats.org/drawingml/2006/chartDrawing">
    <cdr:from>
      <cdr:x>0.13247</cdr:x>
      <cdr:y>0.0865</cdr:y>
    </cdr:from>
    <cdr:to>
      <cdr:x>0.1593</cdr:x>
      <cdr:y>0.22772</cdr:y>
    </cdr:to>
    <cdr:sp macro="" textlink="">
      <cdr:nvSpPr>
        <cdr:cNvPr id="2" name="Text Box 2">
          <a:extLst xmlns:a="http://schemas.openxmlformats.org/drawingml/2006/main">
            <a:ext uri="{FF2B5EF4-FFF2-40B4-BE49-F238E27FC236}">
              <a16:creationId xmlns:a16="http://schemas.microsoft.com/office/drawing/2014/main" id="{57BCFB71-9D14-44C0-8153-3E310C21977C}"/>
            </a:ext>
          </a:extLst>
        </cdr:cNvPr>
        <cdr:cNvSpPr txBox="1">
          <a:spLocks xmlns:a="http://schemas.openxmlformats.org/drawingml/2006/main" noChangeArrowheads="1"/>
        </cdr:cNvSpPr>
      </cdr:nvSpPr>
      <cdr:spPr bwMode="auto">
        <a:xfrm xmlns:a="http://schemas.openxmlformats.org/drawingml/2006/main">
          <a:off x="787576" y="136279"/>
          <a:ext cx="159518" cy="22249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36576" tIns="27432" rIns="36576" bIns="27432"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u="none" strike="noStrike" baseline="0">
              <a:solidFill>
                <a:srgbClr val="000000"/>
              </a:solidFill>
              <a:latin typeface="Arial"/>
              <a:cs typeface="Arial"/>
            </a:rPr>
            <a:t>e</a:t>
          </a:r>
        </a:p>
      </cdr:txBody>
    </cdr:sp>
  </cdr:relSizeAnchor>
</c:userShapes>
</file>

<file path=xl/drawings/drawing7.xml><?xml version="1.0" encoding="utf-8"?>
<xdr:wsDr xmlns:xdr="http://schemas.openxmlformats.org/drawingml/2006/spreadsheetDrawing" xmlns:a="http://schemas.openxmlformats.org/drawingml/2006/main">
  <xdr:twoCellAnchor>
    <xdr:from>
      <xdr:col>13</xdr:col>
      <xdr:colOff>201793</xdr:colOff>
      <xdr:row>29</xdr:row>
      <xdr:rowOff>20481</xdr:rowOff>
    </xdr:from>
    <xdr:to>
      <xdr:col>17</xdr:col>
      <xdr:colOff>58358</xdr:colOff>
      <xdr:row>36</xdr:row>
      <xdr:rowOff>78751</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8126593" y="4824394"/>
          <a:ext cx="2294965" cy="1217835"/>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Pasted</a:t>
          </a:r>
          <a:r>
            <a:rPr lang="en-US" sz="1100" baseline="0">
              <a:solidFill>
                <a:sysClr val="windowText" lastClr="000000"/>
              </a:solidFill>
            </a:rPr>
            <a:t> from Fig1.wmf file created by Paul Soderlind (Do not havve an original Corel Draw version)</a:t>
          </a:r>
          <a:endParaRPr lang="en-US" sz="1100">
            <a:solidFill>
              <a:sysClr val="windowText" lastClr="000000"/>
            </a:solidFill>
          </a:endParaRPr>
        </a:p>
      </xdr:txBody>
    </xdr:sp>
    <xdr:clientData/>
  </xdr:twoCellAnchor>
  <xdr:twoCellAnchor editAs="oneCell">
    <xdr:from>
      <xdr:col>0</xdr:col>
      <xdr:colOff>579121</xdr:colOff>
      <xdr:row>1</xdr:row>
      <xdr:rowOff>68580</xdr:rowOff>
    </xdr:from>
    <xdr:to>
      <xdr:col>11</xdr:col>
      <xdr:colOff>529604</xdr:colOff>
      <xdr:row>24</xdr:row>
      <xdr:rowOff>144780</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1" y="236220"/>
          <a:ext cx="6656083" cy="393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10</xdr:row>
      <xdr:rowOff>0</xdr:rowOff>
    </xdr:from>
    <xdr:to>
      <xdr:col>17</xdr:col>
      <xdr:colOff>466165</xdr:colOff>
      <xdr:row>14</xdr:row>
      <xdr:rowOff>0</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8534400" y="1662545"/>
          <a:ext cx="2294965" cy="665019"/>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Pasted</a:t>
          </a:r>
          <a:r>
            <a:rPr lang="en-US" sz="1100" baseline="0">
              <a:solidFill>
                <a:sysClr val="windowText" lastClr="000000"/>
              </a:solidFill>
            </a:rPr>
            <a:t> from Surfer file</a:t>
          </a:r>
        </a:p>
      </xdr:txBody>
    </xdr:sp>
    <xdr:clientData/>
  </xdr:twoCellAnchor>
  <xdr:twoCellAnchor editAs="oneCell">
    <xdr:from>
      <xdr:col>2</xdr:col>
      <xdr:colOff>261258</xdr:colOff>
      <xdr:row>27</xdr:row>
      <xdr:rowOff>87086</xdr:rowOff>
    </xdr:from>
    <xdr:to>
      <xdr:col>9</xdr:col>
      <xdr:colOff>535880</xdr:colOff>
      <xdr:row>49</xdr:row>
      <xdr:rowOff>118893</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480458" y="4495800"/>
          <a:ext cx="4541822" cy="36240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528917</xdr:colOff>
      <xdr:row>5</xdr:row>
      <xdr:rowOff>53788</xdr:rowOff>
    </xdr:from>
    <xdr:to>
      <xdr:col>13</xdr:col>
      <xdr:colOff>385482</xdr:colOff>
      <xdr:row>12</xdr:row>
      <xdr:rowOff>62752</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6015317" y="891988"/>
          <a:ext cx="2294965" cy="1182444"/>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Pasted</a:t>
          </a:r>
          <a:r>
            <a:rPr lang="en-US" sz="1100" baseline="0">
              <a:solidFill>
                <a:sysClr val="windowText" lastClr="000000"/>
              </a:solidFill>
            </a:rPr>
            <a:t> from Escambia River Flow spreadsheet</a:t>
          </a:r>
        </a:p>
      </xdr:txBody>
    </xdr:sp>
    <xdr:clientData/>
  </xdr:twoCellAnchor>
  <xdr:twoCellAnchor editAs="oneCell">
    <xdr:from>
      <xdr:col>0</xdr:col>
      <xdr:colOff>80683</xdr:colOff>
      <xdr:row>0</xdr:row>
      <xdr:rowOff>0</xdr:rowOff>
    </xdr:from>
    <xdr:to>
      <xdr:col>8</xdr:col>
      <xdr:colOff>682663</xdr:colOff>
      <xdr:row>16</xdr:row>
      <xdr:rowOff>53340</xdr:rowOff>
    </xdr:to>
    <xdr:pic>
      <xdr:nvPicPr>
        <xdr:cNvPr id="13" name="Picture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83" y="0"/>
          <a:ext cx="5478780" cy="2778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17930</xdr:colOff>
      <xdr:row>16</xdr:row>
      <xdr:rowOff>44821</xdr:rowOff>
    </xdr:from>
    <xdr:to>
      <xdr:col>8</xdr:col>
      <xdr:colOff>619910</xdr:colOff>
      <xdr:row>32</xdr:row>
      <xdr:rowOff>98162</xdr:rowOff>
    </xdr:to>
    <xdr:pic>
      <xdr:nvPicPr>
        <xdr:cNvPr id="14" name="Picture 13">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30" y="2770092"/>
          <a:ext cx="5478780" cy="2778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107577</xdr:colOff>
      <xdr:row>0</xdr:row>
      <xdr:rowOff>0</xdr:rowOff>
    </xdr:from>
    <xdr:to>
      <xdr:col>8</xdr:col>
      <xdr:colOff>709557</xdr:colOff>
      <xdr:row>16</xdr:row>
      <xdr:rowOff>53340</xdr:rowOff>
    </xdr:to>
    <xdr:pic>
      <xdr:nvPicPr>
        <xdr:cNvPr id="15" name="Picture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77" y="0"/>
          <a:ext cx="5478780" cy="2778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44824</xdr:colOff>
      <xdr:row>16</xdr:row>
      <xdr:rowOff>44821</xdr:rowOff>
    </xdr:from>
    <xdr:to>
      <xdr:col>8</xdr:col>
      <xdr:colOff>646804</xdr:colOff>
      <xdr:row>32</xdr:row>
      <xdr:rowOff>98162</xdr:rowOff>
    </xdr:to>
    <xdr:pic>
      <xdr:nvPicPr>
        <xdr:cNvPr id="16" name="Picture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4" y="2770092"/>
          <a:ext cx="5478780" cy="2778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657225</xdr:colOff>
      <xdr:row>9</xdr:row>
      <xdr:rowOff>133350</xdr:rowOff>
    </xdr:to>
    <xdr:graphicFrame macro="">
      <xdr:nvGraphicFramePr>
        <xdr:cNvPr id="1025025" name="Chart 2">
          <a:extLst>
            <a:ext uri="{FF2B5EF4-FFF2-40B4-BE49-F238E27FC236}">
              <a16:creationId xmlns:a16="http://schemas.microsoft.com/office/drawing/2014/main" id="{00000000-0008-0000-0B00-000001A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7</xdr:row>
      <xdr:rowOff>133350</xdr:rowOff>
    </xdr:from>
    <xdr:to>
      <xdr:col>9</xdr:col>
      <xdr:colOff>657225</xdr:colOff>
      <xdr:row>17</xdr:row>
      <xdr:rowOff>104775</xdr:rowOff>
    </xdr:to>
    <xdr:graphicFrame macro="">
      <xdr:nvGraphicFramePr>
        <xdr:cNvPr id="1025026" name="Chart 3">
          <a:extLst>
            <a:ext uri="{FF2B5EF4-FFF2-40B4-BE49-F238E27FC236}">
              <a16:creationId xmlns:a16="http://schemas.microsoft.com/office/drawing/2014/main" id="{00000000-0008-0000-0B00-000002A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15</xdr:row>
      <xdr:rowOff>95250</xdr:rowOff>
    </xdr:from>
    <xdr:to>
      <xdr:col>9</xdr:col>
      <xdr:colOff>657225</xdr:colOff>
      <xdr:row>25</xdr:row>
      <xdr:rowOff>57150</xdr:rowOff>
    </xdr:to>
    <xdr:graphicFrame macro="">
      <xdr:nvGraphicFramePr>
        <xdr:cNvPr id="1025027" name="Chart 4">
          <a:extLst>
            <a:ext uri="{FF2B5EF4-FFF2-40B4-BE49-F238E27FC236}">
              <a16:creationId xmlns:a16="http://schemas.microsoft.com/office/drawing/2014/main" id="{00000000-0008-0000-0B00-000003A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23</xdr:row>
      <xdr:rowOff>76200</xdr:rowOff>
    </xdr:from>
    <xdr:to>
      <xdr:col>9</xdr:col>
      <xdr:colOff>657225</xdr:colOff>
      <xdr:row>33</xdr:row>
      <xdr:rowOff>38100</xdr:rowOff>
    </xdr:to>
    <xdr:graphicFrame macro="">
      <xdr:nvGraphicFramePr>
        <xdr:cNvPr id="1025028" name="Chart 5">
          <a:extLst>
            <a:ext uri="{FF2B5EF4-FFF2-40B4-BE49-F238E27FC236}">
              <a16:creationId xmlns:a16="http://schemas.microsoft.com/office/drawing/2014/main" id="{00000000-0008-0000-0B00-000004A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0</xdr:colOff>
      <xdr:row>31</xdr:row>
      <xdr:rowOff>47625</xdr:rowOff>
    </xdr:from>
    <xdr:to>
      <xdr:col>9</xdr:col>
      <xdr:colOff>657225</xdr:colOff>
      <xdr:row>41</xdr:row>
      <xdr:rowOff>19050</xdr:rowOff>
    </xdr:to>
    <xdr:graphicFrame macro="">
      <xdr:nvGraphicFramePr>
        <xdr:cNvPr id="1025029" name="Chart 7">
          <a:extLst>
            <a:ext uri="{FF2B5EF4-FFF2-40B4-BE49-F238E27FC236}">
              <a16:creationId xmlns:a16="http://schemas.microsoft.com/office/drawing/2014/main" id="{00000000-0008-0000-0B00-000005A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0</xdr:colOff>
      <xdr:row>39</xdr:row>
      <xdr:rowOff>9525</xdr:rowOff>
    </xdr:from>
    <xdr:to>
      <xdr:col>9</xdr:col>
      <xdr:colOff>657225</xdr:colOff>
      <xdr:row>48</xdr:row>
      <xdr:rowOff>133350</xdr:rowOff>
    </xdr:to>
    <xdr:graphicFrame macro="">
      <xdr:nvGraphicFramePr>
        <xdr:cNvPr id="1025030" name="Chart 6">
          <a:extLst>
            <a:ext uri="{FF2B5EF4-FFF2-40B4-BE49-F238E27FC236}">
              <a16:creationId xmlns:a16="http://schemas.microsoft.com/office/drawing/2014/main" id="{00000000-0008-0000-0B00-000006A4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0</xdr:colOff>
      <xdr:row>64</xdr:row>
      <xdr:rowOff>154705</xdr:rowOff>
    </xdr:from>
    <xdr:to>
      <xdr:col>9</xdr:col>
      <xdr:colOff>657225</xdr:colOff>
      <xdr:row>74</xdr:row>
      <xdr:rowOff>113579</xdr:rowOff>
    </xdr:to>
    <xdr:graphicFrame macro="">
      <xdr:nvGraphicFramePr>
        <xdr:cNvPr id="9" name="Chart 6">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0</xdr:col>
      <xdr:colOff>0</xdr:colOff>
      <xdr:row>46</xdr:row>
      <xdr:rowOff>141194</xdr:rowOff>
    </xdr:from>
    <xdr:to>
      <xdr:col>9</xdr:col>
      <xdr:colOff>657225</xdr:colOff>
      <xdr:row>56</xdr:row>
      <xdr:rowOff>97379</xdr:rowOff>
    </xdr:to>
    <xdr:graphicFrame macro="">
      <xdr:nvGraphicFramePr>
        <xdr:cNvPr id="10" name="Chart 6">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12</xdr:col>
      <xdr:colOff>0</xdr:colOff>
      <xdr:row>48</xdr:row>
      <xdr:rowOff>152624</xdr:rowOff>
    </xdr:from>
    <xdr:to>
      <xdr:col>22</xdr:col>
      <xdr:colOff>95250</xdr:colOff>
      <xdr:row>58</xdr:row>
      <xdr:rowOff>108809</xdr:rowOff>
    </xdr:to>
    <xdr:graphicFrame macro="">
      <xdr:nvGraphicFramePr>
        <xdr:cNvPr id="11" name="Chart 6">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AMR/raw/SPAM_2013_Master_Mar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PAM_Experiments_2013_Mar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TD_Data_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UM"/>
      <sheetName val="T_3"/>
      <sheetName val="T_1"/>
      <sheetName val="T_2"/>
      <sheetName val="T_4_alt"/>
      <sheetName val="T_4"/>
      <sheetName val="Correl"/>
      <sheetName val="T_5"/>
      <sheetName val="F_1"/>
      <sheetName val="F_2"/>
      <sheetName val="F_3"/>
      <sheetName val="F_4"/>
      <sheetName val="F_5"/>
      <sheetName val="F_6"/>
      <sheetName val="F_7"/>
      <sheetName val="F_8"/>
      <sheetName val="F_9"/>
      <sheetName val="ANOVA"/>
      <sheetName val="SP01"/>
      <sheetName val="SP02"/>
      <sheetName val="CCA"/>
      <sheetName val="FDOM_v_Sal"/>
      <sheetName val="tide"/>
      <sheetName val="Chl_cal"/>
      <sheetName val="3_WAY"/>
      <sheetName val="2_WAY"/>
      <sheetName val="Duarte PR model"/>
      <sheetName val="F_6-8  presentation"/>
      <sheetName val="F_10_not_included"/>
    </sheetNames>
    <sheetDataSet>
      <sheetData sheetId="0">
        <row r="5">
          <cell r="G5">
            <v>2.98</v>
          </cell>
          <cell r="H5">
            <v>22.472986313276834</v>
          </cell>
          <cell r="I5">
            <v>22.998120346045198</v>
          </cell>
          <cell r="W5">
            <v>22.99810791015625</v>
          </cell>
        </row>
        <row r="6">
          <cell r="G6">
            <v>4.4746666666666668</v>
          </cell>
          <cell r="H6">
            <v>20.93181578354519</v>
          </cell>
          <cell r="I6">
            <v>19.860388294491525</v>
          </cell>
          <cell r="W6">
            <v>19.860382080078125</v>
          </cell>
        </row>
        <row r="7">
          <cell r="G7">
            <v>3.6599316666666666</v>
          </cell>
          <cell r="H7">
            <v>23.5198</v>
          </cell>
          <cell r="I7">
            <v>25.758233333333333</v>
          </cell>
          <cell r="W7">
            <v>0.93440000000000012</v>
          </cell>
        </row>
        <row r="8">
          <cell r="G8">
            <v>5.9467616666666672</v>
          </cell>
          <cell r="H8">
            <v>21.496333333333336</v>
          </cell>
          <cell r="I8">
            <v>24.1983</v>
          </cell>
          <cell r="W8">
            <v>0.10339999999999705</v>
          </cell>
        </row>
        <row r="9">
          <cell r="G9">
            <v>4.1847362499999994</v>
          </cell>
          <cell r="H9">
            <v>22.279499999999999</v>
          </cell>
          <cell r="I9">
            <v>21.765250000000002</v>
          </cell>
          <cell r="W9">
            <v>2.716899999999999</v>
          </cell>
        </row>
        <row r="10">
          <cell r="G10">
            <v>2.4796009999999997</v>
          </cell>
          <cell r="H10">
            <v>26.64696</v>
          </cell>
          <cell r="I10">
            <v>24.61692</v>
          </cell>
          <cell r="W10">
            <v>0.67340000000000089</v>
          </cell>
        </row>
        <row r="11">
          <cell r="G11">
            <v>2.507568333333333</v>
          </cell>
          <cell r="H11">
            <v>26.027899999999999</v>
          </cell>
          <cell r="I11">
            <v>27.674299999999999</v>
          </cell>
          <cell r="W11">
            <v>8.0000000000168825E-4</v>
          </cell>
        </row>
        <row r="12">
          <cell r="G12">
            <v>1.18197375</v>
          </cell>
          <cell r="H12">
            <v>28.265800000000002</v>
          </cell>
          <cell r="I12">
            <v>25.30255</v>
          </cell>
          <cell r="W12">
            <v>0.1355000000000004</v>
          </cell>
        </row>
        <row r="13">
          <cell r="G13">
            <v>2.2859833333333328</v>
          </cell>
          <cell r="H13">
            <v>27.6571</v>
          </cell>
          <cell r="I13">
            <v>24.835633333333334</v>
          </cell>
          <cell r="W13">
            <v>0.81830000000000069</v>
          </cell>
        </row>
        <row r="14">
          <cell r="G14">
            <v>12.861358749999999</v>
          </cell>
          <cell r="H14">
            <v>28.511899999999997</v>
          </cell>
          <cell r="I14">
            <v>25.466700000000003</v>
          </cell>
          <cell r="W14">
            <v>0.17340000000000089</v>
          </cell>
        </row>
        <row r="15">
          <cell r="G15">
            <v>3.6279299999999997</v>
          </cell>
          <cell r="H15">
            <v>29.034366666666671</v>
          </cell>
          <cell r="I15">
            <v>21.85796666666667</v>
          </cell>
          <cell r="W15">
            <v>2.1168999999999976</v>
          </cell>
        </row>
        <row r="16">
          <cell r="G16">
            <v>9.9878289999999996</v>
          </cell>
          <cell r="H16">
            <v>28.126280000000001</v>
          </cell>
          <cell r="I16">
            <v>16.218259999999997</v>
          </cell>
          <cell r="W16">
            <v>1.1960000000000015</v>
          </cell>
        </row>
        <row r="17">
          <cell r="G17">
            <v>9.0764705882352938</v>
          </cell>
          <cell r="H17">
            <v>9.0764694213867188</v>
          </cell>
          <cell r="I17">
            <v>9.0764694213867188</v>
          </cell>
        </row>
        <row r="18">
          <cell r="G18">
            <v>8.5239574999999981</v>
          </cell>
          <cell r="H18">
            <v>30.001224999999998</v>
          </cell>
          <cell r="I18">
            <v>12.197274999999999</v>
          </cell>
          <cell r="W18">
            <v>6.8999999999999062E-3</v>
          </cell>
        </row>
        <row r="19">
          <cell r="G19">
            <v>7.8810424999999986</v>
          </cell>
          <cell r="H19">
            <v>30.07715</v>
          </cell>
          <cell r="I19">
            <v>11.70585</v>
          </cell>
          <cell r="W19">
            <v>0.93229999999999968</v>
          </cell>
        </row>
        <row r="20">
          <cell r="G20">
            <v>7.6660549999999983</v>
          </cell>
          <cell r="H20">
            <v>29.55012</v>
          </cell>
          <cell r="I20">
            <v>11.895599999999998</v>
          </cell>
          <cell r="W20">
            <v>8.8396999999999988</v>
          </cell>
        </row>
        <row r="21">
          <cell r="G21">
            <v>6.771752499999999</v>
          </cell>
          <cell r="H21">
            <v>27.863575000000004</v>
          </cell>
          <cell r="I21">
            <v>15.086874999999999</v>
          </cell>
          <cell r="W21">
            <v>0.85009999999999941</v>
          </cell>
        </row>
        <row r="22">
          <cell r="G22">
            <v>7.6660549999999983</v>
          </cell>
          <cell r="H22">
            <v>28.792249999999999</v>
          </cell>
          <cell r="I22">
            <v>15.638699999999998</v>
          </cell>
          <cell r="W22">
            <v>0.13569999999999993</v>
          </cell>
        </row>
        <row r="23">
          <cell r="G23">
            <v>12.256208749999999</v>
          </cell>
          <cell r="H23">
            <v>29.810666666666666</v>
          </cell>
          <cell r="I23">
            <v>18.386466666666667</v>
          </cell>
          <cell r="W23">
            <v>0.94819999999999993</v>
          </cell>
        </row>
        <row r="24">
          <cell r="G24">
            <v>14.316031666666666</v>
          </cell>
          <cell r="H24">
            <v>27.25395</v>
          </cell>
          <cell r="I24">
            <v>20.720999999999997</v>
          </cell>
          <cell r="W24">
            <v>7.0300000000003138E-2</v>
          </cell>
        </row>
        <row r="25">
          <cell r="G25">
            <v>2.1960000000000002</v>
          </cell>
          <cell r="H25">
            <v>22.047031975564959</v>
          </cell>
          <cell r="I25">
            <v>23.022141509180805</v>
          </cell>
          <cell r="W25">
            <v>23.022140502929688</v>
          </cell>
        </row>
        <row r="26">
          <cell r="G26">
            <v>3.2725</v>
          </cell>
          <cell r="H26">
            <v>20.90302654548023</v>
          </cell>
          <cell r="I26">
            <v>19.725795825564976</v>
          </cell>
          <cell r="W26">
            <v>19.725784301757813</v>
          </cell>
        </row>
        <row r="27">
          <cell r="G27">
            <v>4.5080582608695634</v>
          </cell>
          <cell r="H27">
            <v>23.182521739130433</v>
          </cell>
          <cell r="I27">
            <v>28.704934782608689</v>
          </cell>
          <cell r="W27">
            <v>7.4959000000000024</v>
          </cell>
        </row>
        <row r="28">
          <cell r="G28">
            <v>4.5293056818181814</v>
          </cell>
          <cell r="H28">
            <v>21.516704545454548</v>
          </cell>
          <cell r="I28">
            <v>26.492563636363638</v>
          </cell>
          <cell r="W28">
            <v>6.6629000000000005</v>
          </cell>
        </row>
        <row r="29">
          <cell r="G29">
            <v>7.0210430434782607</v>
          </cell>
          <cell r="H29">
            <v>22.479104347826084</v>
          </cell>
          <cell r="I29">
            <v>28.335965217391305</v>
          </cell>
          <cell r="W29">
            <v>11.096900000000002</v>
          </cell>
        </row>
        <row r="30">
          <cell r="G30">
            <v>3.2259266666666671</v>
          </cell>
          <cell r="H30">
            <v>26.512699999999995</v>
          </cell>
          <cell r="I30">
            <v>25.688504761904763</v>
          </cell>
          <cell r="W30">
            <v>4.8781999999999996</v>
          </cell>
        </row>
        <row r="31">
          <cell r="G31">
            <v>4.0752570454545456</v>
          </cell>
          <cell r="H31">
            <v>25.970036363636368</v>
          </cell>
          <cell r="I31">
            <v>28.574059090909088</v>
          </cell>
          <cell r="W31">
            <v>1.6046000000000014</v>
          </cell>
        </row>
        <row r="32">
          <cell r="G32">
            <v>1.8069766666666665</v>
          </cell>
          <cell r="H32">
            <v>27.845319047619054</v>
          </cell>
          <cell r="I32">
            <v>27.933371428571427</v>
          </cell>
          <cell r="W32">
            <v>4.5928000000000004</v>
          </cell>
        </row>
        <row r="33">
          <cell r="G33">
            <v>4.3280449999999995</v>
          </cell>
          <cell r="H33">
            <v>27.56966666666667</v>
          </cell>
          <cell r="I33">
            <v>26.955061904761909</v>
          </cell>
          <cell r="W33">
            <v>3.4085999999999999</v>
          </cell>
        </row>
        <row r="34">
          <cell r="G34">
            <v>6.8625249999999998</v>
          </cell>
          <cell r="H34">
            <v>28.923981818181815</v>
          </cell>
          <cell r="I34">
            <v>27.312345454545458</v>
          </cell>
          <cell r="W34">
            <v>4.1685999999999979</v>
          </cell>
        </row>
        <row r="35">
          <cell r="G35">
            <v>5.843563333333333</v>
          </cell>
          <cell r="H35">
            <v>29.172476190476189</v>
          </cell>
          <cell r="I35">
            <v>25.602509523809523</v>
          </cell>
          <cell r="W35">
            <v>8.9052000000000007</v>
          </cell>
        </row>
        <row r="36">
          <cell r="G36">
            <v>8.7046683333333323</v>
          </cell>
          <cell r="H36">
            <v>28.358233333333335</v>
          </cell>
          <cell r="I36">
            <v>21.087191666666666</v>
          </cell>
          <cell r="W36">
            <v>13.4329</v>
          </cell>
        </row>
        <row r="37">
          <cell r="G37">
            <v>6.9538217391304338</v>
          </cell>
          <cell r="H37">
            <v>28.472347826086953</v>
          </cell>
          <cell r="I37">
            <v>20.207126086956521</v>
          </cell>
          <cell r="W37">
            <v>2.7038000000000011</v>
          </cell>
        </row>
        <row r="38">
          <cell r="G38">
            <v>6.1051154545454542</v>
          </cell>
          <cell r="H38">
            <v>28.851036363636368</v>
          </cell>
          <cell r="I38">
            <v>26.281272727272725</v>
          </cell>
          <cell r="W38">
            <v>20.867899999999999</v>
          </cell>
        </row>
        <row r="39">
          <cell r="G39">
            <v>5.9049280434782609</v>
          </cell>
          <cell r="H39">
            <v>29.403047826086951</v>
          </cell>
          <cell r="I39">
            <v>23.517708695652171</v>
          </cell>
          <cell r="W39">
            <v>19.513099999999998</v>
          </cell>
        </row>
        <row r="40">
          <cell r="G40">
            <v>2.4313591304347826</v>
          </cell>
          <cell r="H40">
            <v>29.586282608695644</v>
          </cell>
          <cell r="I40">
            <v>26.51509130434783</v>
          </cell>
          <cell r="W40">
            <v>19.515500000000003</v>
          </cell>
        </row>
        <row r="41">
          <cell r="G41">
            <v>5.3287595652173909</v>
          </cell>
          <cell r="H41">
            <v>28.118791304347827</v>
          </cell>
          <cell r="I41">
            <v>20.757260869565215</v>
          </cell>
          <cell r="W41">
            <v>13.4061</v>
          </cell>
        </row>
        <row r="42">
          <cell r="G42">
            <v>28.692752391304349</v>
          </cell>
          <cell r="H42">
            <v>28.769065217391308</v>
          </cell>
          <cell r="I42">
            <v>23.260543478260871</v>
          </cell>
          <cell r="W42">
            <v>14.307400000000001</v>
          </cell>
        </row>
        <row r="43">
          <cell r="G43">
            <v>11.876010750000001</v>
          </cell>
          <cell r="H43">
            <v>29.872880000000002</v>
          </cell>
          <cell r="I43">
            <v>23.593300000000006</v>
          </cell>
          <cell r="W43">
            <v>11.624099999999999</v>
          </cell>
        </row>
        <row r="44">
          <cell r="G44">
            <v>5.4692115909090901</v>
          </cell>
          <cell r="H44">
            <v>27.941377272727276</v>
          </cell>
          <cell r="I44">
            <v>23.697904545454545</v>
          </cell>
          <cell r="W44">
            <v>7.9246000000000016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4">
          <cell r="A94">
            <v>41467</v>
          </cell>
        </row>
        <row r="95">
          <cell r="A95">
            <v>41468</v>
          </cell>
        </row>
        <row r="96">
          <cell r="A96">
            <v>41469</v>
          </cell>
        </row>
        <row r="97">
          <cell r="A97">
            <v>41470</v>
          </cell>
        </row>
        <row r="98">
          <cell r="A98">
            <v>41471</v>
          </cell>
        </row>
        <row r="99">
          <cell r="A99">
            <v>41472</v>
          </cell>
        </row>
        <row r="100">
          <cell r="A100">
            <v>41473</v>
          </cell>
        </row>
        <row r="101">
          <cell r="A101">
            <v>41474</v>
          </cell>
        </row>
        <row r="102">
          <cell r="A102">
            <v>41475</v>
          </cell>
        </row>
        <row r="103">
          <cell r="A103">
            <v>41476</v>
          </cell>
        </row>
        <row r="104">
          <cell r="A104">
            <v>41477</v>
          </cell>
        </row>
        <row r="105">
          <cell r="A105">
            <v>41478</v>
          </cell>
        </row>
        <row r="106">
          <cell r="A106">
            <v>41479</v>
          </cell>
        </row>
        <row r="107">
          <cell r="A107">
            <v>41480</v>
          </cell>
        </row>
        <row r="108">
          <cell r="A108">
            <v>41481</v>
          </cell>
        </row>
        <row r="109">
          <cell r="A109">
            <v>41482</v>
          </cell>
        </row>
        <row r="110">
          <cell r="A110">
            <v>41483</v>
          </cell>
        </row>
        <row r="111">
          <cell r="A111">
            <v>41484</v>
          </cell>
        </row>
        <row r="112">
          <cell r="A112">
            <v>41485</v>
          </cell>
        </row>
        <row r="113">
          <cell r="A113">
            <v>41486</v>
          </cell>
        </row>
        <row r="114">
          <cell r="A114">
            <v>41487</v>
          </cell>
        </row>
        <row r="115">
          <cell r="A115">
            <v>41488</v>
          </cell>
        </row>
        <row r="116">
          <cell r="A116">
            <v>41489</v>
          </cell>
        </row>
        <row r="117">
          <cell r="A117">
            <v>41490</v>
          </cell>
        </row>
        <row r="118">
          <cell r="A118">
            <v>41491</v>
          </cell>
        </row>
        <row r="119">
          <cell r="A119">
            <v>41492</v>
          </cell>
        </row>
        <row r="120">
          <cell r="A120">
            <v>41493</v>
          </cell>
        </row>
        <row r="121">
          <cell r="A121">
            <v>41494</v>
          </cell>
        </row>
        <row r="122">
          <cell r="A122">
            <v>41495</v>
          </cell>
        </row>
        <row r="123">
          <cell r="A123">
            <v>41496</v>
          </cell>
        </row>
        <row r="124">
          <cell r="A124">
            <v>41497</v>
          </cell>
        </row>
        <row r="125">
          <cell r="A125">
            <v>41498</v>
          </cell>
        </row>
        <row r="126">
          <cell r="A126">
            <v>41499</v>
          </cell>
        </row>
        <row r="127">
          <cell r="A127">
            <v>41500</v>
          </cell>
        </row>
        <row r="128">
          <cell r="A128">
            <v>41501</v>
          </cell>
        </row>
        <row r="129">
          <cell r="A129">
            <v>41502</v>
          </cell>
        </row>
        <row r="130">
          <cell r="A130">
            <v>41503</v>
          </cell>
        </row>
        <row r="131">
          <cell r="A131">
            <v>41504</v>
          </cell>
        </row>
        <row r="132">
          <cell r="A132">
            <v>41505</v>
          </cell>
        </row>
        <row r="133">
          <cell r="A133">
            <v>41506</v>
          </cell>
        </row>
        <row r="134">
          <cell r="A134">
            <v>41507</v>
          </cell>
        </row>
        <row r="135">
          <cell r="A135">
            <v>41508</v>
          </cell>
        </row>
        <row r="136">
          <cell r="A136">
            <v>41509</v>
          </cell>
        </row>
        <row r="137">
          <cell r="A137">
            <v>41510</v>
          </cell>
        </row>
        <row r="138">
          <cell r="A138">
            <v>41511</v>
          </cell>
        </row>
        <row r="139">
          <cell r="A139">
            <v>41512</v>
          </cell>
        </row>
        <row r="140">
          <cell r="A140">
            <v>41513</v>
          </cell>
        </row>
        <row r="141">
          <cell r="A141">
            <v>41514</v>
          </cell>
        </row>
        <row r="142">
          <cell r="A142">
            <v>41515</v>
          </cell>
        </row>
        <row r="143">
          <cell r="A143">
            <v>41516</v>
          </cell>
        </row>
        <row r="144">
          <cell r="A144">
            <v>41517</v>
          </cell>
        </row>
        <row r="145">
          <cell r="A145">
            <v>41518</v>
          </cell>
        </row>
        <row r="146">
          <cell r="A146">
            <v>41519</v>
          </cell>
        </row>
        <row r="147">
          <cell r="A147">
            <v>41520</v>
          </cell>
        </row>
        <row r="148">
          <cell r="A148">
            <v>41521</v>
          </cell>
        </row>
        <row r="149">
          <cell r="A149">
            <v>41522</v>
          </cell>
        </row>
        <row r="150">
          <cell r="A150">
            <v>41523</v>
          </cell>
        </row>
        <row r="151">
          <cell r="A151">
            <v>41524</v>
          </cell>
        </row>
        <row r="152">
          <cell r="A152">
            <v>41525</v>
          </cell>
        </row>
        <row r="153">
          <cell r="A153">
            <v>41526</v>
          </cell>
        </row>
        <row r="154">
          <cell r="A154">
            <v>41527</v>
          </cell>
        </row>
        <row r="155">
          <cell r="A155">
            <v>41528</v>
          </cell>
        </row>
        <row r="156">
          <cell r="A156">
            <v>41529</v>
          </cell>
        </row>
        <row r="157">
          <cell r="A157">
            <v>41530</v>
          </cell>
        </row>
        <row r="158">
          <cell r="A158">
            <v>41531</v>
          </cell>
        </row>
        <row r="159">
          <cell r="A159">
            <v>41532</v>
          </cell>
        </row>
        <row r="160">
          <cell r="A160">
            <v>41533</v>
          </cell>
        </row>
        <row r="161">
          <cell r="A161">
            <v>41534</v>
          </cell>
        </row>
        <row r="162">
          <cell r="A162">
            <v>41535</v>
          </cell>
        </row>
        <row r="163">
          <cell r="A163">
            <v>41536</v>
          </cell>
        </row>
        <row r="164">
          <cell r="A164">
            <v>41537</v>
          </cell>
        </row>
        <row r="165">
          <cell r="A165">
            <v>41538</v>
          </cell>
        </row>
        <row r="166">
          <cell r="A166">
            <v>41539</v>
          </cell>
        </row>
        <row r="167">
          <cell r="A167">
            <v>41540</v>
          </cell>
        </row>
        <row r="168">
          <cell r="A168">
            <v>41541</v>
          </cell>
        </row>
        <row r="169">
          <cell r="A169">
            <v>41542</v>
          </cell>
        </row>
        <row r="170">
          <cell r="A170">
            <v>41543</v>
          </cell>
        </row>
        <row r="171">
          <cell r="A171">
            <v>41544</v>
          </cell>
        </row>
        <row r="172">
          <cell r="A172">
            <v>41545</v>
          </cell>
        </row>
        <row r="173">
          <cell r="A173">
            <v>41546</v>
          </cell>
        </row>
        <row r="174">
          <cell r="A174">
            <v>41547</v>
          </cell>
        </row>
        <row r="175">
          <cell r="A175">
            <v>41548</v>
          </cell>
        </row>
        <row r="176">
          <cell r="A176">
            <v>41549</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307"/>
      <sheetName val="0313"/>
      <sheetName val="0314"/>
      <sheetName val="0402"/>
      <sheetName val="0417"/>
      <sheetName val="0424"/>
      <sheetName val="0501"/>
      <sheetName val="0509"/>
      <sheetName val="0515"/>
      <sheetName val="0522"/>
      <sheetName val="0529"/>
      <sheetName val="0605"/>
      <sheetName val="0612"/>
      <sheetName val="0619"/>
      <sheetName val="0626"/>
      <sheetName val="0717"/>
      <sheetName val="0724"/>
      <sheetName val="0731"/>
      <sheetName val="0807"/>
      <sheetName val="0814"/>
      <sheetName val="0821"/>
      <sheetName val="0904"/>
      <sheetName val="0911"/>
      <sheetName val="0925"/>
      <sheetName val="SUM"/>
      <sheetName val="IPP_SP01"/>
      <sheetName val="IPP_SP02"/>
      <sheetName val="PAR"/>
      <sheetName val="Q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-0.3271119023112386</v>
          </cell>
          <cell r="G5">
            <v>1.1996539065622318</v>
          </cell>
          <cell r="J5">
            <v>5.9702269784702642</v>
          </cell>
          <cell r="K5">
            <v>1.5267658088734704</v>
          </cell>
          <cell r="L5">
            <v>0.3901909181613965</v>
          </cell>
          <cell r="N5">
            <v>0.4713514864864865</v>
          </cell>
          <cell r="R5">
            <v>27.784532667798814</v>
          </cell>
          <cell r="S5">
            <v>-11.776028483204591</v>
          </cell>
          <cell r="V5">
            <v>249.18866412561812</v>
          </cell>
        </row>
        <row r="6">
          <cell r="C6">
            <v>-0.61693915908639985</v>
          </cell>
          <cell r="J6">
            <v>4.3125337567100104</v>
          </cell>
          <cell r="K6">
            <v>1.0313732665297968</v>
          </cell>
          <cell r="L6">
            <v>0.28287391395291067</v>
          </cell>
          <cell r="N6">
            <v>0.30375333333333332</v>
          </cell>
          <cell r="R6">
            <v>18.56867561281663</v>
          </cell>
          <cell r="S6">
            <v>-22.209809727110393</v>
          </cell>
          <cell r="V6">
            <v>292.31915454083151</v>
          </cell>
        </row>
        <row r="7">
          <cell r="C7">
            <v>-0.45866424462100347</v>
          </cell>
          <cell r="J7">
            <v>2.4486713984436164</v>
          </cell>
          <cell r="K7">
            <v>0.94977923927978569</v>
          </cell>
          <cell r="L7">
            <v>0.94944309946302985</v>
          </cell>
          <cell r="N7">
            <v>0.16612834693877551</v>
          </cell>
          <cell r="R7">
            <v>16.024475627164986</v>
          </cell>
          <cell r="S7">
            <v>-16.511912806356126</v>
          </cell>
          <cell r="V7">
            <v>215.39346431820061</v>
          </cell>
        </row>
        <row r="8">
          <cell r="C8">
            <v>-0.40500103328676246</v>
          </cell>
          <cell r="G8">
            <v>0.80294626222345133</v>
          </cell>
          <cell r="J8">
            <v>4.074421103831801</v>
          </cell>
          <cell r="K8">
            <v>1.2079472955102137</v>
          </cell>
          <cell r="L8">
            <v>0.57769133951114338</v>
          </cell>
          <cell r="N8">
            <v>0.59086299999999981</v>
          </cell>
          <cell r="R8">
            <v>22.274804945494843</v>
          </cell>
          <cell r="S8">
            <v>-14.580037198323449</v>
          </cell>
          <cell r="V8">
            <v>233.44707403055656</v>
          </cell>
        </row>
        <row r="9">
          <cell r="C9">
            <v>-0.53729691236994748</v>
          </cell>
          <cell r="G9">
            <v>0.16685402432629934</v>
          </cell>
          <cell r="J9">
            <v>2.0082207823901554</v>
          </cell>
          <cell r="K9">
            <v>0.70415093669624684</v>
          </cell>
          <cell r="L9">
            <v>0.893951747012805</v>
          </cell>
          <cell r="N9">
            <v>0.63564428571428566</v>
          </cell>
          <cell r="R9">
            <v>12.574866015192491</v>
          </cell>
          <cell r="S9">
            <v>-19.342688845318108</v>
          </cell>
          <cell r="V9">
            <v>224.03644431179529</v>
          </cell>
        </row>
        <row r="10">
          <cell r="C10">
            <v>-0.90632029951847193</v>
          </cell>
          <cell r="G10">
            <v>-6.9223640816187301E-2</v>
          </cell>
          <cell r="J10">
            <v>3.3882945503504178</v>
          </cell>
          <cell r="K10">
            <v>0.83709665870228467</v>
          </cell>
          <cell r="L10">
            <v>3.141600493318998</v>
          </cell>
          <cell r="N10">
            <v>0.40726980769230769</v>
          </cell>
          <cell r="R10">
            <v>16.429161624580058</v>
          </cell>
          <cell r="S10">
            <v>-32.627530782664991</v>
          </cell>
          <cell r="V10">
            <v>211.72614669607222</v>
          </cell>
        </row>
        <row r="11">
          <cell r="C11">
            <v>-0.57922275627513042</v>
          </cell>
          <cell r="G11">
            <v>0.68616390327435217</v>
          </cell>
          <cell r="J11">
            <v>6.7689518908036455</v>
          </cell>
          <cell r="K11">
            <v>1.2653866595494825</v>
          </cell>
          <cell r="L11">
            <v>2.4140436997324728</v>
          </cell>
          <cell r="N11">
            <v>0.65302702702702708</v>
          </cell>
          <cell r="R11">
            <v>25.702339142750848</v>
          </cell>
          <cell r="S11">
            <v>-20.852019225904694</v>
          </cell>
          <cell r="V11">
            <v>211.72614669607222</v>
          </cell>
        </row>
        <row r="12">
          <cell r="C12">
            <v>-0.74881753281790286</v>
          </cell>
          <cell r="G12">
            <v>0.37451132429646283</v>
          </cell>
          <cell r="J12">
            <v>6.7854132254915838</v>
          </cell>
          <cell r="K12">
            <v>1.1233288571143656</v>
          </cell>
          <cell r="L12">
            <v>1.7574958373944287</v>
          </cell>
          <cell r="N12">
            <v>0.59730100000000019</v>
          </cell>
          <cell r="R12">
            <v>23.100095066541261</v>
          </cell>
          <cell r="S12">
            <v>-26.957431181444502</v>
          </cell>
          <cell r="V12">
            <v>214.13787199293483</v>
          </cell>
        </row>
        <row r="13">
          <cell r="C13">
            <v>-1.0229195482778572</v>
          </cell>
          <cell r="G13">
            <v>0.90420991755702984</v>
          </cell>
          <cell r="J13">
            <v>14.31242994342675</v>
          </cell>
          <cell r="K13">
            <v>1.927129465834887</v>
          </cell>
          <cell r="L13">
            <v>3.8139786560847022</v>
          </cell>
          <cell r="N13">
            <v>0.62482708333333348</v>
          </cell>
          <cell r="R13">
            <v>40.111352456689104</v>
          </cell>
          <cell r="S13">
            <v>-36.825103738002859</v>
          </cell>
          <cell r="V13">
            <v>205.63912301693279</v>
          </cell>
        </row>
        <row r="14">
          <cell r="C14">
            <v>-0.44289431508670335</v>
          </cell>
          <cell r="G14">
            <v>0.99977979385000093</v>
          </cell>
          <cell r="J14">
            <v>5.2448512719121361</v>
          </cell>
          <cell r="K14">
            <v>1.4426741089367043</v>
          </cell>
          <cell r="L14">
            <v>2.3945969579533468</v>
          </cell>
          <cell r="N14">
            <v>0.50620118367346945</v>
          </cell>
          <cell r="R14">
            <v>28.200084082059689</v>
          </cell>
          <cell r="S14">
            <v>-15.944195343121322</v>
          </cell>
          <cell r="V14">
            <v>209.72102831592071</v>
          </cell>
        </row>
        <row r="15">
          <cell r="C15">
            <v>-0.3961629446949696</v>
          </cell>
          <cell r="G15">
            <v>1.1500686320532769</v>
          </cell>
          <cell r="J15">
            <v>9.2899718660411637</v>
          </cell>
          <cell r="K15">
            <v>1.5462315767482466</v>
          </cell>
          <cell r="L15">
            <v>2.0599179341227027</v>
          </cell>
          <cell r="N15">
            <v>0.54040980392156868</v>
          </cell>
          <cell r="R15">
            <v>31.884519272744924</v>
          </cell>
          <cell r="S15">
            <v>-14.261866009018904</v>
          </cell>
          <cell r="V15">
            <v>221.35633422342573</v>
          </cell>
        </row>
        <row r="16">
          <cell r="C16">
            <v>-0.79072434310699347</v>
          </cell>
          <cell r="G16">
            <v>0.77710152449046244</v>
          </cell>
          <cell r="J16">
            <v>18.214136203258292</v>
          </cell>
          <cell r="K16">
            <v>1.5678258675974559</v>
          </cell>
          <cell r="L16">
            <v>0.78294756801553733</v>
          </cell>
          <cell r="N16">
            <v>0.58804549019607855</v>
          </cell>
          <cell r="R16">
            <v>32.100988520952441</v>
          </cell>
          <cell r="S16">
            <v>-28.466076351851765</v>
          </cell>
          <cell r="V16">
            <v>233.0798779658048</v>
          </cell>
        </row>
        <row r="17">
          <cell r="C17">
            <v>-0.89330425330323038</v>
          </cell>
          <cell r="G17">
            <v>4.5631404532839923</v>
          </cell>
          <cell r="J17">
            <v>47.09119238603337</v>
          </cell>
          <cell r="K17">
            <v>5.4564447065872228</v>
          </cell>
          <cell r="L17">
            <v>4.4493509583883437</v>
          </cell>
          <cell r="N17">
            <v>0.35544938775510204</v>
          </cell>
          <cell r="R17">
            <v>110.23887609264591</v>
          </cell>
          <cell r="S17">
            <v>-32.158953118916294</v>
          </cell>
          <cell r="V17">
            <v>203.39092984277994</v>
          </cell>
        </row>
        <row r="18">
          <cell r="C18">
            <v>-0.99525027097163765</v>
          </cell>
          <cell r="G18">
            <v>2.5355616609064899</v>
          </cell>
          <cell r="J18">
            <v>11.366758071821135</v>
          </cell>
          <cell r="K18">
            <v>3.5308119318781275</v>
          </cell>
          <cell r="L18">
            <v>5.6222443597244958</v>
          </cell>
          <cell r="N18">
            <v>0.30618839999999997</v>
          </cell>
          <cell r="R18">
            <v>57.180242258255547</v>
          </cell>
          <cell r="S18">
            <v>-35.829009754978955</v>
          </cell>
          <cell r="V18">
            <v>208.93848009183685</v>
          </cell>
        </row>
        <row r="19">
          <cell r="C19">
            <v>-0.48708806550446315</v>
          </cell>
          <cell r="G19">
            <v>1.403272585560577</v>
          </cell>
          <cell r="J19">
            <v>22.518286159914013</v>
          </cell>
          <cell r="K19">
            <v>1.8903606510650401</v>
          </cell>
          <cell r="L19">
            <v>4.7520926754370665</v>
          </cell>
          <cell r="N19">
            <v>0.54796979999999995</v>
          </cell>
          <cell r="R19">
            <v>37.246575193481505</v>
          </cell>
          <cell r="S19">
            <v>-17.535170358160673</v>
          </cell>
          <cell r="V19">
            <v>213.97801033421848</v>
          </cell>
        </row>
        <row r="20">
          <cell r="C20">
            <v>-1.1719092501677437</v>
          </cell>
          <cell r="G20">
            <v>2.6256637727933128</v>
          </cell>
          <cell r="J20">
            <v>32.37160248121333</v>
          </cell>
          <cell r="K20">
            <v>3.7975730229610565</v>
          </cell>
          <cell r="L20">
            <v>6.5895881777084711</v>
          </cell>
          <cell r="N20">
            <v>0.39829959183673475</v>
          </cell>
          <cell r="R20">
            <v>71.733855873394333</v>
          </cell>
          <cell r="S20">
            <v>-42.188733006038774</v>
          </cell>
          <cell r="V20">
            <v>188.28610355170497</v>
          </cell>
        </row>
        <row r="21">
          <cell r="C21">
            <v>-0.80987199153548883</v>
          </cell>
          <cell r="G21">
            <v>1.2773908914487588</v>
          </cell>
          <cell r="J21">
            <v>19.587484939919758</v>
          </cell>
          <cell r="K21">
            <v>2.0872628829842474</v>
          </cell>
          <cell r="L21">
            <v>3.0777392882390391</v>
          </cell>
          <cell r="N21">
            <v>0.5209803999999999</v>
          </cell>
          <cell r="R21">
            <v>39.815806972800878</v>
          </cell>
          <cell r="S21">
            <v>-29.155391695277601</v>
          </cell>
          <cell r="V21">
            <v>238.47496343296589</v>
          </cell>
        </row>
        <row r="22">
          <cell r="C22">
            <v>-4.8035623379261302E-2</v>
          </cell>
          <cell r="G22">
            <v>3.7781669563948128</v>
          </cell>
          <cell r="J22">
            <v>45.991731452910045</v>
          </cell>
          <cell r="K22">
            <v>3.826202579774074</v>
          </cell>
          <cell r="L22">
            <v>1.5563863110157001</v>
          </cell>
          <cell r="N22">
            <v>0.5480376086956521</v>
          </cell>
          <cell r="R22">
            <v>71.797053293355802</v>
          </cell>
          <cell r="S22">
            <v>-1.7292824416534067</v>
          </cell>
          <cell r="V22">
            <v>211.8246461260872</v>
          </cell>
        </row>
        <row r="23">
          <cell r="C23">
            <v>-1.2389189305162938</v>
          </cell>
          <cell r="G23">
            <v>4.7428051774394815</v>
          </cell>
          <cell r="J23">
            <v>72.227435838864267</v>
          </cell>
          <cell r="K23">
            <v>5.9817241079557757</v>
          </cell>
          <cell r="L23">
            <v>4.8541813246388221</v>
          </cell>
          <cell r="N23">
            <v>0.60960227272727274</v>
          </cell>
          <cell r="R23">
            <v>110.542645890279</v>
          </cell>
          <cell r="S23">
            <v>-44.601081498586574</v>
          </cell>
          <cell r="V23">
            <v>208.72870020397343</v>
          </cell>
        </row>
        <row r="24">
          <cell r="C24">
            <v>-0.21680487383648925</v>
          </cell>
          <cell r="G24">
            <v>2.5400985074682065</v>
          </cell>
          <cell r="J24">
            <v>30.565723900271824</v>
          </cell>
          <cell r="K24">
            <v>2.7569033813046957</v>
          </cell>
          <cell r="L24">
            <v>2.1051977588597603</v>
          </cell>
          <cell r="N24">
            <v>0.51318085106382971</v>
          </cell>
          <cell r="R24">
            <v>49.266298599069685</v>
          </cell>
          <cell r="S24">
            <v>-7.8049754581136126</v>
          </cell>
          <cell r="V24">
            <v>200.78086954505773</v>
          </cell>
        </row>
        <row r="25">
          <cell r="C25">
            <v>-0.26733776755287486</v>
          </cell>
          <cell r="G25">
            <v>1.2552631704646822</v>
          </cell>
          <cell r="J25">
            <v>6.1197738340607124</v>
          </cell>
          <cell r="K25">
            <v>1.5226009380175571</v>
          </cell>
          <cell r="L25">
            <v>0.88110852810648588</v>
          </cell>
          <cell r="N25">
            <v>0.4713514864864865</v>
          </cell>
          <cell r="R25">
            <v>84.746099073330939</v>
          </cell>
          <cell r="S25">
            <v>-37.855027885487083</v>
          </cell>
          <cell r="V25">
            <v>247.07443890612336</v>
          </cell>
        </row>
        <row r="26">
          <cell r="C26">
            <v>-0.55198122197279786</v>
          </cell>
          <cell r="G26">
            <v>0.54025045771601299</v>
          </cell>
          <cell r="J26">
            <v>4.5182341097388203</v>
          </cell>
          <cell r="K26">
            <v>1.092231679688811</v>
          </cell>
          <cell r="L26">
            <v>0.30078146358414415</v>
          </cell>
          <cell r="N26">
            <v>0.30375333333333332</v>
          </cell>
          <cell r="R26">
            <v>45.991972162386652</v>
          </cell>
          <cell r="S26">
            <v>-78.160541031348174</v>
          </cell>
          <cell r="V26">
            <v>292.83136382184131</v>
          </cell>
        </row>
        <row r="27">
          <cell r="C27">
            <v>-0.3660678615612028</v>
          </cell>
          <cell r="G27">
            <v>0.54671325584261166</v>
          </cell>
          <cell r="J27">
            <v>3.2730265328915098</v>
          </cell>
          <cell r="K27">
            <v>0.91278111740381451</v>
          </cell>
          <cell r="L27">
            <v>0.59989252177746277</v>
          </cell>
          <cell r="N27">
            <v>0.16612834693877551</v>
          </cell>
          <cell r="R27">
            <v>47.516003312453307</v>
          </cell>
          <cell r="S27">
            <v>-51.83520919706632</v>
          </cell>
          <cell r="V27">
            <v>232.40149050364829</v>
          </cell>
        </row>
        <row r="28">
          <cell r="C28">
            <v>-0.50688578806715701</v>
          </cell>
          <cell r="G28">
            <v>0.63642732949753422</v>
          </cell>
          <cell r="J28">
            <v>4.1790715281224093</v>
          </cell>
          <cell r="K28">
            <v>1.1433131175646913</v>
          </cell>
          <cell r="L28">
            <v>0.88685857782415423</v>
          </cell>
          <cell r="N28">
            <v>0.59086299999999981</v>
          </cell>
          <cell r="R28">
            <v>59.014168075230458</v>
          </cell>
          <cell r="S28">
            <v>-71.775027590309435</v>
          </cell>
          <cell r="V28">
            <v>250.77542677988592</v>
          </cell>
        </row>
        <row r="29">
          <cell r="C29">
            <v>-0.51912162449033228</v>
          </cell>
          <cell r="G29">
            <v>0.45995728244983514</v>
          </cell>
          <cell r="J29">
            <v>3.8668194547495784</v>
          </cell>
          <cell r="K29">
            <v>0.97907890694016741</v>
          </cell>
          <cell r="L29">
            <v>0.63684615195920846</v>
          </cell>
          <cell r="N29">
            <v>0.63564428571428566</v>
          </cell>
          <cell r="R29">
            <v>53.568993789417142</v>
          </cell>
          <cell r="S29">
            <v>-73.507622027831061</v>
          </cell>
          <cell r="V29">
            <v>248.23656074624108</v>
          </cell>
        </row>
        <row r="30">
          <cell r="C30">
            <v>-0.6702327712647852</v>
          </cell>
          <cell r="G30">
            <v>0.43872100955301824</v>
          </cell>
          <cell r="J30">
            <v>3.293335192717914</v>
          </cell>
          <cell r="K30">
            <v>1.1089537808178034</v>
          </cell>
          <cell r="L30">
            <v>1.832134099435246</v>
          </cell>
          <cell r="N30">
            <v>0.40726980769230769</v>
          </cell>
          <cell r="R30">
            <v>60.148518559007535</v>
          </cell>
          <cell r="S30">
            <v>-94.904960411093583</v>
          </cell>
          <cell r="V30">
            <v>228.40057531832031</v>
          </cell>
        </row>
        <row r="31">
          <cell r="C31">
            <v>-0.34551417388581512</v>
          </cell>
          <cell r="G31">
            <v>0.68001767301017546</v>
          </cell>
          <cell r="J31">
            <v>7.1607759013133077</v>
          </cell>
          <cell r="K31">
            <v>1.0255318468959906</v>
          </cell>
          <cell r="L31">
            <v>2.377855025021296</v>
          </cell>
          <cell r="N31">
            <v>0.65302702702702708</v>
          </cell>
          <cell r="R31">
            <v>73.381574348129192</v>
          </cell>
          <cell r="S31">
            <v>-48.92480702223142</v>
          </cell>
          <cell r="V31">
            <v>228.40057531832031</v>
          </cell>
        </row>
        <row r="32">
          <cell r="C32">
            <v>-0.57736839678710272</v>
          </cell>
          <cell r="G32">
            <v>0.23016988420390341</v>
          </cell>
          <cell r="J32">
            <v>8.9021206705632832</v>
          </cell>
          <cell r="K32">
            <v>0.80753828099100611</v>
          </cell>
          <cell r="L32">
            <v>1.6663782681939532</v>
          </cell>
          <cell r="N32">
            <v>0.59730100000000019</v>
          </cell>
          <cell r="R32">
            <v>63.267876932209667</v>
          </cell>
          <cell r="S32">
            <v>-81.75536498505376</v>
          </cell>
          <cell r="V32">
            <v>218.65837947033037</v>
          </cell>
        </row>
        <row r="33">
          <cell r="C33">
            <v>-0.69273626213056338</v>
          </cell>
          <cell r="G33">
            <v>0.43526399860407311</v>
          </cell>
          <cell r="J33">
            <v>11.092926852519826</v>
          </cell>
          <cell r="K33">
            <v>1.1280002607346364</v>
          </cell>
          <cell r="L33">
            <v>3.2087348153653958</v>
          </cell>
          <cell r="N33">
            <v>0.62482708333333348</v>
          </cell>
          <cell r="R33">
            <v>84.660120360179405</v>
          </cell>
          <cell r="S33">
            <v>-98.091454717687782</v>
          </cell>
          <cell r="V33">
            <v>221.61327004851864</v>
          </cell>
        </row>
        <row r="34">
          <cell r="C34">
            <v>-0.69273626213056338</v>
          </cell>
          <cell r="G34">
            <v>0.43526399860407311</v>
          </cell>
          <cell r="J34">
            <v>11.092926852519826</v>
          </cell>
          <cell r="K34">
            <v>1.1280002607346364</v>
          </cell>
          <cell r="L34">
            <v>3.2087348153653958</v>
          </cell>
          <cell r="N34">
            <v>0.50620118367346945</v>
          </cell>
          <cell r="R34">
            <v>84.070680889425404</v>
          </cell>
          <cell r="S34">
            <v>-98.091454717687782</v>
          </cell>
          <cell r="V34">
            <v>213.97703560082576</v>
          </cell>
        </row>
        <row r="35">
          <cell r="C35">
            <v>-0.75535167202132714</v>
          </cell>
          <cell r="G35">
            <v>0.85296118369466634</v>
          </cell>
          <cell r="J35">
            <v>18.111949154489412</v>
          </cell>
          <cell r="K35">
            <v>1.6083128557159934</v>
          </cell>
          <cell r="L35">
            <v>2.2393689649071491</v>
          </cell>
          <cell r="N35">
            <v>0.54040980392156868</v>
          </cell>
          <cell r="R35">
            <v>120.16804572496217</v>
          </cell>
          <cell r="S35">
            <v>-106.95779675821993</v>
          </cell>
          <cell r="V35">
            <v>224.66913521848011</v>
          </cell>
        </row>
        <row r="36">
          <cell r="C36">
            <v>-0.55098451897337364</v>
          </cell>
          <cell r="G36">
            <v>0.30029837902515494</v>
          </cell>
          <cell r="J36">
            <v>19.362319489132673</v>
          </cell>
          <cell r="K36">
            <v>0.85128289799852852</v>
          </cell>
          <cell r="L36">
            <v>1.751242446204083</v>
          </cell>
          <cell r="N36">
            <v>0.58804549019607855</v>
          </cell>
          <cell r="R36">
            <v>46.27450361317684</v>
          </cell>
          <cell r="S36">
            <v>-78.019407886629708</v>
          </cell>
          <cell r="V36">
            <v>227.03677124094156</v>
          </cell>
        </row>
        <row r="37">
          <cell r="C37">
            <v>-0.59265094167727916</v>
          </cell>
          <cell r="G37">
            <v>5.355802082780027</v>
          </cell>
          <cell r="J37">
            <v>45.225962467698309</v>
          </cell>
          <cell r="K37">
            <v>5.9484530244573062</v>
          </cell>
          <cell r="L37">
            <v>6.7343791405891782</v>
          </cell>
          <cell r="N37">
            <v>0.35544938775510204</v>
          </cell>
          <cell r="R37">
            <v>284.85692466496556</v>
          </cell>
          <cell r="S37">
            <v>-83.919373341502734</v>
          </cell>
          <cell r="V37">
            <v>210.09600621320169</v>
          </cell>
        </row>
        <row r="38">
          <cell r="C38">
            <v>-0.74334637330564057</v>
          </cell>
          <cell r="G38">
            <v>2.0343302160534833</v>
          </cell>
          <cell r="J38">
            <v>26.200423550595122</v>
          </cell>
          <cell r="K38">
            <v>2.7776765893591238</v>
          </cell>
          <cell r="L38">
            <v>3.3144619086160247</v>
          </cell>
          <cell r="N38">
            <v>0.30618839999999997</v>
          </cell>
          <cell r="R38">
            <v>114.68347423676786</v>
          </cell>
          <cell r="S38">
            <v>-105.25784646007871</v>
          </cell>
          <cell r="V38">
            <v>239.04594699050398</v>
          </cell>
        </row>
        <row r="39">
          <cell r="C39">
            <v>-0.31477402079329553</v>
          </cell>
          <cell r="G39">
            <v>1.5934319657347344</v>
          </cell>
          <cell r="J39">
            <v>17.868666641707172</v>
          </cell>
          <cell r="K39">
            <v>1.9082059865280301</v>
          </cell>
          <cell r="L39">
            <v>3.8988989940592127</v>
          </cell>
          <cell r="N39">
            <v>0.54796979999999995</v>
          </cell>
          <cell r="R39">
            <v>74.325187868330062</v>
          </cell>
          <cell r="S39">
            <v>-44.572001344330651</v>
          </cell>
          <cell r="V39">
            <v>213.11815733896282</v>
          </cell>
        </row>
        <row r="40">
          <cell r="C40">
            <v>-0.39045574845537634</v>
          </cell>
          <cell r="G40">
            <v>2.6770338825283235</v>
          </cell>
          <cell r="J40">
            <v>24.883562880603417</v>
          </cell>
          <cell r="K40">
            <v>3.0674896309837001</v>
          </cell>
          <cell r="L40">
            <v>9.1489718936791444</v>
          </cell>
          <cell r="N40">
            <v>0.39829959183673475</v>
          </cell>
          <cell r="R40">
            <v>102.29253006963</v>
          </cell>
          <cell r="S40">
            <v>-55.28853398128129</v>
          </cell>
          <cell r="V40">
            <v>229.67436978864967</v>
          </cell>
        </row>
        <row r="41">
          <cell r="C41">
            <v>-1.4778761779784417</v>
          </cell>
          <cell r="G41">
            <v>1.1520677262079853</v>
          </cell>
          <cell r="J41">
            <v>39.090237169460067</v>
          </cell>
          <cell r="K41">
            <v>2.629943904186427</v>
          </cell>
          <cell r="L41">
            <v>3.5888101695348293</v>
          </cell>
          <cell r="N41">
            <v>0.5209803999999999</v>
          </cell>
          <cell r="R41">
            <v>122.84790873204568</v>
          </cell>
          <cell r="S41">
            <v>-209.26726680174735</v>
          </cell>
          <cell r="V41">
            <v>238.27368899947976</v>
          </cell>
        </row>
        <row r="42">
          <cell r="C42">
            <v>-0.99360680727874384</v>
          </cell>
          <cell r="G42">
            <v>2.9547094686638053</v>
          </cell>
          <cell r="J42">
            <v>32.126683795026139</v>
          </cell>
          <cell r="K42">
            <v>3.948316275942549</v>
          </cell>
          <cell r="L42">
            <v>0.38537131467797847</v>
          </cell>
          <cell r="N42">
            <v>0.5480376086956521</v>
          </cell>
          <cell r="R42">
            <v>188.93593345177879</v>
          </cell>
          <cell r="S42">
            <v>-140.69472391067012</v>
          </cell>
          <cell r="V42">
            <v>255.44333279900314</v>
          </cell>
        </row>
        <row r="43">
          <cell r="C43">
            <v>-0.25757005031328578</v>
          </cell>
          <cell r="G43">
            <v>2.1996851965087587</v>
          </cell>
          <cell r="J43">
            <v>28.027351102961362</v>
          </cell>
          <cell r="K43">
            <v>2.4572552468220445</v>
          </cell>
          <cell r="L43">
            <v>3.9737372418988035</v>
          </cell>
          <cell r="N43">
            <v>0.60960227272727274</v>
          </cell>
          <cell r="R43">
            <v>136.00083463940541</v>
          </cell>
          <cell r="S43">
            <v>-36.471919124361264</v>
          </cell>
          <cell r="V43">
            <v>224.40790011158668</v>
          </cell>
        </row>
        <row r="44">
          <cell r="C44">
            <v>-0.26861367100600425</v>
          </cell>
          <cell r="G44">
            <v>2.9192190157233147</v>
          </cell>
          <cell r="J44">
            <v>34.929359864855329</v>
          </cell>
          <cell r="K44">
            <v>3.187832686729319</v>
          </cell>
          <cell r="L44">
            <v>2.2733689458029613</v>
          </cell>
          <cell r="N44">
            <v>0.51318085106382971</v>
          </cell>
          <cell r="R44">
            <v>191.17658272091239</v>
          </cell>
          <cell r="S44">
            <v>-38.0356958144502</v>
          </cell>
          <cell r="V44">
            <v>199.95522901517958</v>
          </cell>
        </row>
        <row r="48">
          <cell r="C48">
            <v>0.11951223705864947</v>
          </cell>
          <cell r="G48">
            <v>6.4382940413676384E-2</v>
          </cell>
          <cell r="J48">
            <v>0.64470996525755608</v>
          </cell>
          <cell r="K48">
            <v>0.13575101407751558</v>
          </cell>
          <cell r="L48">
            <v>0.35104690990894072</v>
          </cell>
        </row>
        <row r="49">
          <cell r="C49">
            <v>1.83593769452844E-2</v>
          </cell>
          <cell r="G49">
            <v>2.2968124739619879E-2</v>
          </cell>
          <cell r="J49">
            <v>0.17050271479178836</v>
          </cell>
          <cell r="K49">
            <v>2.9404106445763304E-2</v>
          </cell>
          <cell r="L49">
            <v>4.6075962328749942E-2</v>
          </cell>
        </row>
        <row r="50">
          <cell r="C50">
            <v>0.12917534079995605</v>
          </cell>
          <cell r="G50">
            <v>0.25836478101908661</v>
          </cell>
          <cell r="J50">
            <v>1.1623286418903338</v>
          </cell>
          <cell r="K50">
            <v>0.28885745401811141</v>
          </cell>
          <cell r="L50">
            <v>0.37363922058356508</v>
          </cell>
        </row>
        <row r="51">
          <cell r="C51">
            <v>9.0750836411654504E-2</v>
          </cell>
          <cell r="G51">
            <v>0.23898024530129755</v>
          </cell>
          <cell r="J51">
            <v>0.98574652672922036</v>
          </cell>
          <cell r="K51">
            <v>0.25563112477490535</v>
          </cell>
          <cell r="L51">
            <v>0.32206169706812898</v>
          </cell>
        </row>
        <row r="52">
          <cell r="C52">
            <v>3.5892611601343223E-2</v>
          </cell>
          <cell r="G52">
            <v>3.7068490793908247E-2</v>
          </cell>
          <cell r="J52">
            <v>0.18200894290659947</v>
          </cell>
          <cell r="K52">
            <v>5.1597990050998487E-2</v>
          </cell>
          <cell r="L52">
            <v>5.3149941539538316E-2</v>
          </cell>
        </row>
        <row r="53">
          <cell r="C53">
            <v>0.10821342311275688</v>
          </cell>
          <cell r="G53">
            <v>0.20797270447202307</v>
          </cell>
          <cell r="J53">
            <v>0.90796642817030537</v>
          </cell>
          <cell r="K53">
            <v>0.23444144417570029</v>
          </cell>
          <cell r="L53">
            <v>0.29125302178266343</v>
          </cell>
        </row>
        <row r="54">
          <cell r="C54">
            <v>6.2203237926485723E-2</v>
          </cell>
          <cell r="G54">
            <v>0.1286176191056066</v>
          </cell>
          <cell r="J54">
            <v>1.4098972526567841</v>
          </cell>
          <cell r="K54">
            <v>0.1428696425169948</v>
          </cell>
          <cell r="L54">
            <v>0.19374600956445664</v>
          </cell>
        </row>
        <row r="55">
          <cell r="C55">
            <v>0.13578303871693473</v>
          </cell>
          <cell r="G55">
            <v>0.18385397304062684</v>
          </cell>
          <cell r="J55">
            <v>3.4239947047868493</v>
          </cell>
          <cell r="K55">
            <v>0.22855921991035089</v>
          </cell>
          <cell r="L55">
            <v>0.24390108433213192</v>
          </cell>
        </row>
        <row r="56">
          <cell r="C56">
            <v>0.10939058353069218</v>
          </cell>
          <cell r="G56">
            <v>0.34439075642382966</v>
          </cell>
          <cell r="J56">
            <v>3.864942180936783</v>
          </cell>
          <cell r="K56">
            <v>0.36134649974140182</v>
          </cell>
          <cell r="L56">
            <v>0.5188442927444552</v>
          </cell>
        </row>
        <row r="57">
          <cell r="C57">
            <v>0.51118563696236519</v>
          </cell>
          <cell r="G57">
            <v>0.98631006960657963</v>
          </cell>
          <cell r="J57">
            <v>18.078164724511055</v>
          </cell>
          <cell r="K57">
            <v>1.110908776112582</v>
          </cell>
          <cell r="L57">
            <v>1.4196275655322865</v>
          </cell>
        </row>
        <row r="58">
          <cell r="C58">
            <v>0.14578031221989141</v>
          </cell>
          <cell r="G58">
            <v>0.16772458557740033</v>
          </cell>
          <cell r="J58">
            <v>7.9344666061078142</v>
          </cell>
          <cell r="K58">
            <v>0.22222384219079577</v>
          </cell>
          <cell r="L58">
            <v>0.30035732770146595</v>
          </cell>
        </row>
        <row r="59">
          <cell r="C59">
            <v>8.9239195610806274E-2</v>
          </cell>
          <cell r="G59">
            <v>7.6477096949208623E-2</v>
          </cell>
          <cell r="J59">
            <v>1.8588175202885571</v>
          </cell>
          <cell r="K59">
            <v>0.1175260838752079</v>
          </cell>
          <cell r="L59">
            <v>0.2517604293025909</v>
          </cell>
        </row>
        <row r="60">
          <cell r="C60">
            <v>3.9709610556805469E-2</v>
          </cell>
          <cell r="G60">
            <v>0.33393984454423187</v>
          </cell>
          <cell r="J60">
            <v>1.6201957849209749</v>
          </cell>
          <cell r="K60">
            <v>0.33629254072131737</v>
          </cell>
          <cell r="L60">
            <v>0.41558709805892452</v>
          </cell>
        </row>
        <row r="61">
          <cell r="C61">
            <v>9.5826912638847406E-2</v>
          </cell>
          <cell r="G61">
            <v>0.22709215379666869</v>
          </cell>
          <cell r="J61">
            <v>9.3099892420360781</v>
          </cell>
          <cell r="K61">
            <v>0.24648254198198929</v>
          </cell>
          <cell r="L61">
            <v>0.39745228874374761</v>
          </cell>
        </row>
        <row r="62">
          <cell r="C62">
            <v>0.63768943739121131</v>
          </cell>
          <cell r="G62">
            <v>0.10808111960867282</v>
          </cell>
          <cell r="J62">
            <v>10.330791708680744</v>
          </cell>
          <cell r="K62">
            <v>0.64678384872860262</v>
          </cell>
          <cell r="L62">
            <v>0.4062119489113632</v>
          </cell>
        </row>
        <row r="63">
          <cell r="C63">
            <v>0.30114602303565385</v>
          </cell>
          <cell r="G63">
            <v>0.15694658013597701</v>
          </cell>
          <cell r="J63">
            <v>15.004547943381692</v>
          </cell>
          <cell r="K63">
            <v>0.33958968801565398</v>
          </cell>
          <cell r="L63">
            <v>0.63538621019463326</v>
          </cell>
        </row>
        <row r="64">
          <cell r="C64">
            <v>9.5732235297502619E-2</v>
          </cell>
          <cell r="G64">
            <v>2.7030995948285622E-2</v>
          </cell>
          <cell r="J64">
            <v>5.6562709197732177</v>
          </cell>
          <cell r="K64">
            <v>9.947530154270777E-2</v>
          </cell>
          <cell r="L64">
            <v>0.40483080326101373</v>
          </cell>
        </row>
        <row r="65">
          <cell r="C65">
            <v>0.13083766721176335</v>
          </cell>
          <cell r="G65">
            <v>0.40017168018299204</v>
          </cell>
          <cell r="J65">
            <v>5.7505115427456834</v>
          </cell>
          <cell r="K65">
            <v>0.42101765851552475</v>
          </cell>
          <cell r="L65">
            <v>0.50316822388906635</v>
          </cell>
        </row>
        <row r="66">
          <cell r="C66">
            <v>0.69540541619491314</v>
          </cell>
          <cell r="G66">
            <v>0.1386775332197131</v>
          </cell>
          <cell r="J66">
            <v>15.165155507536552</v>
          </cell>
          <cell r="K66">
            <v>0.70909812515132553</v>
          </cell>
          <cell r="L66">
            <v>0.93905143447947959</v>
          </cell>
        </row>
        <row r="67">
          <cell r="C67">
            <v>0.1994254653284073</v>
          </cell>
          <cell r="G67">
            <v>0.45866229948009174</v>
          </cell>
          <cell r="J67">
            <v>7.7204882334206495</v>
          </cell>
          <cell r="K67">
            <v>0.50014160113493578</v>
          </cell>
          <cell r="L67">
            <v>0.68275090001566285</v>
          </cell>
        </row>
        <row r="68">
          <cell r="C68">
            <v>9.1903832657987239E-2</v>
          </cell>
          <cell r="G68">
            <v>0.1866379182799065</v>
          </cell>
          <cell r="J68">
            <v>0.81654910010477866</v>
          </cell>
          <cell r="K68">
            <v>0.20803852286796401</v>
          </cell>
          <cell r="L68">
            <v>0.25515430959829555</v>
          </cell>
        </row>
        <row r="69">
          <cell r="C69">
            <v>2.0081201779805831E-2</v>
          </cell>
          <cell r="G69">
            <v>5.5244916509493452E-2</v>
          </cell>
          <cell r="J69">
            <v>0.82601819153849554</v>
          </cell>
          <cell r="K69">
            <v>5.8781421087467589E-2</v>
          </cell>
          <cell r="L69">
            <v>0.10314859200874338</v>
          </cell>
        </row>
        <row r="70">
          <cell r="C70">
            <v>4.2200736638512447E-2</v>
          </cell>
          <cell r="G70">
            <v>6.5910040812469858E-2</v>
          </cell>
          <cell r="J70">
            <v>0.25285781774425403</v>
          </cell>
          <cell r="K70">
            <v>7.8262606989126862E-2</v>
          </cell>
          <cell r="L70">
            <v>8.0508040017040802E-2</v>
          </cell>
        </row>
        <row r="71">
          <cell r="C71">
            <v>5.1040610503203819E-2</v>
          </cell>
          <cell r="G71">
            <v>0.14264388939477998</v>
          </cell>
          <cell r="J71">
            <v>0.47853211465862527</v>
          </cell>
          <cell r="K71">
            <v>0.15150057129334524</v>
          </cell>
          <cell r="L71">
            <v>0.28825864072242086</v>
          </cell>
        </row>
        <row r="72">
          <cell r="C72">
            <v>2.3795069469474898E-2</v>
          </cell>
          <cell r="G72">
            <v>6.8394798087785216E-2</v>
          </cell>
          <cell r="J72">
            <v>0.22070202376938813</v>
          </cell>
          <cell r="K72">
            <v>7.2415838989312586E-2</v>
          </cell>
          <cell r="L72">
            <v>9.690344804258369E-2</v>
          </cell>
        </row>
        <row r="73">
          <cell r="C73">
            <v>1.7291559044217721E-2</v>
          </cell>
          <cell r="G73">
            <v>5.2943907080187508E-2</v>
          </cell>
          <cell r="J73">
            <v>0.19740243099047816</v>
          </cell>
          <cell r="K73">
            <v>5.5696097808510758E-2</v>
          </cell>
          <cell r="L73">
            <v>0.10419161030147286</v>
          </cell>
        </row>
        <row r="74">
          <cell r="C74">
            <v>3.522070255190933E-2</v>
          </cell>
          <cell r="G74">
            <v>7.5876237140638139E-2</v>
          </cell>
          <cell r="J74">
            <v>12.347448878787864</v>
          </cell>
          <cell r="K74">
            <v>8.3652263871771146E-2</v>
          </cell>
          <cell r="L74">
            <v>0.1143623172637703</v>
          </cell>
        </row>
        <row r="75">
          <cell r="C75">
            <v>0.11704196059965075</v>
          </cell>
          <cell r="G75">
            <v>0.24456116686615495</v>
          </cell>
          <cell r="J75">
            <v>3.9739142676072219</v>
          </cell>
          <cell r="K75">
            <v>0.27112540434261317</v>
          </cell>
          <cell r="L75">
            <v>0.35962148292199297</v>
          </cell>
        </row>
        <row r="76">
          <cell r="C76">
            <v>5.3441882452646979E-2</v>
          </cell>
          <cell r="G76">
            <v>0.17293672918942085</v>
          </cell>
          <cell r="J76">
            <v>2.0120559815225536</v>
          </cell>
          <cell r="K76">
            <v>0.1810059311260756</v>
          </cell>
          <cell r="L76">
            <v>0.25928564925375375</v>
          </cell>
        </row>
        <row r="77">
          <cell r="C77">
            <v>5.3441882452646979E-2</v>
          </cell>
          <cell r="G77">
            <v>0.17293672918942085</v>
          </cell>
          <cell r="J77">
            <v>2.0120559815225536</v>
          </cell>
          <cell r="K77">
            <v>0.1810059311260756</v>
          </cell>
          <cell r="L77">
            <v>0.25928564925375375</v>
          </cell>
        </row>
        <row r="78">
          <cell r="C78">
            <v>0.15823168686628136</v>
          </cell>
          <cell r="G78">
            <v>0.34976270427150996</v>
          </cell>
          <cell r="J78">
            <v>4.5688658795845578</v>
          </cell>
          <cell r="K78">
            <v>0.38388958832959857</v>
          </cell>
          <cell r="L78">
            <v>0.42991430464327807</v>
          </cell>
        </row>
        <row r="79">
          <cell r="C79">
            <v>0.10642642135754443</v>
          </cell>
          <cell r="G79">
            <v>0.5761095333579348</v>
          </cell>
          <cell r="J79">
            <v>4.2226399856226466</v>
          </cell>
          <cell r="K79">
            <v>0.58585730138735237</v>
          </cell>
          <cell r="L79">
            <v>0.62804075283117389</v>
          </cell>
        </row>
        <row r="80">
          <cell r="C80">
            <v>0.14277356772668001</v>
          </cell>
          <cell r="G80">
            <v>0.20667816240499792</v>
          </cell>
          <cell r="J80">
            <v>10.778458135163852</v>
          </cell>
          <cell r="K80">
            <v>0.25119744118225323</v>
          </cell>
          <cell r="L80">
            <v>0.30346630962991666</v>
          </cell>
        </row>
        <row r="81">
          <cell r="C81">
            <v>0.12732570397682114</v>
          </cell>
          <cell r="G81">
            <v>0.23455840799087763</v>
          </cell>
          <cell r="J81">
            <v>4.6137857431322651</v>
          </cell>
          <cell r="K81">
            <v>0.26688851914686795</v>
          </cell>
          <cell r="L81">
            <v>0.44518665711420985</v>
          </cell>
        </row>
        <row r="82">
          <cell r="C82">
            <v>0.38467258992488157</v>
          </cell>
          <cell r="G82">
            <v>0.2725282111031132</v>
          </cell>
          <cell r="J82">
            <v>7.6918859539352082</v>
          </cell>
          <cell r="K82">
            <v>0.47142828435147921</v>
          </cell>
          <cell r="L82">
            <v>0.43723443441000437</v>
          </cell>
        </row>
        <row r="83">
          <cell r="C83">
            <v>0.4461621880485751</v>
          </cell>
          <cell r="G83">
            <v>0.38042452118194114</v>
          </cell>
          <cell r="J83">
            <v>9.1906527560622422</v>
          </cell>
          <cell r="K83">
            <v>0.58633055042424775</v>
          </cell>
          <cell r="L83">
            <v>0.59009179628431807</v>
          </cell>
        </row>
        <row r="84">
          <cell r="C84">
            <v>0.31478209463803014</v>
          </cell>
          <cell r="G84">
            <v>0.37127167863170624</v>
          </cell>
          <cell r="J84">
            <v>6.4019703910369063</v>
          </cell>
          <cell r="K84">
            <v>0.48675499633666908</v>
          </cell>
          <cell r="L84">
            <v>0.6472396492616791</v>
          </cell>
        </row>
        <row r="85">
          <cell r="C85">
            <v>0.15678653851221755</v>
          </cell>
          <cell r="G85">
            <v>0.20510865764866462</v>
          </cell>
          <cell r="J85">
            <v>9.7977097724749882</v>
          </cell>
          <cell r="K85">
            <v>0.25816967308551209</v>
          </cell>
          <cell r="L85">
            <v>0.23393409937660425</v>
          </cell>
        </row>
        <row r="86">
          <cell r="C86">
            <v>0.25727473948557134</v>
          </cell>
          <cell r="G86">
            <v>0.65682235917373344</v>
          </cell>
          <cell r="J86">
            <v>10.636894728793477</v>
          </cell>
          <cell r="K86">
            <v>0.70541186769710473</v>
          </cell>
          <cell r="L86">
            <v>0.89196427564938363</v>
          </cell>
        </row>
        <row r="87">
          <cell r="C87">
            <v>0.20454304335757875</v>
          </cell>
          <cell r="G87">
            <v>0.37394443377444192</v>
          </cell>
          <cell r="J87">
            <v>7.253100144711258</v>
          </cell>
          <cell r="K87">
            <v>0.42623033225812107</v>
          </cell>
          <cell r="L87">
            <v>0.51895212795486645</v>
          </cell>
        </row>
      </sheetData>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01"/>
      <sheetName val="SP02"/>
      <sheetName val="Bottom_DO"/>
      <sheetName val="FDDOM_v_Sal"/>
      <sheetName val="Profiles"/>
    </sheetNames>
    <sheetDataSet>
      <sheetData sheetId="0">
        <row r="3">
          <cell r="R3">
            <v>3.6599316666666666</v>
          </cell>
        </row>
        <row r="8">
          <cell r="R8">
            <v>5.9467616666666672</v>
          </cell>
        </row>
        <row r="12">
          <cell r="R12">
            <v>4.1847362499999994</v>
          </cell>
        </row>
        <row r="17">
          <cell r="R17">
            <v>2.4796009999999997</v>
          </cell>
        </row>
        <row r="23">
          <cell r="R23">
            <v>2.507568333333333</v>
          </cell>
        </row>
        <row r="27">
          <cell r="R27">
            <v>1.18197375</v>
          </cell>
        </row>
        <row r="33">
          <cell r="R33">
            <v>2.2859833333333328</v>
          </cell>
        </row>
        <row r="37">
          <cell r="R37">
            <v>12.861358749999999</v>
          </cell>
        </row>
        <row r="42">
          <cell r="R42">
            <v>3.6279299999999997</v>
          </cell>
        </row>
        <row r="47">
          <cell r="R47">
            <v>9.9878289999999996</v>
          </cell>
        </row>
        <row r="67">
          <cell r="R67">
            <v>8.5239574999999981</v>
          </cell>
        </row>
        <row r="72">
          <cell r="R72">
            <v>7.8810424999999986</v>
          </cell>
        </row>
        <row r="75">
          <cell r="R75">
            <v>7.6660549999999983</v>
          </cell>
        </row>
        <row r="81">
          <cell r="R81">
            <v>6.771752499999999</v>
          </cell>
        </row>
        <row r="86">
          <cell r="R86">
            <v>12.256208749999999</v>
          </cell>
        </row>
        <row r="91">
          <cell r="R91">
            <v>14.316031666666666</v>
          </cell>
        </row>
      </sheetData>
      <sheetData sheetId="1">
        <row r="3">
          <cell r="R3">
            <v>4.5080582608695634</v>
          </cell>
        </row>
        <row r="26">
          <cell r="R26">
            <v>4.5293056818181814</v>
          </cell>
        </row>
        <row r="48">
          <cell r="R48">
            <v>7.0210430434782607</v>
          </cell>
        </row>
        <row r="71">
          <cell r="R71">
            <v>3.2259266666666671</v>
          </cell>
        </row>
        <row r="92">
          <cell r="R92">
            <v>4.0752570454545456</v>
          </cell>
        </row>
        <row r="114">
          <cell r="R114">
            <v>1.8069766666666665</v>
          </cell>
        </row>
        <row r="135">
          <cell r="R135">
            <v>4.3280449999999995</v>
          </cell>
        </row>
        <row r="156">
          <cell r="R156">
            <v>6.8625249999999998</v>
          </cell>
        </row>
        <row r="178">
          <cell r="R178">
            <v>5.843563333333333</v>
          </cell>
        </row>
        <row r="199">
          <cell r="R199">
            <v>8.7046683333333323</v>
          </cell>
        </row>
        <row r="223">
          <cell r="R223">
            <v>6.9538217391304338</v>
          </cell>
        </row>
        <row r="246">
          <cell r="R246">
            <v>6.1051154545454542</v>
          </cell>
        </row>
        <row r="268">
          <cell r="R268">
            <v>5.9049280434782609</v>
          </cell>
        </row>
        <row r="291">
          <cell r="R291">
            <v>2.4313591304347826</v>
          </cell>
        </row>
        <row r="314">
          <cell r="R314">
            <v>5.3287595652173909</v>
          </cell>
        </row>
        <row r="337">
          <cell r="R337">
            <v>28.692752391304349</v>
          </cell>
        </row>
        <row r="360">
          <cell r="R360">
            <v>11.876010750000001</v>
          </cell>
        </row>
        <row r="380">
          <cell r="R380">
            <v>5.4692115909090901</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9525">
          <a:solidFill>
            <a:sysClr val="windowText" lastClr="000000"/>
          </a:solidFill>
        </a:ln>
      </a:spPr>
      <a:bodyPr vertOverflow="clip" horzOverflow="clip" rtlCol="0" anchor="t"/>
      <a:lstStyle>
        <a:defPPr algn="l">
          <a:defRPr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6.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0.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29"/>
  <sheetViews>
    <sheetView tabSelected="1" workbookViewId="0">
      <selection activeCell="D13" sqref="D13"/>
    </sheetView>
  </sheetViews>
  <sheetFormatPr defaultRowHeight="13.2"/>
  <cols>
    <col min="1" max="1" width="28.33203125" bestFit="1" customWidth="1"/>
    <col min="2" max="2" width="10.44140625" style="161" bestFit="1" customWidth="1"/>
    <col min="3" max="3" width="30.44140625" style="161" bestFit="1" customWidth="1"/>
    <col min="4" max="4" width="101.5546875" customWidth="1"/>
  </cols>
  <sheetData>
    <row r="1" spans="1:4" s="161" customFormat="1">
      <c r="A1" s="181" t="s">
        <v>338</v>
      </c>
      <c r="B1" s="181" t="s">
        <v>369</v>
      </c>
      <c r="C1" s="181" t="s">
        <v>344</v>
      </c>
      <c r="D1" s="181" t="s">
        <v>370</v>
      </c>
    </row>
    <row r="2" spans="1:4">
      <c r="A2" s="381" t="s">
        <v>2</v>
      </c>
      <c r="B2" s="177" t="s">
        <v>343</v>
      </c>
      <c r="C2" s="177" t="s">
        <v>346</v>
      </c>
      <c r="D2" s="27" t="s">
        <v>339</v>
      </c>
    </row>
    <row r="3" spans="1:4">
      <c r="A3" s="381" t="s">
        <v>29</v>
      </c>
      <c r="B3" s="177" t="s">
        <v>343</v>
      </c>
      <c r="C3" s="177" t="s">
        <v>480</v>
      </c>
      <c r="D3" s="27" t="s">
        <v>340</v>
      </c>
    </row>
    <row r="4" spans="1:4">
      <c r="A4" s="382" t="s">
        <v>117</v>
      </c>
      <c r="B4" s="177" t="s">
        <v>343</v>
      </c>
      <c r="C4" s="177" t="s">
        <v>347</v>
      </c>
      <c r="D4" s="27" t="s">
        <v>341</v>
      </c>
    </row>
    <row r="5" spans="1:4">
      <c r="A5" s="382" t="s">
        <v>13</v>
      </c>
      <c r="B5" s="177" t="s">
        <v>343</v>
      </c>
      <c r="C5" s="177" t="s">
        <v>348</v>
      </c>
      <c r="D5" s="27" t="s">
        <v>342</v>
      </c>
    </row>
    <row r="6" spans="1:4">
      <c r="A6" s="382" t="s">
        <v>55</v>
      </c>
      <c r="B6" s="177" t="s">
        <v>343</v>
      </c>
      <c r="C6" s="177" t="s">
        <v>349</v>
      </c>
      <c r="D6" s="27" t="s">
        <v>371</v>
      </c>
    </row>
    <row r="7" spans="1:4">
      <c r="A7" s="382" t="s">
        <v>72</v>
      </c>
      <c r="B7" s="177" t="s">
        <v>343</v>
      </c>
      <c r="C7" s="177" t="s">
        <v>350</v>
      </c>
      <c r="D7" s="27" t="s">
        <v>372</v>
      </c>
    </row>
    <row r="8" spans="1:4">
      <c r="A8" s="383" t="s">
        <v>211</v>
      </c>
      <c r="B8" s="177" t="s">
        <v>343</v>
      </c>
      <c r="C8" s="177" t="s">
        <v>350</v>
      </c>
      <c r="D8" s="27" t="s">
        <v>373</v>
      </c>
    </row>
    <row r="9" spans="1:4">
      <c r="A9" s="383" t="s">
        <v>227</v>
      </c>
      <c r="B9" s="177" t="s">
        <v>343</v>
      </c>
      <c r="C9" s="177" t="s">
        <v>351</v>
      </c>
      <c r="D9" s="27" t="s">
        <v>374</v>
      </c>
    </row>
    <row r="10" spans="1:4">
      <c r="A10" s="383" t="s">
        <v>226</v>
      </c>
      <c r="B10" s="177" t="s">
        <v>343</v>
      </c>
      <c r="C10" s="177" t="s">
        <v>352</v>
      </c>
      <c r="D10" s="27" t="s">
        <v>375</v>
      </c>
    </row>
    <row r="11" spans="1:4">
      <c r="A11" s="382" t="s">
        <v>67</v>
      </c>
      <c r="B11" s="177" t="s">
        <v>343</v>
      </c>
      <c r="C11" s="177" t="s">
        <v>347</v>
      </c>
      <c r="D11" s="27" t="s">
        <v>376</v>
      </c>
    </row>
    <row r="12" spans="1:4">
      <c r="A12" s="382" t="s">
        <v>75</v>
      </c>
      <c r="B12" s="177" t="s">
        <v>343</v>
      </c>
      <c r="C12" s="177" t="s">
        <v>353</v>
      </c>
      <c r="D12" s="27" t="s">
        <v>377</v>
      </c>
    </row>
    <row r="13" spans="1:4">
      <c r="A13" s="382" t="s">
        <v>82</v>
      </c>
      <c r="B13" s="177" t="s">
        <v>343</v>
      </c>
      <c r="C13" s="177" t="s">
        <v>351</v>
      </c>
      <c r="D13" s="27" t="s">
        <v>378</v>
      </c>
    </row>
    <row r="14" spans="1:4">
      <c r="A14" s="382" t="s">
        <v>83</v>
      </c>
      <c r="B14" s="177" t="s">
        <v>343</v>
      </c>
      <c r="C14" s="177" t="s">
        <v>352</v>
      </c>
      <c r="D14" s="27" t="s">
        <v>379</v>
      </c>
    </row>
    <row r="15" spans="1:4">
      <c r="A15" s="382" t="s">
        <v>84</v>
      </c>
      <c r="B15" s="177" t="s">
        <v>343</v>
      </c>
      <c r="C15" s="177" t="s">
        <v>354</v>
      </c>
      <c r="D15" s="27" t="s">
        <v>381</v>
      </c>
    </row>
    <row r="16" spans="1:4">
      <c r="A16" s="382" t="s">
        <v>85</v>
      </c>
      <c r="B16" s="177" t="s">
        <v>343</v>
      </c>
      <c r="C16" s="177" t="s">
        <v>355</v>
      </c>
      <c r="D16" s="27" t="s">
        <v>385</v>
      </c>
    </row>
    <row r="17" spans="1:4">
      <c r="A17" s="382" t="s">
        <v>86</v>
      </c>
      <c r="B17" s="177" t="s">
        <v>343</v>
      </c>
      <c r="C17" s="177" t="s">
        <v>356</v>
      </c>
      <c r="D17" s="27" t="s">
        <v>383</v>
      </c>
    </row>
    <row r="18" spans="1:4">
      <c r="A18" s="382" t="s">
        <v>73</v>
      </c>
      <c r="B18" s="177" t="s">
        <v>343</v>
      </c>
      <c r="C18" s="177" t="s">
        <v>357</v>
      </c>
      <c r="D18" s="27" t="s">
        <v>387</v>
      </c>
    </row>
    <row r="19" spans="1:4">
      <c r="A19" s="382" t="s">
        <v>87</v>
      </c>
      <c r="B19" s="177" t="s">
        <v>343</v>
      </c>
      <c r="C19" s="177" t="s">
        <v>357</v>
      </c>
      <c r="D19" s="27" t="s">
        <v>389</v>
      </c>
    </row>
    <row r="20" spans="1:4">
      <c r="A20" s="382" t="s">
        <v>88</v>
      </c>
      <c r="B20" s="177" t="s">
        <v>343</v>
      </c>
      <c r="C20" s="177" t="s">
        <v>357</v>
      </c>
      <c r="D20" s="27" t="s">
        <v>390</v>
      </c>
    </row>
    <row r="21" spans="1:4">
      <c r="A21" s="382" t="s">
        <v>89</v>
      </c>
      <c r="B21" s="177" t="s">
        <v>343</v>
      </c>
      <c r="C21" s="177" t="s">
        <v>348</v>
      </c>
      <c r="D21" s="27" t="s">
        <v>391</v>
      </c>
    </row>
    <row r="22" spans="1:4">
      <c r="A22" s="382" t="s">
        <v>63</v>
      </c>
      <c r="B22" s="177" t="s">
        <v>343</v>
      </c>
      <c r="C22" s="177" t="s">
        <v>358</v>
      </c>
      <c r="D22" s="27" t="s">
        <v>392</v>
      </c>
    </row>
    <row r="23" spans="1:4">
      <c r="A23" s="382" t="s">
        <v>150</v>
      </c>
      <c r="B23" s="177" t="s">
        <v>343</v>
      </c>
      <c r="C23" s="177" t="s">
        <v>352</v>
      </c>
      <c r="D23" s="27" t="s">
        <v>393</v>
      </c>
    </row>
    <row r="24" spans="1:4">
      <c r="A24" s="382" t="s">
        <v>4</v>
      </c>
      <c r="B24" s="177" t="s">
        <v>343</v>
      </c>
      <c r="C24" s="177" t="s">
        <v>347</v>
      </c>
      <c r="D24" s="27" t="s">
        <v>394</v>
      </c>
    </row>
    <row r="25" spans="1:4">
      <c r="A25" s="382" t="s">
        <v>252</v>
      </c>
      <c r="B25" s="177" t="s">
        <v>343</v>
      </c>
      <c r="C25" s="177" t="s">
        <v>355</v>
      </c>
      <c r="D25" s="27" t="s">
        <v>395</v>
      </c>
    </row>
    <row r="26" spans="1:4">
      <c r="A26" s="382" t="s">
        <v>90</v>
      </c>
      <c r="B26" s="177" t="s">
        <v>343</v>
      </c>
      <c r="C26" s="177" t="s">
        <v>351</v>
      </c>
      <c r="D26" s="27" t="s">
        <v>398</v>
      </c>
    </row>
    <row r="27" spans="1:4">
      <c r="A27" s="382" t="s">
        <v>91</v>
      </c>
      <c r="B27" s="177" t="s">
        <v>343</v>
      </c>
      <c r="C27" s="177" t="s">
        <v>352</v>
      </c>
      <c r="D27" s="27" t="s">
        <v>380</v>
      </c>
    </row>
    <row r="28" spans="1:4">
      <c r="A28" s="382" t="s">
        <v>92</v>
      </c>
      <c r="B28" s="177" t="s">
        <v>343</v>
      </c>
      <c r="C28" s="177" t="s">
        <v>354</v>
      </c>
      <c r="D28" s="27" t="s">
        <v>382</v>
      </c>
    </row>
    <row r="29" spans="1:4">
      <c r="A29" s="382" t="s">
        <v>93</v>
      </c>
      <c r="B29" s="177" t="s">
        <v>343</v>
      </c>
      <c r="C29" s="177" t="s">
        <v>355</v>
      </c>
      <c r="D29" s="27" t="s">
        <v>386</v>
      </c>
    </row>
    <row r="30" spans="1:4">
      <c r="A30" s="382" t="s">
        <v>94</v>
      </c>
      <c r="B30" s="177" t="s">
        <v>343</v>
      </c>
      <c r="C30" s="177" t="s">
        <v>356</v>
      </c>
      <c r="D30" s="27" t="s">
        <v>384</v>
      </c>
    </row>
    <row r="31" spans="1:4">
      <c r="A31" s="382" t="s">
        <v>74</v>
      </c>
      <c r="B31" s="177" t="s">
        <v>343</v>
      </c>
      <c r="C31" s="177" t="s">
        <v>357</v>
      </c>
      <c r="D31" s="27" t="s">
        <v>388</v>
      </c>
    </row>
    <row r="32" spans="1:4">
      <c r="A32" s="382" t="s">
        <v>95</v>
      </c>
      <c r="B32" s="177" t="s">
        <v>343</v>
      </c>
      <c r="C32" s="177" t="s">
        <v>357</v>
      </c>
      <c r="D32" s="27" t="s">
        <v>396</v>
      </c>
    </row>
    <row r="33" spans="1:4">
      <c r="A33" s="382" t="s">
        <v>96</v>
      </c>
      <c r="B33" s="177" t="s">
        <v>343</v>
      </c>
      <c r="C33" s="177" t="s">
        <v>357</v>
      </c>
      <c r="D33" s="27" t="s">
        <v>397</v>
      </c>
    </row>
    <row r="34" spans="1:4">
      <c r="A34" s="382" t="s">
        <v>103</v>
      </c>
      <c r="B34" s="177" t="s">
        <v>343</v>
      </c>
      <c r="C34" s="177" t="s">
        <v>348</v>
      </c>
      <c r="D34" s="27" t="s">
        <v>399</v>
      </c>
    </row>
    <row r="35" spans="1:4">
      <c r="A35" s="382" t="s">
        <v>110</v>
      </c>
      <c r="B35" s="177" t="s">
        <v>343</v>
      </c>
      <c r="C35" s="177" t="s">
        <v>359</v>
      </c>
      <c r="D35" s="27" t="s">
        <v>400</v>
      </c>
    </row>
    <row r="36" spans="1:4">
      <c r="A36" s="382" t="s">
        <v>104</v>
      </c>
      <c r="B36" s="177" t="s">
        <v>343</v>
      </c>
      <c r="C36" s="177" t="s">
        <v>348</v>
      </c>
      <c r="D36" s="27" t="s">
        <v>402</v>
      </c>
    </row>
    <row r="37" spans="1:4">
      <c r="A37" s="382" t="s">
        <v>105</v>
      </c>
      <c r="B37" s="177" t="s">
        <v>343</v>
      </c>
      <c r="C37" s="177" t="s">
        <v>348</v>
      </c>
      <c r="D37" s="27" t="s">
        <v>403</v>
      </c>
    </row>
    <row r="38" spans="1:4">
      <c r="A38" s="382" t="s">
        <v>106</v>
      </c>
      <c r="B38" s="177" t="s">
        <v>343</v>
      </c>
      <c r="C38" s="177" t="s">
        <v>348</v>
      </c>
      <c r="D38" s="27" t="s">
        <v>404</v>
      </c>
    </row>
    <row r="39" spans="1:4">
      <c r="A39" s="382" t="s">
        <v>107</v>
      </c>
      <c r="B39" s="177" t="s">
        <v>343</v>
      </c>
      <c r="C39" s="177" t="s">
        <v>348</v>
      </c>
      <c r="D39" s="27" t="s">
        <v>401</v>
      </c>
    </row>
    <row r="40" spans="1:4">
      <c r="A40" s="382" t="s">
        <v>52</v>
      </c>
      <c r="B40" s="177" t="s">
        <v>343</v>
      </c>
      <c r="C40" s="177" t="s">
        <v>360</v>
      </c>
      <c r="D40" s="27" t="s">
        <v>405</v>
      </c>
    </row>
    <row r="41" spans="1:4">
      <c r="A41" s="382" t="s">
        <v>98</v>
      </c>
      <c r="B41" s="177" t="s">
        <v>343</v>
      </c>
      <c r="C41" s="177" t="s">
        <v>361</v>
      </c>
      <c r="D41" s="27" t="s">
        <v>406</v>
      </c>
    </row>
    <row r="42" spans="1:4">
      <c r="A42" s="382" t="s">
        <v>99</v>
      </c>
      <c r="B42" s="177" t="s">
        <v>343</v>
      </c>
      <c r="C42" s="177" t="s">
        <v>361</v>
      </c>
      <c r="D42" s="27" t="s">
        <v>407</v>
      </c>
    </row>
    <row r="43" spans="1:4">
      <c r="A43" s="382" t="s">
        <v>100</v>
      </c>
      <c r="B43" s="177" t="s">
        <v>343</v>
      </c>
      <c r="C43" s="177" t="s">
        <v>361</v>
      </c>
      <c r="D43" s="27" t="s">
        <v>408</v>
      </c>
    </row>
    <row r="44" spans="1:4">
      <c r="A44" s="382" t="s">
        <v>101</v>
      </c>
      <c r="B44" s="177" t="s">
        <v>343</v>
      </c>
      <c r="C44" s="177" t="s">
        <v>361</v>
      </c>
      <c r="D44" s="27" t="s">
        <v>409</v>
      </c>
    </row>
    <row r="45" spans="1:4">
      <c r="A45" s="382" t="s">
        <v>102</v>
      </c>
      <c r="B45" s="177" t="s">
        <v>343</v>
      </c>
      <c r="C45" s="177" t="s">
        <v>361</v>
      </c>
      <c r="D45" s="27" t="s">
        <v>410</v>
      </c>
    </row>
    <row r="46" spans="1:4">
      <c r="A46" s="382" t="s">
        <v>9</v>
      </c>
      <c r="B46" s="177" t="s">
        <v>343</v>
      </c>
      <c r="C46" s="177" t="s">
        <v>361</v>
      </c>
      <c r="D46" s="27" t="s">
        <v>411</v>
      </c>
    </row>
    <row r="47" spans="1:4">
      <c r="A47" s="382" t="s">
        <v>10</v>
      </c>
      <c r="B47" s="177" t="s">
        <v>343</v>
      </c>
      <c r="C47" s="177" t="s">
        <v>361</v>
      </c>
      <c r="D47" s="27" t="s">
        <v>412</v>
      </c>
    </row>
    <row r="48" spans="1:4">
      <c r="A48" s="382" t="s">
        <v>160</v>
      </c>
      <c r="B48" s="177" t="s">
        <v>343</v>
      </c>
      <c r="C48" s="177" t="s">
        <v>361</v>
      </c>
      <c r="D48" s="27" t="s">
        <v>413</v>
      </c>
    </row>
    <row r="49" spans="1:4">
      <c r="A49" s="368" t="s">
        <v>254</v>
      </c>
      <c r="B49" s="177" t="s">
        <v>343</v>
      </c>
      <c r="C49" s="177" t="s">
        <v>361</v>
      </c>
      <c r="D49" s="27" t="s">
        <v>414</v>
      </c>
    </row>
    <row r="50" spans="1:4">
      <c r="A50" s="172" t="s">
        <v>255</v>
      </c>
      <c r="B50" s="177" t="s">
        <v>343</v>
      </c>
      <c r="C50" s="177" t="s">
        <v>367</v>
      </c>
      <c r="D50" s="27" t="s">
        <v>414</v>
      </c>
    </row>
    <row r="51" spans="1:4">
      <c r="A51" s="384" t="s">
        <v>2</v>
      </c>
      <c r="B51" s="324" t="s">
        <v>345</v>
      </c>
      <c r="C51" s="177" t="s">
        <v>346</v>
      </c>
      <c r="D51" s="27" t="s">
        <v>339</v>
      </c>
    </row>
    <row r="52" spans="1:4">
      <c r="A52" s="384" t="s">
        <v>29</v>
      </c>
      <c r="B52" s="324" t="s">
        <v>345</v>
      </c>
      <c r="C52" s="177" t="s">
        <v>480</v>
      </c>
      <c r="D52" s="27" t="s">
        <v>479</v>
      </c>
    </row>
    <row r="53" spans="1:4">
      <c r="A53" s="385" t="s">
        <v>136</v>
      </c>
      <c r="B53" s="324" t="s">
        <v>345</v>
      </c>
      <c r="C53" s="177" t="s">
        <v>362</v>
      </c>
      <c r="D53" s="27" t="s">
        <v>415</v>
      </c>
    </row>
    <row r="54" spans="1:4">
      <c r="A54" s="385" t="s">
        <v>137</v>
      </c>
      <c r="B54" s="324" t="s">
        <v>345</v>
      </c>
      <c r="C54" s="177" t="s">
        <v>362</v>
      </c>
      <c r="D54" s="27" t="s">
        <v>416</v>
      </c>
    </row>
    <row r="55" spans="1:4">
      <c r="A55" s="385" t="s">
        <v>112</v>
      </c>
      <c r="B55" s="324" t="s">
        <v>345</v>
      </c>
      <c r="C55" s="177" t="s">
        <v>362</v>
      </c>
      <c r="D55" s="27" t="s">
        <v>417</v>
      </c>
    </row>
    <row r="56" spans="1:4">
      <c r="A56" s="385" t="s">
        <v>123</v>
      </c>
      <c r="B56" s="324" t="s">
        <v>345</v>
      </c>
      <c r="C56" s="177" t="s">
        <v>362</v>
      </c>
      <c r="D56" s="27" t="s">
        <v>416</v>
      </c>
    </row>
    <row r="57" spans="1:4">
      <c r="A57" s="385" t="s">
        <v>134</v>
      </c>
      <c r="B57" s="324" t="s">
        <v>345</v>
      </c>
      <c r="C57" s="177" t="s">
        <v>362</v>
      </c>
      <c r="D57" s="27" t="s">
        <v>418</v>
      </c>
    </row>
    <row r="58" spans="1:4">
      <c r="A58" s="385" t="s">
        <v>135</v>
      </c>
      <c r="B58" s="324" t="s">
        <v>345</v>
      </c>
      <c r="C58" s="177" t="s">
        <v>362</v>
      </c>
      <c r="D58" s="27" t="s">
        <v>416</v>
      </c>
    </row>
    <row r="59" spans="1:4">
      <c r="A59" s="385" t="s">
        <v>175</v>
      </c>
      <c r="B59" s="324" t="s">
        <v>345</v>
      </c>
      <c r="C59" s="177" t="s">
        <v>362</v>
      </c>
      <c r="D59" s="27" t="s">
        <v>423</v>
      </c>
    </row>
    <row r="60" spans="1:4">
      <c r="A60" s="385" t="s">
        <v>122</v>
      </c>
      <c r="B60" s="324" t="s">
        <v>345</v>
      </c>
      <c r="C60" s="177" t="s">
        <v>362</v>
      </c>
      <c r="D60" s="27" t="s">
        <v>416</v>
      </c>
    </row>
    <row r="61" spans="1:4">
      <c r="A61" s="386" t="s">
        <v>64</v>
      </c>
      <c r="B61" s="324" t="s">
        <v>345</v>
      </c>
      <c r="C61" s="177" t="s">
        <v>362</v>
      </c>
      <c r="D61" s="27" t="s">
        <v>419</v>
      </c>
    </row>
    <row r="62" spans="1:4">
      <c r="A62" s="385" t="s">
        <v>132</v>
      </c>
      <c r="B62" s="324" t="s">
        <v>345</v>
      </c>
      <c r="C62" s="177" t="s">
        <v>363</v>
      </c>
      <c r="D62" s="27" t="s">
        <v>420</v>
      </c>
    </row>
    <row r="63" spans="1:4">
      <c r="A63" s="385" t="s">
        <v>129</v>
      </c>
      <c r="B63" s="324" t="s">
        <v>345</v>
      </c>
      <c r="C63" s="177" t="s">
        <v>363</v>
      </c>
      <c r="D63" s="27" t="s">
        <v>416</v>
      </c>
    </row>
    <row r="64" spans="1:4">
      <c r="A64" s="385" t="s">
        <v>133</v>
      </c>
      <c r="B64" s="324" t="s">
        <v>345</v>
      </c>
      <c r="C64" s="177" t="s">
        <v>363</v>
      </c>
      <c r="D64" s="27" t="s">
        <v>421</v>
      </c>
    </row>
    <row r="65" spans="1:4">
      <c r="A65" s="385" t="s">
        <v>253</v>
      </c>
      <c r="B65" s="324" t="s">
        <v>345</v>
      </c>
      <c r="C65" s="177" t="s">
        <v>363</v>
      </c>
      <c r="D65" s="27" t="s">
        <v>416</v>
      </c>
    </row>
    <row r="66" spans="1:4">
      <c r="A66" s="385" t="s">
        <v>201</v>
      </c>
      <c r="B66" s="324" t="s">
        <v>345</v>
      </c>
      <c r="C66" s="177" t="s">
        <v>362</v>
      </c>
      <c r="D66" s="27" t="s">
        <v>422</v>
      </c>
    </row>
    <row r="67" spans="1:4">
      <c r="A67" s="385" t="s">
        <v>202</v>
      </c>
      <c r="B67" s="324" t="s">
        <v>345</v>
      </c>
      <c r="C67" s="177" t="s">
        <v>362</v>
      </c>
      <c r="D67" s="27" t="s">
        <v>416</v>
      </c>
    </row>
    <row r="68" spans="1:4">
      <c r="A68" s="385" t="s">
        <v>76</v>
      </c>
      <c r="B68" s="324" t="s">
        <v>345</v>
      </c>
      <c r="C68" s="177" t="s">
        <v>364</v>
      </c>
      <c r="D68" s="27" t="s">
        <v>426</v>
      </c>
    </row>
    <row r="69" spans="1:4">
      <c r="A69" s="385" t="s">
        <v>78</v>
      </c>
      <c r="B69" s="324" t="s">
        <v>345</v>
      </c>
      <c r="C69" s="177" t="s">
        <v>364</v>
      </c>
      <c r="D69" s="27" t="s">
        <v>425</v>
      </c>
    </row>
    <row r="70" spans="1:4">
      <c r="A70" s="385" t="s">
        <v>174</v>
      </c>
      <c r="B70" s="324" t="s">
        <v>345</v>
      </c>
      <c r="C70" s="177" t="s">
        <v>364</v>
      </c>
      <c r="D70" s="27" t="s">
        <v>424</v>
      </c>
    </row>
    <row r="71" spans="1:4">
      <c r="A71" s="386" t="s">
        <v>121</v>
      </c>
      <c r="B71" s="324" t="s">
        <v>345</v>
      </c>
      <c r="C71" s="177" t="s">
        <v>364</v>
      </c>
      <c r="D71" s="27" t="s">
        <v>428</v>
      </c>
    </row>
    <row r="72" spans="1:4">
      <c r="A72" s="172" t="s">
        <v>79</v>
      </c>
      <c r="B72" s="324" t="s">
        <v>345</v>
      </c>
      <c r="C72" s="177" t="s">
        <v>364</v>
      </c>
      <c r="D72" s="27" t="s">
        <v>427</v>
      </c>
    </row>
    <row r="73" spans="1:4">
      <c r="A73" s="172" t="s">
        <v>179</v>
      </c>
      <c r="B73" s="324" t="s">
        <v>345</v>
      </c>
      <c r="C73" s="177" t="s">
        <v>364</v>
      </c>
      <c r="D73" s="27" t="s">
        <v>436</v>
      </c>
    </row>
    <row r="74" spans="1:4">
      <c r="A74" s="172" t="s">
        <v>118</v>
      </c>
      <c r="B74" s="324" t="s">
        <v>345</v>
      </c>
      <c r="C74" s="177" t="s">
        <v>364</v>
      </c>
      <c r="D74" s="27" t="s">
        <v>429</v>
      </c>
    </row>
    <row r="75" spans="1:4">
      <c r="A75" s="172" t="s">
        <v>310</v>
      </c>
      <c r="B75" s="324" t="s">
        <v>345</v>
      </c>
      <c r="C75" s="177" t="s">
        <v>364</v>
      </c>
      <c r="D75" s="27" t="s">
        <v>430</v>
      </c>
    </row>
    <row r="76" spans="1:4">
      <c r="A76" s="172" t="s">
        <v>311</v>
      </c>
      <c r="B76" s="324" t="s">
        <v>345</v>
      </c>
      <c r="C76" s="177" t="s">
        <v>364</v>
      </c>
      <c r="D76" s="27" t="s">
        <v>431</v>
      </c>
    </row>
    <row r="77" spans="1:4">
      <c r="A77" s="172" t="s">
        <v>312</v>
      </c>
      <c r="B77" s="324" t="s">
        <v>345</v>
      </c>
      <c r="C77" s="177" t="s">
        <v>364</v>
      </c>
      <c r="D77" s="27" t="s">
        <v>432</v>
      </c>
    </row>
    <row r="78" spans="1:4">
      <c r="A78" s="172" t="s">
        <v>80</v>
      </c>
      <c r="B78" s="324" t="s">
        <v>345</v>
      </c>
      <c r="C78" s="177" t="s">
        <v>364</v>
      </c>
      <c r="D78" s="27" t="s">
        <v>433</v>
      </c>
    </row>
    <row r="79" spans="1:4">
      <c r="A79" s="172" t="s">
        <v>176</v>
      </c>
      <c r="B79" s="324" t="s">
        <v>345</v>
      </c>
      <c r="C79" s="177" t="s">
        <v>364</v>
      </c>
      <c r="D79" s="27" t="s">
        <v>434</v>
      </c>
    </row>
    <row r="80" spans="1:4">
      <c r="A80" s="386" t="s">
        <v>81</v>
      </c>
      <c r="B80" s="324" t="s">
        <v>345</v>
      </c>
      <c r="C80" s="177" t="s">
        <v>364</v>
      </c>
      <c r="D80" s="27" t="s">
        <v>435</v>
      </c>
    </row>
    <row r="81" spans="1:4">
      <c r="A81" s="172" t="s">
        <v>113</v>
      </c>
      <c r="B81" s="324" t="s">
        <v>345</v>
      </c>
      <c r="C81" s="177" t="s">
        <v>364</v>
      </c>
      <c r="D81" s="27" t="s">
        <v>438</v>
      </c>
    </row>
    <row r="82" spans="1:4">
      <c r="A82" s="384" t="s">
        <v>180</v>
      </c>
      <c r="B82" s="324" t="s">
        <v>345</v>
      </c>
      <c r="C82" s="177" t="s">
        <v>364</v>
      </c>
      <c r="D82" s="27" t="s">
        <v>437</v>
      </c>
    </row>
    <row r="83" spans="1:4">
      <c r="A83" s="172" t="s">
        <v>167</v>
      </c>
      <c r="B83" s="324" t="s">
        <v>345</v>
      </c>
      <c r="C83" s="177" t="s">
        <v>364</v>
      </c>
      <c r="D83" s="27" t="s">
        <v>439</v>
      </c>
    </row>
    <row r="84" spans="1:4">
      <c r="A84" s="172" t="s">
        <v>168</v>
      </c>
      <c r="B84" s="324" t="s">
        <v>345</v>
      </c>
      <c r="C84" s="177" t="s">
        <v>364</v>
      </c>
      <c r="D84" s="27" t="s">
        <v>440</v>
      </c>
    </row>
    <row r="85" spans="1:4">
      <c r="A85" s="386" t="s">
        <v>177</v>
      </c>
      <c r="B85" s="324" t="s">
        <v>345</v>
      </c>
      <c r="C85" s="177" t="s">
        <v>364</v>
      </c>
      <c r="D85" s="27" t="s">
        <v>441</v>
      </c>
    </row>
    <row r="86" spans="1:4">
      <c r="A86" s="172" t="s">
        <v>169</v>
      </c>
      <c r="B86" s="324" t="s">
        <v>345</v>
      </c>
      <c r="C86" s="177" t="s">
        <v>364</v>
      </c>
      <c r="D86" s="27" t="s">
        <v>442</v>
      </c>
    </row>
    <row r="87" spans="1:4">
      <c r="A87" s="172" t="s">
        <v>178</v>
      </c>
      <c r="B87" s="324" t="s">
        <v>345</v>
      </c>
      <c r="C87" s="177" t="s">
        <v>364</v>
      </c>
      <c r="D87" s="27" t="s">
        <v>443</v>
      </c>
    </row>
    <row r="88" spans="1:4">
      <c r="A88" s="172" t="s">
        <v>116</v>
      </c>
      <c r="B88" s="324" t="s">
        <v>345</v>
      </c>
      <c r="C88" s="177" t="s">
        <v>348</v>
      </c>
      <c r="D88" s="27" t="s">
        <v>444</v>
      </c>
    </row>
    <row r="89" spans="1:4">
      <c r="A89" s="172" t="s">
        <v>119</v>
      </c>
      <c r="B89" s="324" t="s">
        <v>345</v>
      </c>
      <c r="C89" s="177" t="s">
        <v>348</v>
      </c>
      <c r="D89" s="27" t="s">
        <v>445</v>
      </c>
    </row>
    <row r="90" spans="1:4">
      <c r="A90" s="387" t="s">
        <v>68</v>
      </c>
      <c r="B90" s="324" t="s">
        <v>345</v>
      </c>
      <c r="C90" s="177" t="s">
        <v>365</v>
      </c>
      <c r="D90" s="27" t="s">
        <v>446</v>
      </c>
    </row>
    <row r="91" spans="1:4">
      <c r="A91" s="387" t="s">
        <v>66</v>
      </c>
      <c r="B91" s="324" t="s">
        <v>345</v>
      </c>
      <c r="C91" s="177" t="s">
        <v>365</v>
      </c>
      <c r="D91" s="27" t="s">
        <v>447</v>
      </c>
    </row>
    <row r="92" spans="1:4">
      <c r="A92" s="172" t="s">
        <v>114</v>
      </c>
      <c r="B92" s="324" t="s">
        <v>345</v>
      </c>
      <c r="C92" s="177" t="s">
        <v>364</v>
      </c>
      <c r="D92" s="27" t="s">
        <v>448</v>
      </c>
    </row>
    <row r="93" spans="1:4">
      <c r="A93" s="172" t="s">
        <v>171</v>
      </c>
      <c r="B93" s="324" t="s">
        <v>345</v>
      </c>
      <c r="C93" s="177" t="s">
        <v>364</v>
      </c>
      <c r="D93" s="27" t="s">
        <v>449</v>
      </c>
    </row>
    <row r="94" spans="1:4">
      <c r="A94" s="386" t="s">
        <v>172</v>
      </c>
      <c r="B94" s="324" t="s">
        <v>345</v>
      </c>
      <c r="C94" s="177" t="s">
        <v>364</v>
      </c>
      <c r="D94" s="27" t="s">
        <v>450</v>
      </c>
    </row>
    <row r="95" spans="1:4">
      <c r="A95" s="172" t="s">
        <v>115</v>
      </c>
      <c r="B95" s="324" t="s">
        <v>345</v>
      </c>
      <c r="C95" s="177" t="s">
        <v>364</v>
      </c>
      <c r="D95" s="27" t="s">
        <v>451</v>
      </c>
    </row>
    <row r="96" spans="1:4">
      <c r="A96" s="368" t="s">
        <v>254</v>
      </c>
      <c r="B96" s="324" t="s">
        <v>345</v>
      </c>
      <c r="C96" s="177" t="s">
        <v>366</v>
      </c>
      <c r="D96" s="27" t="s">
        <v>452</v>
      </c>
    </row>
    <row r="97" spans="1:4">
      <c r="A97" s="172" t="s">
        <v>255</v>
      </c>
      <c r="B97" s="324" t="s">
        <v>345</v>
      </c>
      <c r="C97" s="177" t="s">
        <v>367</v>
      </c>
      <c r="D97" s="27" t="s">
        <v>452</v>
      </c>
    </row>
    <row r="98" spans="1:4">
      <c r="A98" s="27" t="s">
        <v>2</v>
      </c>
      <c r="B98" s="324" t="s">
        <v>368</v>
      </c>
      <c r="C98" s="324" t="s">
        <v>346</v>
      </c>
      <c r="D98" s="27" t="s">
        <v>481</v>
      </c>
    </row>
    <row r="99" spans="1:4">
      <c r="A99" s="27" t="s">
        <v>14</v>
      </c>
      <c r="B99" s="324" t="s">
        <v>368</v>
      </c>
      <c r="C99" s="177" t="s">
        <v>351</v>
      </c>
      <c r="D99" s="27" t="s">
        <v>453</v>
      </c>
    </row>
    <row r="100" spans="1:4">
      <c r="A100" s="27" t="s">
        <v>15</v>
      </c>
      <c r="B100" s="324" t="s">
        <v>368</v>
      </c>
      <c r="C100" s="324" t="s">
        <v>352</v>
      </c>
      <c r="D100" s="27" t="s">
        <v>454</v>
      </c>
    </row>
    <row r="101" spans="1:4">
      <c r="A101" s="27" t="s">
        <v>16</v>
      </c>
      <c r="B101" s="324" t="s">
        <v>368</v>
      </c>
      <c r="C101" s="177" t="s">
        <v>354</v>
      </c>
      <c r="D101" s="27" t="s">
        <v>455</v>
      </c>
    </row>
    <row r="102" spans="1:4">
      <c r="A102" s="27" t="s">
        <v>17</v>
      </c>
      <c r="B102" s="324" t="s">
        <v>368</v>
      </c>
      <c r="C102" s="324" t="s">
        <v>355</v>
      </c>
      <c r="D102" s="27" t="s">
        <v>456</v>
      </c>
    </row>
    <row r="103" spans="1:4">
      <c r="A103" s="27" t="s">
        <v>18</v>
      </c>
      <c r="B103" s="324" t="s">
        <v>368</v>
      </c>
      <c r="C103" s="177" t="s">
        <v>356</v>
      </c>
      <c r="D103" s="27" t="s">
        <v>457</v>
      </c>
    </row>
    <row r="104" spans="1:4">
      <c r="A104" s="27" t="s">
        <v>19</v>
      </c>
      <c r="B104" s="324" t="s">
        <v>368</v>
      </c>
      <c r="C104" s="324" t="s">
        <v>357</v>
      </c>
      <c r="D104" s="27" t="s">
        <v>458</v>
      </c>
    </row>
    <row r="105" spans="1:4">
      <c r="A105" s="27" t="s">
        <v>20</v>
      </c>
      <c r="B105" s="324" t="s">
        <v>368</v>
      </c>
      <c r="C105" s="177" t="s">
        <v>357</v>
      </c>
      <c r="D105" s="27" t="s">
        <v>459</v>
      </c>
    </row>
    <row r="106" spans="1:4">
      <c r="A106" s="27" t="s">
        <v>21</v>
      </c>
      <c r="B106" s="324" t="s">
        <v>368</v>
      </c>
      <c r="C106" s="324" t="s">
        <v>474</v>
      </c>
      <c r="D106" s="27" t="s">
        <v>460</v>
      </c>
    </row>
    <row r="107" spans="1:4">
      <c r="A107" s="27" t="s">
        <v>22</v>
      </c>
      <c r="B107" s="324" t="s">
        <v>368</v>
      </c>
      <c r="C107" s="177" t="s">
        <v>475</v>
      </c>
      <c r="D107" s="27" t="s">
        <v>461</v>
      </c>
    </row>
    <row r="108" spans="1:4">
      <c r="A108" s="27" t="s">
        <v>23</v>
      </c>
      <c r="B108" s="324" t="s">
        <v>368</v>
      </c>
      <c r="C108" s="177" t="s">
        <v>475</v>
      </c>
      <c r="D108" s="27" t="s">
        <v>462</v>
      </c>
    </row>
    <row r="109" spans="1:4">
      <c r="A109" s="27" t="s">
        <v>24</v>
      </c>
      <c r="B109" s="324" t="s">
        <v>368</v>
      </c>
      <c r="C109" s="177" t="s">
        <v>475</v>
      </c>
      <c r="D109" s="27" t="s">
        <v>463</v>
      </c>
    </row>
    <row r="110" spans="1:4">
      <c r="A110" s="27" t="s">
        <v>25</v>
      </c>
      <c r="B110" s="324" t="s">
        <v>368</v>
      </c>
      <c r="C110" s="177" t="s">
        <v>475</v>
      </c>
      <c r="D110" s="27" t="s">
        <v>464</v>
      </c>
    </row>
    <row r="111" spans="1:4">
      <c r="A111" s="27" t="s">
        <v>330</v>
      </c>
      <c r="B111" s="324" t="s">
        <v>368</v>
      </c>
      <c r="C111" s="177" t="s">
        <v>367</v>
      </c>
      <c r="D111" s="27" t="s">
        <v>465</v>
      </c>
    </row>
    <row r="112" spans="1:4">
      <c r="A112" s="27" t="s">
        <v>331</v>
      </c>
      <c r="B112" s="324" t="s">
        <v>368</v>
      </c>
      <c r="C112" s="177" t="s">
        <v>367</v>
      </c>
      <c r="D112" s="27" t="s">
        <v>466</v>
      </c>
    </row>
    <row r="113" spans="1:4">
      <c r="A113" s="324" t="s">
        <v>26</v>
      </c>
      <c r="B113" s="324" t="s">
        <v>368</v>
      </c>
      <c r="C113" s="324" t="s">
        <v>364</v>
      </c>
      <c r="D113" s="27" t="s">
        <v>469</v>
      </c>
    </row>
    <row r="114" spans="1:4">
      <c r="A114" s="324" t="s">
        <v>27</v>
      </c>
      <c r="B114" s="324" t="s">
        <v>368</v>
      </c>
      <c r="C114" s="324" t="s">
        <v>364</v>
      </c>
      <c r="D114" s="27" t="s">
        <v>468</v>
      </c>
    </row>
    <row r="115" spans="1:4">
      <c r="A115" s="324" t="s">
        <v>28</v>
      </c>
      <c r="B115" s="324" t="s">
        <v>368</v>
      </c>
      <c r="C115" s="324" t="s">
        <v>364</v>
      </c>
      <c r="D115" s="27" t="s">
        <v>467</v>
      </c>
    </row>
    <row r="116" spans="1:4">
      <c r="A116" s="324" t="s">
        <v>181</v>
      </c>
      <c r="B116" s="324" t="s">
        <v>368</v>
      </c>
      <c r="C116" s="324" t="s">
        <v>364</v>
      </c>
      <c r="D116" s="27" t="s">
        <v>467</v>
      </c>
    </row>
    <row r="117" spans="1:4">
      <c r="A117" s="27" t="s">
        <v>5</v>
      </c>
      <c r="B117" s="324" t="s">
        <v>368</v>
      </c>
      <c r="C117" s="324" t="s">
        <v>473</v>
      </c>
      <c r="D117" s="27" t="s">
        <v>470</v>
      </c>
    </row>
    <row r="118" spans="1:4">
      <c r="A118" s="27" t="s">
        <v>6</v>
      </c>
      <c r="B118" s="324" t="s">
        <v>368</v>
      </c>
      <c r="C118" s="324" t="s">
        <v>351</v>
      </c>
      <c r="D118" s="27" t="s">
        <v>471</v>
      </c>
    </row>
    <row r="119" spans="1:4">
      <c r="A119" s="27" t="s">
        <v>7</v>
      </c>
      <c r="B119" s="324" t="s">
        <v>368</v>
      </c>
      <c r="C119" s="324" t="s">
        <v>365</v>
      </c>
      <c r="D119" s="27" t="s">
        <v>472</v>
      </c>
    </row>
    <row r="120" spans="1:4">
      <c r="A120" s="27" t="s">
        <v>8</v>
      </c>
      <c r="B120" s="324" t="s">
        <v>368</v>
      </c>
      <c r="C120" s="324" t="s">
        <v>476</v>
      </c>
      <c r="D120" s="27" t="s">
        <v>482</v>
      </c>
    </row>
    <row r="121" spans="1:4">
      <c r="A121" s="388" t="s">
        <v>33</v>
      </c>
      <c r="B121" s="324" t="s">
        <v>368</v>
      </c>
      <c r="C121" s="324" t="s">
        <v>364</v>
      </c>
      <c r="D121" s="27" t="s">
        <v>483</v>
      </c>
    </row>
    <row r="122" spans="1:4">
      <c r="A122" s="388" t="s">
        <v>182</v>
      </c>
      <c r="B122" s="324" t="s">
        <v>368</v>
      </c>
      <c r="C122" s="324" t="s">
        <v>364</v>
      </c>
      <c r="D122" s="27" t="s">
        <v>484</v>
      </c>
    </row>
    <row r="123" spans="1:4">
      <c r="A123" s="388" t="s">
        <v>28</v>
      </c>
      <c r="B123" s="324" t="s">
        <v>368</v>
      </c>
      <c r="C123" s="324" t="s">
        <v>364</v>
      </c>
      <c r="D123" s="27" t="s">
        <v>485</v>
      </c>
    </row>
    <row r="124" spans="1:4">
      <c r="A124" s="389" t="s">
        <v>34</v>
      </c>
      <c r="B124" s="324" t="s">
        <v>368</v>
      </c>
      <c r="C124" s="324" t="s">
        <v>364</v>
      </c>
      <c r="D124" s="27" t="s">
        <v>486</v>
      </c>
    </row>
    <row r="125" spans="1:4">
      <c r="A125" s="387" t="s">
        <v>183</v>
      </c>
      <c r="B125" s="324" t="s">
        <v>368</v>
      </c>
      <c r="C125" s="324" t="s">
        <v>477</v>
      </c>
      <c r="D125" s="27" t="s">
        <v>487</v>
      </c>
    </row>
    <row r="126" spans="1:4">
      <c r="A126" s="388" t="s">
        <v>7</v>
      </c>
      <c r="B126" s="324" t="s">
        <v>368</v>
      </c>
      <c r="C126" s="324" t="s">
        <v>365</v>
      </c>
      <c r="D126" s="27" t="s">
        <v>488</v>
      </c>
    </row>
    <row r="127" spans="1:4">
      <c r="A127" s="27" t="s">
        <v>185</v>
      </c>
      <c r="B127" s="324" t="s">
        <v>368</v>
      </c>
      <c r="C127" s="324" t="s">
        <v>347</v>
      </c>
      <c r="D127" s="27" t="s">
        <v>490</v>
      </c>
    </row>
    <row r="128" spans="1:4">
      <c r="A128" s="27" t="s">
        <v>232</v>
      </c>
      <c r="B128" s="324" t="s">
        <v>368</v>
      </c>
      <c r="C128" s="324" t="s">
        <v>347</v>
      </c>
      <c r="D128" s="27" t="s">
        <v>491</v>
      </c>
    </row>
    <row r="129" spans="1:4">
      <c r="A129" s="27" t="s">
        <v>125</v>
      </c>
      <c r="B129" s="324" t="s">
        <v>368</v>
      </c>
      <c r="C129" s="324" t="s">
        <v>478</v>
      </c>
      <c r="D129" s="27" t="s">
        <v>489</v>
      </c>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T70"/>
  <sheetViews>
    <sheetView workbookViewId="0">
      <selection activeCell="D13" sqref="D13"/>
    </sheetView>
  </sheetViews>
  <sheetFormatPr defaultColWidth="9.109375" defaultRowHeight="13.2"/>
  <cols>
    <col min="1" max="1" width="13.44140625" style="29" customWidth="1"/>
    <col min="2" max="3" width="7.109375" style="29" bestFit="1" customWidth="1"/>
    <col min="4" max="5" width="7.109375" style="29" customWidth="1"/>
    <col min="6" max="6" width="8" style="29" customWidth="1"/>
    <col min="7" max="7" width="7.109375" style="29" customWidth="1"/>
    <col min="8" max="9" width="7.109375" style="29" bestFit="1" customWidth="1"/>
    <col min="10" max="10" width="7.109375" style="29" customWidth="1"/>
    <col min="11" max="11" width="6.6640625" style="29" customWidth="1"/>
    <col min="12" max="13" width="8.44140625" style="29" bestFit="1" customWidth="1"/>
    <col min="14" max="14" width="8.109375" style="29" customWidth="1"/>
    <col min="15" max="15" width="6.5546875" style="29" customWidth="1"/>
    <col min="16" max="16" width="7.109375" style="29" bestFit="1" customWidth="1"/>
    <col min="17" max="17" width="13.33203125" style="29" bestFit="1" customWidth="1"/>
    <col min="18" max="16384" width="9.109375" style="110"/>
  </cols>
  <sheetData>
    <row r="1" spans="1:20" ht="17.399999999999999">
      <c r="A1" s="28" t="s">
        <v>35</v>
      </c>
    </row>
    <row r="2" spans="1:20" ht="31.2">
      <c r="A2" s="30"/>
      <c r="B2" s="125" t="s">
        <v>235</v>
      </c>
      <c r="C2" s="126" t="s">
        <v>236</v>
      </c>
      <c r="D2" s="126" t="s">
        <v>237</v>
      </c>
      <c r="E2" s="126" t="s">
        <v>238</v>
      </c>
      <c r="F2" s="126" t="s">
        <v>239</v>
      </c>
      <c r="G2" s="126" t="s">
        <v>240</v>
      </c>
      <c r="H2" s="126" t="s">
        <v>241</v>
      </c>
      <c r="I2" s="126" t="s">
        <v>242</v>
      </c>
      <c r="J2" s="126" t="s">
        <v>243</v>
      </c>
      <c r="K2" s="126"/>
      <c r="L2" s="126" t="s">
        <v>244</v>
      </c>
      <c r="M2" s="126" t="s">
        <v>245</v>
      </c>
      <c r="N2" s="126" t="s">
        <v>246</v>
      </c>
      <c r="O2" s="126" t="s">
        <v>247</v>
      </c>
      <c r="P2" s="126" t="s">
        <v>251</v>
      </c>
      <c r="Q2" s="31"/>
    </row>
    <row r="3" spans="1:20">
      <c r="A3" s="32" t="str">
        <f>IF(ISBLANK(B2),"",B2)</f>
        <v>Pg.P.C</v>
      </c>
      <c r="B3" s="33">
        <f ca="1">IF(B22=0,"",CORREL(INDIRECT($A3),INDIRECT(B$2)))</f>
        <v>1.0000000000000002</v>
      </c>
      <c r="C3" s="33">
        <f ca="1">IF(C22=0,"",CORREL(INDIRECT($A3),INDIRECT(C$2)))</f>
        <v>7.3405653248544686E-2</v>
      </c>
      <c r="D3" s="33">
        <f ca="1">IF(D22=0,"",CORREL(INDIRECT($A3),INDIRECT(D$2)))</f>
        <v>-0.54609274086946058</v>
      </c>
      <c r="E3" s="33">
        <f ca="1">IF(E22=0,"",CORREL(INDIRECT($A3),INDIRECT(E$2)))</f>
        <v>0.2221038199795119</v>
      </c>
      <c r="F3" s="33">
        <f ca="1">IF(F22=0,"",CORREL(INDIRECT($A3),INDIRECT(F$2)))</f>
        <v>-8.9534434848971889E-2</v>
      </c>
      <c r="G3" s="33">
        <f t="shared" ref="G3:P3" ca="1" si="0">IF(G22=0,"",CORREL(INDIRECT($A3),INDIRECT(G$2)))</f>
        <v>-0.22289639597069474</v>
      </c>
      <c r="H3" s="33">
        <f t="shared" ca="1" si="0"/>
        <v>0.95858089535458357</v>
      </c>
      <c r="I3" s="33">
        <f t="shared" ca="1" si="0"/>
        <v>7.3494827236828403E-2</v>
      </c>
      <c r="J3" s="33">
        <f t="shared" ca="1" si="0"/>
        <v>-0.52135783305789607</v>
      </c>
      <c r="K3" s="33" t="str">
        <f t="shared" ref="K3:M4" ca="1" si="1">IF(K22=0,"",CORREL(INDIRECT($A3),INDIRECT(K$2)))</f>
        <v/>
      </c>
      <c r="L3" s="33">
        <f t="shared" ca="1" si="1"/>
        <v>0.34350835213152536</v>
      </c>
      <c r="M3" s="33">
        <f t="shared" ca="1" si="1"/>
        <v>-0.19402345994806375</v>
      </c>
      <c r="N3" s="33">
        <f t="shared" ca="1" si="0"/>
        <v>0.92380255751993112</v>
      </c>
      <c r="O3" s="33">
        <f t="shared" ca="1" si="0"/>
        <v>-2.1816892899525361E-2</v>
      </c>
      <c r="P3" s="33">
        <f t="shared" ca="1" si="0"/>
        <v>7.5314937101271823E-2</v>
      </c>
      <c r="Q3" s="113" t="str">
        <f t="shared" ref="Q3:Q17" si="2">A3</f>
        <v>Pg.P.C</v>
      </c>
      <c r="T3" s="112"/>
    </row>
    <row r="4" spans="1:20">
      <c r="A4" s="34" t="str">
        <f>IF(ISBLANK(C2),"",C2)</f>
        <v>Pg.E.C</v>
      </c>
      <c r="B4" s="35">
        <f t="shared" ref="B4:P4" ca="1" si="3">IF(B23=0,"",CORREL(INDIRECT($A4),INDIRECT(B$2)))</f>
        <v>7.3405653248544686E-2</v>
      </c>
      <c r="C4" s="35">
        <f t="shared" ca="1" si="3"/>
        <v>1</v>
      </c>
      <c r="D4" s="35">
        <f t="shared" ref="D4:D14" ca="1" si="4">IF(D23=0,"",CORREL(INDIRECT($A4),INDIRECT(D$2)))</f>
        <v>0.79537839035624736</v>
      </c>
      <c r="E4" s="35">
        <f t="shared" ca="1" si="3"/>
        <v>-0.12294987923830196</v>
      </c>
      <c r="F4" s="35">
        <f t="shared" ca="1" si="3"/>
        <v>-0.14319707467764897</v>
      </c>
      <c r="G4" s="35">
        <f t="shared" ca="1" si="3"/>
        <v>0.12233314453885738</v>
      </c>
      <c r="H4" s="35">
        <f t="shared" ca="1" si="3"/>
        <v>0.1110435321760849</v>
      </c>
      <c r="I4" s="35">
        <f t="shared" ca="1" si="3"/>
        <v>0.99999937570733266</v>
      </c>
      <c r="J4" s="35">
        <f t="shared" ca="1" si="3"/>
        <v>0.79535716167945991</v>
      </c>
      <c r="K4" s="35" t="str">
        <f t="shared" ca="1" si="1"/>
        <v/>
      </c>
      <c r="L4" s="35">
        <f t="shared" ca="1" si="1"/>
        <v>-6.8691626473153619E-2</v>
      </c>
      <c r="M4" s="35">
        <f t="shared" ca="1" si="1"/>
        <v>-0.19266026083823573</v>
      </c>
      <c r="N4" s="35">
        <f t="shared" ca="1" si="3"/>
        <v>0.18958426152372956</v>
      </c>
      <c r="O4" s="35">
        <f t="shared" ca="1" si="3"/>
        <v>4.7312017733081177E-2</v>
      </c>
      <c r="P4" s="35">
        <f t="shared" ca="1" si="3"/>
        <v>0.27731011757616758</v>
      </c>
      <c r="Q4" s="114" t="str">
        <f t="shared" si="2"/>
        <v>Pg.E.C</v>
      </c>
      <c r="R4" s="111"/>
    </row>
    <row r="5" spans="1:20">
      <c r="A5" s="32" t="str">
        <f>IF(ISBLANK(D2),"",D2)</f>
        <v>Pg.R.c</v>
      </c>
      <c r="B5" s="36">
        <f t="shared" ref="B5:P5" ca="1" si="5">IF(B24=0,"",CORREL(INDIRECT($A5),INDIRECT(B$2)))</f>
        <v>-0.54609274086946058</v>
      </c>
      <c r="C5" s="36">
        <f t="shared" ca="1" si="5"/>
        <v>0.79537839035624736</v>
      </c>
      <c r="D5" s="36">
        <f t="shared" ca="1" si="4"/>
        <v>1</v>
      </c>
      <c r="E5" s="36">
        <f t="shared" ca="1" si="5"/>
        <v>-0.23826100065192624</v>
      </c>
      <c r="F5" s="36">
        <f t="shared" ca="1" si="5"/>
        <v>-6.5869431923169061E-2</v>
      </c>
      <c r="G5" s="36">
        <f t="shared" ca="1" si="5"/>
        <v>0.23822463942106994</v>
      </c>
      <c r="H5" s="36">
        <f t="shared" ca="1" si="5"/>
        <v>-0.48930468804380994</v>
      </c>
      <c r="I5" s="36">
        <f t="shared" ca="1" si="5"/>
        <v>0.79532367021321548</v>
      </c>
      <c r="J5" s="36">
        <f t="shared" ca="1" si="5"/>
        <v>0.98494945812097068</v>
      </c>
      <c r="K5" s="36" t="str">
        <f t="shared" ca="1" si="5"/>
        <v/>
      </c>
      <c r="L5" s="36">
        <f t="shared" ref="L5:M17" ca="1" si="6">IF(L24=0,"",CORREL(INDIRECT($A5),INDIRECT(L$2)))</f>
        <v>-0.26646850981466774</v>
      </c>
      <c r="M5" s="36">
        <f t="shared" ca="1" si="6"/>
        <v>-4.3914557647902155E-2</v>
      </c>
      <c r="N5" s="36">
        <f t="shared" ca="1" si="5"/>
        <v>-0.4021945585291189</v>
      </c>
      <c r="O5" s="36">
        <f t="shared" ca="1" si="5"/>
        <v>5.3000941750572107E-2</v>
      </c>
      <c r="P5" s="36">
        <f t="shared" ca="1" si="5"/>
        <v>0.18660703628969472</v>
      </c>
      <c r="Q5" s="115" t="str">
        <f t="shared" si="2"/>
        <v>Pg.R.c</v>
      </c>
    </row>
    <row r="6" spans="1:20">
      <c r="A6" s="37" t="str">
        <f>IF(ISBLANK(E2),"",E2)</f>
        <v>Rt.P.c</v>
      </c>
      <c r="B6" s="38">
        <f t="shared" ref="B6:P6" ca="1" si="7">IF(B25=0,"",CORREL(INDIRECT($A6),INDIRECT(B$2)))</f>
        <v>0.2221038199795119</v>
      </c>
      <c r="C6" s="38">
        <f t="shared" ca="1" si="7"/>
        <v>-0.12294987923830196</v>
      </c>
      <c r="D6" s="38">
        <f t="shared" ca="1" si="4"/>
        <v>-0.23826100065192624</v>
      </c>
      <c r="E6" s="38">
        <f t="shared" ca="1" si="7"/>
        <v>1</v>
      </c>
      <c r="F6" s="38">
        <f t="shared" ca="1" si="7"/>
        <v>0.25115319608197456</v>
      </c>
      <c r="G6" s="38">
        <f t="shared" ca="1" si="7"/>
        <v>-0.99998595439546811</v>
      </c>
      <c r="H6" s="38">
        <f t="shared" ca="1" si="7"/>
        <v>-6.4801980124614397E-2</v>
      </c>
      <c r="I6" s="38">
        <f t="shared" ca="1" si="7"/>
        <v>-0.12321348574490143</v>
      </c>
      <c r="J6" s="38">
        <f t="shared" ca="1" si="7"/>
        <v>-6.6812607564356599E-2</v>
      </c>
      <c r="K6" s="38" t="str">
        <f t="shared" ca="1" si="7"/>
        <v/>
      </c>
      <c r="L6" s="38">
        <f t="shared" ca="1" si="6"/>
        <v>0.22704251425193644</v>
      </c>
      <c r="M6" s="38">
        <f t="shared" ca="1" si="6"/>
        <v>-0.2423556813646934</v>
      </c>
      <c r="N6" s="38">
        <f t="shared" ca="1" si="7"/>
        <v>0.30012957016101338</v>
      </c>
      <c r="O6" s="38">
        <f t="shared" ca="1" si="7"/>
        <v>-0.13647743797340101</v>
      </c>
      <c r="P6" s="38">
        <f t="shared" ca="1" si="7"/>
        <v>9.6039967180178279E-2</v>
      </c>
      <c r="Q6" s="116" t="str">
        <f t="shared" si="2"/>
        <v>Rt.P.c</v>
      </c>
    </row>
    <row r="7" spans="1:20">
      <c r="A7" s="32" t="str">
        <f>IF(ISBLANK(F2),"",F2)</f>
        <v>Rt.E.c</v>
      </c>
      <c r="B7" s="36">
        <f t="shared" ref="B7:P7" ca="1" si="8">IF(B26=0,"",CORREL(INDIRECT($A7),INDIRECT(B$2)))</f>
        <v>-8.9534434848971889E-2</v>
      </c>
      <c r="C7" s="36">
        <f t="shared" ca="1" si="8"/>
        <v>-0.14319707467764897</v>
      </c>
      <c r="D7" s="36">
        <f t="shared" ca="1" si="4"/>
        <v>-6.5869431923169061E-2</v>
      </c>
      <c r="E7" s="36">
        <f t="shared" ca="1" si="8"/>
        <v>0.25115319608197456</v>
      </c>
      <c r="F7" s="36">
        <f t="shared" ca="1" si="8"/>
        <v>1.0000000000000002</v>
      </c>
      <c r="G7" s="36">
        <f t="shared" ca="1" si="8"/>
        <v>-0.24601945513816351</v>
      </c>
      <c r="H7" s="36">
        <f t="shared" ca="1" si="8"/>
        <v>-0.16500103014422496</v>
      </c>
      <c r="I7" s="36">
        <f t="shared" ca="1" si="8"/>
        <v>-0.14430287054073695</v>
      </c>
      <c r="J7" s="36">
        <f t="shared" ca="1" si="8"/>
        <v>-2.388750169739778E-2</v>
      </c>
      <c r="K7" s="36" t="str">
        <f t="shared" ca="1" si="8"/>
        <v/>
      </c>
      <c r="L7" s="36">
        <f t="shared" ca="1" si="6"/>
        <v>-9.1811486677369047E-2</v>
      </c>
      <c r="M7" s="36">
        <f t="shared" ca="1" si="6"/>
        <v>9.4835344590068441E-2</v>
      </c>
      <c r="N7" s="36">
        <f t="shared" ca="1" si="8"/>
        <v>4.0467490527153357E-2</v>
      </c>
      <c r="O7" s="36">
        <f t="shared" ca="1" si="8"/>
        <v>-3.5013474519668582E-2</v>
      </c>
      <c r="P7" s="36">
        <f t="shared" ca="1" si="8"/>
        <v>7.660859305361109E-2</v>
      </c>
      <c r="Q7" s="115" t="str">
        <f t="shared" si="2"/>
        <v>Rt.E.c</v>
      </c>
    </row>
    <row r="8" spans="1:20">
      <c r="A8" s="39" t="str">
        <f>IF(ISBLANK(G2),"",G2)</f>
        <v>Rt.R.c</v>
      </c>
      <c r="B8" s="38">
        <f t="shared" ref="B8:P8" ca="1" si="9">IF(B27=0,"",CORREL(INDIRECT($A8),INDIRECT(B$2)))</f>
        <v>-0.22289639597069474</v>
      </c>
      <c r="C8" s="38">
        <f t="shared" ca="1" si="9"/>
        <v>0.12233314453885738</v>
      </c>
      <c r="D8" s="38">
        <f t="shared" ca="1" si="4"/>
        <v>0.23822463942106994</v>
      </c>
      <c r="E8" s="38">
        <f t="shared" ca="1" si="9"/>
        <v>-0.99998595439546811</v>
      </c>
      <c r="F8" s="38">
        <f t="shared" ca="1" si="9"/>
        <v>-0.24601945513816351</v>
      </c>
      <c r="G8" s="38">
        <f t="shared" ca="1" si="9"/>
        <v>0.99999999999999989</v>
      </c>
      <c r="H8" s="38">
        <f t="shared" ca="1" si="9"/>
        <v>6.3986706467822396E-2</v>
      </c>
      <c r="I8" s="38">
        <f t="shared" ca="1" si="9"/>
        <v>0.12259105495943129</v>
      </c>
      <c r="J8" s="38">
        <f t="shared" ca="1" si="9"/>
        <v>6.6772752377726896E-2</v>
      </c>
      <c r="K8" s="38" t="str">
        <f t="shared" ca="1" si="9"/>
        <v/>
      </c>
      <c r="L8" s="38">
        <f t="shared" ca="1" si="6"/>
        <v>-0.22785428087553442</v>
      </c>
      <c r="M8" s="38">
        <f t="shared" ca="1" si="6"/>
        <v>0.24320484925140914</v>
      </c>
      <c r="N8" s="38">
        <f t="shared" ca="1" si="9"/>
        <v>-0.30031651349362515</v>
      </c>
      <c r="O8" s="38">
        <f t="shared" ca="1" si="9"/>
        <v>0.13647148702545978</v>
      </c>
      <c r="P8" s="38">
        <f t="shared" ca="1" si="9"/>
        <v>-9.5755745567248085E-2</v>
      </c>
      <c r="Q8" s="116" t="str">
        <f t="shared" si="2"/>
        <v>Rt.R.c</v>
      </c>
    </row>
    <row r="9" spans="1:20">
      <c r="A9" s="32" t="str">
        <f>IF(ISBLANK(H2),"",H2)</f>
        <v>NEM.P.c</v>
      </c>
      <c r="B9" s="36">
        <f t="shared" ref="B9:P9" ca="1" si="10">IF(B28=0,"",CORREL(INDIRECT($A9),INDIRECT(B$2)))</f>
        <v>0.95858089535458357</v>
      </c>
      <c r="C9" s="36">
        <f t="shared" ca="1" si="10"/>
        <v>0.1110435321760849</v>
      </c>
      <c r="D9" s="36">
        <f t="shared" ca="1" si="4"/>
        <v>-0.48930468804380994</v>
      </c>
      <c r="E9" s="36">
        <f t="shared" ca="1" si="10"/>
        <v>-6.4801980124614397E-2</v>
      </c>
      <c r="F9" s="36">
        <f t="shared" ca="1" si="10"/>
        <v>-0.16500103014422496</v>
      </c>
      <c r="G9" s="36">
        <f t="shared" ca="1" si="10"/>
        <v>6.3986706467822396E-2</v>
      </c>
      <c r="H9" s="36">
        <f t="shared" ca="1" si="10"/>
        <v>1</v>
      </c>
      <c r="I9" s="36">
        <f t="shared" ca="1" si="10"/>
        <v>0.111211802121939</v>
      </c>
      <c r="J9" s="36">
        <f t="shared" ca="1" si="10"/>
        <v>-0.51407239387052484</v>
      </c>
      <c r="K9" s="36" t="str">
        <f t="shared" ca="1" si="10"/>
        <v/>
      </c>
      <c r="L9" s="36">
        <f t="shared" ca="1" si="6"/>
        <v>0.28524455110273028</v>
      </c>
      <c r="M9" s="36">
        <f t="shared" ca="1" si="6"/>
        <v>-0.12777934729959176</v>
      </c>
      <c r="N9" s="36">
        <f t="shared" ca="1" si="10"/>
        <v>0.85780315940148377</v>
      </c>
      <c r="O9" s="36">
        <f t="shared" ca="1" si="10"/>
        <v>1.7538584029151906E-2</v>
      </c>
      <c r="P9" s="36">
        <f t="shared" ca="1" si="10"/>
        <v>4.9229548697737706E-2</v>
      </c>
      <c r="Q9" s="115" t="str">
        <f t="shared" si="2"/>
        <v>NEM.P.c</v>
      </c>
    </row>
    <row r="10" spans="1:20">
      <c r="A10" s="39" t="str">
        <f>IF(ISBLANK(I2),"",I2)</f>
        <v>NEM.E.c</v>
      </c>
      <c r="B10" s="38">
        <f t="shared" ref="B10:P10" ca="1" si="11">IF(B29=0,"",CORREL(INDIRECT($A10),INDIRECT(B$2)))</f>
        <v>7.3494827236828403E-2</v>
      </c>
      <c r="C10" s="38">
        <f t="shared" ca="1" si="11"/>
        <v>0.99999937570733266</v>
      </c>
      <c r="D10" s="38">
        <f t="shared" ca="1" si="4"/>
        <v>0.79532367021321548</v>
      </c>
      <c r="E10" s="38">
        <f t="shared" ca="1" si="11"/>
        <v>-0.12321348574490143</v>
      </c>
      <c r="F10" s="38">
        <f t="shared" ca="1" si="11"/>
        <v>-0.14430287054073695</v>
      </c>
      <c r="G10" s="38">
        <f t="shared" ca="1" si="11"/>
        <v>0.12259105495943129</v>
      </c>
      <c r="H10" s="38">
        <f t="shared" ca="1" si="11"/>
        <v>0.111211802121939</v>
      </c>
      <c r="I10" s="38">
        <f t="shared" ca="1" si="11"/>
        <v>0.99999999999999978</v>
      </c>
      <c r="J10" s="38">
        <f t="shared" ca="1" si="11"/>
        <v>0.79525504584564843</v>
      </c>
      <c r="K10" s="38" t="str">
        <f t="shared" ca="1" si="11"/>
        <v/>
      </c>
      <c r="L10" s="38">
        <f t="shared" ca="1" si="6"/>
        <v>-6.8576819358989696E-2</v>
      </c>
      <c r="M10" s="38">
        <f t="shared" ca="1" si="6"/>
        <v>-0.19273606484026254</v>
      </c>
      <c r="N10" s="38">
        <f t="shared" ca="1" si="11"/>
        <v>0.18950780290321867</v>
      </c>
      <c r="O10" s="38">
        <f t="shared" ca="1" si="11"/>
        <v>4.7343870532950041E-2</v>
      </c>
      <c r="P10" s="38">
        <f t="shared" ca="1" si="11"/>
        <v>0.27717948399044368</v>
      </c>
      <c r="Q10" s="116" t="str">
        <f t="shared" si="2"/>
        <v>NEM.E.c</v>
      </c>
    </row>
    <row r="11" spans="1:20">
      <c r="A11" s="32" t="str">
        <f>IF(ISBLANK(J2),"",J2)</f>
        <v>NEM.R.c</v>
      </c>
      <c r="B11" s="36">
        <f t="shared" ref="B11:P11" ca="1" si="12">IF(B30=0,"",CORREL(INDIRECT($A11),INDIRECT(B$2)))</f>
        <v>-0.52135783305789607</v>
      </c>
      <c r="C11" s="36">
        <f t="shared" ca="1" si="12"/>
        <v>0.79535716167945991</v>
      </c>
      <c r="D11" s="36">
        <f t="shared" ca="1" si="4"/>
        <v>0.98494945812097068</v>
      </c>
      <c r="E11" s="36">
        <f t="shared" ca="1" si="12"/>
        <v>-6.6812607564356599E-2</v>
      </c>
      <c r="F11" s="36">
        <f t="shared" ca="1" si="12"/>
        <v>-2.388750169739778E-2</v>
      </c>
      <c r="G11" s="36">
        <f t="shared" ca="1" si="12"/>
        <v>6.6772752377726896E-2</v>
      </c>
      <c r="H11" s="36">
        <f t="shared" ca="1" si="12"/>
        <v>-0.51407239387052484</v>
      </c>
      <c r="I11" s="36">
        <f t="shared" ca="1" si="12"/>
        <v>0.79525504584564843</v>
      </c>
      <c r="J11" s="36">
        <f t="shared" ca="1" si="12"/>
        <v>1</v>
      </c>
      <c r="K11" s="36" t="str">
        <f t="shared" ca="1" si="12"/>
        <v/>
      </c>
      <c r="L11" s="36">
        <f t="shared" ca="1" si="6"/>
        <v>-0.23320482935345077</v>
      </c>
      <c r="M11" s="36">
        <f t="shared" ca="1" si="6"/>
        <v>-8.8397670204578269E-2</v>
      </c>
      <c r="N11" s="36">
        <f t="shared" ca="1" si="12"/>
        <v>-0.35974653047304456</v>
      </c>
      <c r="O11" s="36">
        <f t="shared" ca="1" si="12"/>
        <v>3.0162956965603567E-2</v>
      </c>
      <c r="P11" s="36">
        <f t="shared" ca="1" si="12"/>
        <v>0.20783915737839306</v>
      </c>
      <c r="Q11" s="115" t="str">
        <f t="shared" si="2"/>
        <v>NEM.R.c</v>
      </c>
    </row>
    <row r="12" spans="1:20">
      <c r="A12" s="39" t="str">
        <f>IF(ISBLANK(K2),"",K2)</f>
        <v/>
      </c>
      <c r="B12" s="38" t="str">
        <f t="shared" ref="B12:P12" ca="1" si="13">IF(B31=0,"",CORREL(INDIRECT($A12),INDIRECT(B$2)))</f>
        <v/>
      </c>
      <c r="C12" s="38" t="str">
        <f t="shared" ca="1" si="13"/>
        <v/>
      </c>
      <c r="D12" s="38" t="str">
        <f t="shared" ca="1" si="4"/>
        <v/>
      </c>
      <c r="E12" s="38" t="str">
        <f t="shared" ca="1" si="13"/>
        <v/>
      </c>
      <c r="F12" s="38" t="str">
        <f t="shared" ca="1" si="13"/>
        <v/>
      </c>
      <c r="G12" s="38" t="str">
        <f t="shared" ca="1" si="13"/>
        <v/>
      </c>
      <c r="H12" s="38" t="str">
        <f t="shared" ca="1" si="13"/>
        <v/>
      </c>
      <c r="I12" s="38" t="str">
        <f t="shared" ca="1" si="13"/>
        <v/>
      </c>
      <c r="J12" s="38" t="str">
        <f t="shared" ca="1" si="13"/>
        <v/>
      </c>
      <c r="K12" s="38" t="str">
        <f t="shared" ca="1" si="13"/>
        <v/>
      </c>
      <c r="L12" s="38" t="str">
        <f t="shared" ca="1" si="6"/>
        <v/>
      </c>
      <c r="M12" s="38" t="str">
        <f t="shared" ca="1" si="6"/>
        <v/>
      </c>
      <c r="N12" s="38" t="str">
        <f t="shared" ca="1" si="13"/>
        <v/>
      </c>
      <c r="O12" s="38" t="str">
        <f t="shared" ca="1" si="13"/>
        <v/>
      </c>
      <c r="P12" s="38" t="str">
        <f t="shared" ca="1" si="13"/>
        <v/>
      </c>
      <c r="Q12" s="116" t="str">
        <f t="shared" si="2"/>
        <v/>
      </c>
    </row>
    <row r="13" spans="1:20">
      <c r="A13" s="32" t="str">
        <f>IF(ISBLANK(L2),"",L2)</f>
        <v>wc.temp.ctd.c</v>
      </c>
      <c r="B13" s="36">
        <f t="shared" ref="B13:P13" ca="1" si="14">IF(B32=0,"",CORREL(INDIRECT($A13),INDIRECT(B$2)))</f>
        <v>0.34350835213152536</v>
      </c>
      <c r="C13" s="36">
        <f t="shared" ca="1" si="14"/>
        <v>-6.8691626473153619E-2</v>
      </c>
      <c r="D13" s="36">
        <f t="shared" ca="1" si="4"/>
        <v>-0.26646850981466774</v>
      </c>
      <c r="E13" s="36">
        <f t="shared" ca="1" si="14"/>
        <v>0.22704251425193644</v>
      </c>
      <c r="F13" s="36">
        <f t="shared" ca="1" si="14"/>
        <v>-9.1811486677369047E-2</v>
      </c>
      <c r="G13" s="36">
        <f t="shared" ca="1" si="14"/>
        <v>-0.22785428087553442</v>
      </c>
      <c r="H13" s="36">
        <f t="shared" ca="1" si="14"/>
        <v>0.28524455110273028</v>
      </c>
      <c r="I13" s="36">
        <f t="shared" ca="1" si="14"/>
        <v>-6.8576819358989696E-2</v>
      </c>
      <c r="J13" s="36">
        <f t="shared" ca="1" si="14"/>
        <v>-0.23320482935345077</v>
      </c>
      <c r="K13" s="36" t="str">
        <f t="shared" ca="1" si="14"/>
        <v/>
      </c>
      <c r="L13" s="36">
        <f t="shared" ca="1" si="6"/>
        <v>1</v>
      </c>
      <c r="M13" s="36">
        <f t="shared" ca="1" si="6"/>
        <v>-8.1969437636004908E-2</v>
      </c>
      <c r="N13" s="36">
        <f t="shared" ca="1" si="14"/>
        <v>0.30151702669637009</v>
      </c>
      <c r="O13" s="36">
        <f t="shared" ca="1" si="14"/>
        <v>-0.18893236551540349</v>
      </c>
      <c r="P13" s="36">
        <f t="shared" ca="1" si="14"/>
        <v>0.34543288667856364</v>
      </c>
      <c r="Q13" s="115" t="str">
        <f t="shared" si="2"/>
        <v>wc.temp.ctd.c</v>
      </c>
    </row>
    <row r="14" spans="1:20">
      <c r="A14" s="39" t="str">
        <f>IF(ISBLANK(M2),"",M2)</f>
        <v>wc.sal.ctd.c</v>
      </c>
      <c r="B14" s="38">
        <f t="shared" ref="B14:P14" ca="1" si="15">IF(B33=0,"",CORREL(INDIRECT($A14),INDIRECT(B$2)))</f>
        <v>-0.19402345994806375</v>
      </c>
      <c r="C14" s="38">
        <f t="shared" ca="1" si="15"/>
        <v>-0.19266026083823573</v>
      </c>
      <c r="D14" s="38">
        <f t="shared" ca="1" si="4"/>
        <v>-4.3914557647902155E-2</v>
      </c>
      <c r="E14" s="38">
        <f t="shared" ca="1" si="15"/>
        <v>-0.2423556813646934</v>
      </c>
      <c r="F14" s="38">
        <f t="shared" ca="1" si="15"/>
        <v>9.4835344590068441E-2</v>
      </c>
      <c r="G14" s="38">
        <f t="shared" ca="1" si="15"/>
        <v>0.24320484925140914</v>
      </c>
      <c r="H14" s="38">
        <f t="shared" ca="1" si="15"/>
        <v>-0.12777934729959176</v>
      </c>
      <c r="I14" s="38">
        <f t="shared" ca="1" si="15"/>
        <v>-0.19273606484026254</v>
      </c>
      <c r="J14" s="38">
        <f t="shared" ca="1" si="15"/>
        <v>-8.8397670204578269E-2</v>
      </c>
      <c r="K14" s="38" t="str">
        <f t="shared" ca="1" si="15"/>
        <v/>
      </c>
      <c r="L14" s="38">
        <f t="shared" ca="1" si="6"/>
        <v>-8.1969437636004908E-2</v>
      </c>
      <c r="M14" s="38">
        <f t="shared" ca="1" si="6"/>
        <v>1</v>
      </c>
      <c r="N14" s="38">
        <f t="shared" ca="1" si="15"/>
        <v>-0.21574007010956103</v>
      </c>
      <c r="O14" s="38">
        <f t="shared" ca="1" si="15"/>
        <v>0.50969859571692133</v>
      </c>
      <c r="P14" s="38">
        <f t="shared" ca="1" si="15"/>
        <v>-0.25565907062771509</v>
      </c>
      <c r="Q14" s="116" t="str">
        <f t="shared" si="2"/>
        <v>wc.sal.ctd.c</v>
      </c>
    </row>
    <row r="15" spans="1:20">
      <c r="A15" s="32" t="str">
        <f>IF(ISBLANK(N2),"",N2)</f>
        <v>wc.chl.a.c</v>
      </c>
      <c r="B15" s="36">
        <f t="shared" ref="B15:P15" ca="1" si="16">IF(B34=0,"",CORREL(INDIRECT($A15),INDIRECT(B$2)))</f>
        <v>0.92380255751993112</v>
      </c>
      <c r="C15" s="36">
        <f t="shared" ca="1" si="16"/>
        <v>0.18958426152372956</v>
      </c>
      <c r="D15" s="36">
        <f t="shared" ca="1" si="16"/>
        <v>-0.4021945585291189</v>
      </c>
      <c r="E15" s="36">
        <f t="shared" ca="1" si="16"/>
        <v>0.30012957016101338</v>
      </c>
      <c r="F15" s="36">
        <f t="shared" ca="1" si="16"/>
        <v>4.0467490527153357E-2</v>
      </c>
      <c r="G15" s="36">
        <f t="shared" ca="1" si="16"/>
        <v>-0.30031651349362515</v>
      </c>
      <c r="H15" s="36">
        <f t="shared" ca="1" si="16"/>
        <v>0.85780315940148377</v>
      </c>
      <c r="I15" s="36">
        <f t="shared" ca="1" si="16"/>
        <v>0.18950780290321867</v>
      </c>
      <c r="J15" s="36">
        <f t="shared" ca="1" si="16"/>
        <v>-0.35974653047304456</v>
      </c>
      <c r="K15" s="36" t="str">
        <f t="shared" ca="1" si="16"/>
        <v/>
      </c>
      <c r="L15" s="36">
        <f t="shared" ca="1" si="6"/>
        <v>0.30151702669637009</v>
      </c>
      <c r="M15" s="36">
        <f t="shared" ca="1" si="6"/>
        <v>-0.21574007010956103</v>
      </c>
      <c r="N15" s="36">
        <f t="shared" ca="1" si="16"/>
        <v>0.99999999999999989</v>
      </c>
      <c r="O15" s="36">
        <f t="shared" ca="1" si="16"/>
        <v>-0.12227700347326256</v>
      </c>
      <c r="P15" s="36">
        <f t="shared" ca="1" si="16"/>
        <v>0.24131270133368588</v>
      </c>
      <c r="Q15" s="115" t="str">
        <f t="shared" si="2"/>
        <v>wc.chl.a.c</v>
      </c>
    </row>
    <row r="16" spans="1:20">
      <c r="A16" s="39" t="str">
        <f>IF(ISBLANK(O2),"",O2)</f>
        <v>I.avg.c</v>
      </c>
      <c r="B16" s="38">
        <f t="shared" ref="B16:P16" ca="1" si="17">IF(B35=0,"",CORREL(INDIRECT($A16),INDIRECT(B$2)))</f>
        <v>-2.1816892899525361E-2</v>
      </c>
      <c r="C16" s="38">
        <f t="shared" ca="1" si="17"/>
        <v>4.7312017733081177E-2</v>
      </c>
      <c r="D16" s="38">
        <f t="shared" ca="1" si="17"/>
        <v>5.3000941750572107E-2</v>
      </c>
      <c r="E16" s="38">
        <f t="shared" ca="1" si="17"/>
        <v>-0.13647743797340101</v>
      </c>
      <c r="F16" s="38">
        <f t="shared" ca="1" si="17"/>
        <v>-3.5013474519668582E-2</v>
      </c>
      <c r="G16" s="38">
        <f t="shared" ca="1" si="17"/>
        <v>0.13647148702545978</v>
      </c>
      <c r="H16" s="38">
        <f t="shared" ca="1" si="17"/>
        <v>1.7538584029151906E-2</v>
      </c>
      <c r="I16" s="38">
        <f t="shared" ca="1" si="17"/>
        <v>4.7343870532950041E-2</v>
      </c>
      <c r="J16" s="38">
        <f t="shared" ca="1" si="17"/>
        <v>3.0162956965603567E-2</v>
      </c>
      <c r="K16" s="38" t="str">
        <f t="shared" ca="1" si="17"/>
        <v/>
      </c>
      <c r="L16" s="38">
        <f t="shared" ca="1" si="6"/>
        <v>-0.18893236551540349</v>
      </c>
      <c r="M16" s="38">
        <f t="shared" ca="1" si="6"/>
        <v>0.50969859571692133</v>
      </c>
      <c r="N16" s="38">
        <f t="shared" ca="1" si="17"/>
        <v>-0.12227700347326256</v>
      </c>
      <c r="O16" s="38">
        <f t="shared" ca="1" si="17"/>
        <v>1</v>
      </c>
      <c r="P16" s="38">
        <f t="shared" ca="1" si="17"/>
        <v>-0.6531972048646878</v>
      </c>
      <c r="Q16" s="116" t="str">
        <f t="shared" si="2"/>
        <v>I.avg.c</v>
      </c>
    </row>
    <row r="17" spans="1:17">
      <c r="A17" s="40" t="str">
        <f>IF(ISBLANK(P2),"",P2)</f>
        <v>dsal.c</v>
      </c>
      <c r="B17" s="41">
        <f t="shared" ref="B17:P17" ca="1" si="18">IF(B36=0,"",CORREL(INDIRECT($A17),INDIRECT(B$2)))</f>
        <v>7.5314937101271823E-2</v>
      </c>
      <c r="C17" s="41">
        <f t="shared" ca="1" si="18"/>
        <v>0.27731011757616758</v>
      </c>
      <c r="D17" s="41">
        <f t="shared" ca="1" si="18"/>
        <v>0.18660703628969472</v>
      </c>
      <c r="E17" s="41">
        <f t="shared" ca="1" si="18"/>
        <v>9.6039967180178279E-2</v>
      </c>
      <c r="F17" s="41">
        <f t="shared" ca="1" si="18"/>
        <v>7.660859305361109E-2</v>
      </c>
      <c r="G17" s="41">
        <f t="shared" ca="1" si="18"/>
        <v>-9.5755745567248085E-2</v>
      </c>
      <c r="H17" s="41">
        <f t="shared" ca="1" si="18"/>
        <v>4.9229548697737706E-2</v>
      </c>
      <c r="I17" s="41">
        <f t="shared" ca="1" si="18"/>
        <v>0.27717948399044368</v>
      </c>
      <c r="J17" s="41">
        <f t="shared" ca="1" si="18"/>
        <v>0.20783915737839306</v>
      </c>
      <c r="K17" s="41" t="str">
        <f t="shared" ca="1" si="18"/>
        <v/>
      </c>
      <c r="L17" s="41">
        <f t="shared" ca="1" si="6"/>
        <v>0.34543288667856364</v>
      </c>
      <c r="M17" s="41">
        <f t="shared" ca="1" si="6"/>
        <v>-0.25565907062771509</v>
      </c>
      <c r="N17" s="41">
        <f t="shared" ca="1" si="18"/>
        <v>0.24131270133368588</v>
      </c>
      <c r="O17" s="41">
        <f t="shared" ca="1" si="18"/>
        <v>-0.6531972048646878</v>
      </c>
      <c r="P17" s="41">
        <f t="shared" ca="1" si="18"/>
        <v>1.0000000000000002</v>
      </c>
      <c r="Q17" s="117" t="str">
        <f t="shared" si="2"/>
        <v>dsal.c</v>
      </c>
    </row>
    <row r="18" spans="1:17" ht="26.4">
      <c r="A18" s="42"/>
      <c r="B18" s="122" t="str">
        <f t="shared" ref="B18:P18" si="19">IF(ISBLANK(B$2),"",B$2)</f>
        <v>Pg.P.C</v>
      </c>
      <c r="C18" s="123" t="str">
        <f t="shared" si="19"/>
        <v>Pg.E.C</v>
      </c>
      <c r="D18" s="123" t="str">
        <f t="shared" si="19"/>
        <v>Pg.R.c</v>
      </c>
      <c r="E18" s="123" t="str">
        <f t="shared" si="19"/>
        <v>Rt.P.c</v>
      </c>
      <c r="F18" s="123" t="str">
        <f t="shared" si="19"/>
        <v>Rt.E.c</v>
      </c>
      <c r="G18" s="123" t="str">
        <f t="shared" si="19"/>
        <v>Rt.R.c</v>
      </c>
      <c r="H18" s="123" t="str">
        <f t="shared" si="19"/>
        <v>NEM.P.c</v>
      </c>
      <c r="I18" s="123" t="str">
        <f t="shared" si="19"/>
        <v>NEM.E.c</v>
      </c>
      <c r="J18" s="123" t="str">
        <f t="shared" si="19"/>
        <v>NEM.R.c</v>
      </c>
      <c r="K18" s="123" t="str">
        <f t="shared" si="19"/>
        <v/>
      </c>
      <c r="L18" s="123" t="str">
        <f t="shared" si="19"/>
        <v>wc.temp.ctd.c</v>
      </c>
      <c r="M18" s="123" t="str">
        <f t="shared" si="19"/>
        <v>wc.sal.ctd.c</v>
      </c>
      <c r="N18" s="123" t="str">
        <f t="shared" si="19"/>
        <v>wc.chl.a.c</v>
      </c>
      <c r="O18" s="123" t="str">
        <f t="shared" si="19"/>
        <v>I.avg.c</v>
      </c>
      <c r="P18" s="124" t="str">
        <f t="shared" si="19"/>
        <v>dsal.c</v>
      </c>
      <c r="Q18" s="44"/>
    </row>
    <row r="19" spans="1:17">
      <c r="B19" s="43"/>
      <c r="C19" s="43"/>
      <c r="D19" s="43"/>
      <c r="E19" s="43"/>
      <c r="F19" s="43"/>
      <c r="G19" s="43"/>
      <c r="H19" s="43"/>
      <c r="I19" s="43"/>
      <c r="J19" s="43"/>
      <c r="K19" s="43"/>
      <c r="L19" s="43"/>
      <c r="M19" s="43"/>
      <c r="N19" s="43"/>
      <c r="O19" s="43"/>
      <c r="P19" s="43"/>
    </row>
    <row r="20" spans="1:17" ht="17.399999999999999">
      <c r="A20" s="28" t="s">
        <v>36</v>
      </c>
    </row>
    <row r="21" spans="1:17" ht="26.4">
      <c r="A21" s="30"/>
      <c r="B21" s="122" t="str">
        <f t="shared" ref="B21:P21" si="20">IF(ISBLANK(B$2),"",B$2)</f>
        <v>Pg.P.C</v>
      </c>
      <c r="C21" s="123" t="str">
        <f t="shared" si="20"/>
        <v>Pg.E.C</v>
      </c>
      <c r="D21" s="123" t="str">
        <f t="shared" si="20"/>
        <v>Pg.R.c</v>
      </c>
      <c r="E21" s="123" t="str">
        <f t="shared" si="20"/>
        <v>Rt.P.c</v>
      </c>
      <c r="F21" s="123" t="str">
        <f t="shared" si="20"/>
        <v>Rt.E.c</v>
      </c>
      <c r="G21" s="123" t="str">
        <f t="shared" si="20"/>
        <v>Rt.R.c</v>
      </c>
      <c r="H21" s="123" t="str">
        <f t="shared" si="20"/>
        <v>NEM.P.c</v>
      </c>
      <c r="I21" s="123" t="str">
        <f t="shared" si="20"/>
        <v>NEM.E.c</v>
      </c>
      <c r="J21" s="123" t="str">
        <f t="shared" si="20"/>
        <v>NEM.R.c</v>
      </c>
      <c r="K21" s="123" t="str">
        <f t="shared" si="20"/>
        <v/>
      </c>
      <c r="L21" s="123" t="str">
        <f t="shared" si="20"/>
        <v>wc.temp.ctd.c</v>
      </c>
      <c r="M21" s="123" t="str">
        <f t="shared" si="20"/>
        <v>wc.sal.ctd.c</v>
      </c>
      <c r="N21" s="123" t="str">
        <f t="shared" si="20"/>
        <v>wc.chl.a.c</v>
      </c>
      <c r="O21" s="123" t="str">
        <f t="shared" si="20"/>
        <v>I.avg.c</v>
      </c>
      <c r="P21" s="124" t="str">
        <f t="shared" si="20"/>
        <v>dsal.c</v>
      </c>
      <c r="Q21" s="31"/>
    </row>
    <row r="22" spans="1:17">
      <c r="A22" s="32" t="str">
        <f t="shared" ref="A22:A36" si="21">A3</f>
        <v>Pg.P.C</v>
      </c>
      <c r="B22" s="46">
        <f t="array" aca="1" ref="B22" ca="1">SUM(ISNUMBER(INDIRECT($A22))*ISNUMBER(INDIRECT(B$21)))</f>
        <v>20</v>
      </c>
      <c r="C22" s="46">
        <f t="array" aca="1" ref="C22" ca="1">SUM(ISNUMBER(INDIRECT($A22))*ISNUMBER(INDIRECT(C$21)))</f>
        <v>20</v>
      </c>
      <c r="D22" s="46">
        <f t="array" aca="1" ref="D22" ca="1">SUM(ISNUMBER(INDIRECT($A22))*ISNUMBER(INDIRECT(D$21)))</f>
        <v>20</v>
      </c>
      <c r="E22" s="46">
        <f t="array" aca="1" ref="E22" ca="1">SUM(ISNUMBER(INDIRECT($A22))*ISNUMBER(INDIRECT(E$21)))</f>
        <v>20</v>
      </c>
      <c r="F22" s="46">
        <f t="array" aca="1" ref="F22" ca="1">SUM(ISNUMBER(INDIRECT($A22))*ISNUMBER(INDIRECT(F$21)))</f>
        <v>20</v>
      </c>
      <c r="G22" s="46">
        <f t="array" aca="1" ref="G22" ca="1">SUM(ISNUMBER(INDIRECT($A22))*ISNUMBER(INDIRECT(G$21)))</f>
        <v>20</v>
      </c>
      <c r="H22" s="46">
        <f t="array" aca="1" ref="H22" ca="1">SUM(ISNUMBER(INDIRECT($A22))*ISNUMBER(INDIRECT(H$21)))</f>
        <v>20</v>
      </c>
      <c r="I22" s="46">
        <f t="array" aca="1" ref="I22" ca="1">SUM(ISNUMBER(INDIRECT($A22))*ISNUMBER(INDIRECT(I$21)))</f>
        <v>20</v>
      </c>
      <c r="J22" s="46">
        <f t="array" aca="1" ref="J22" ca="1">SUM(ISNUMBER(INDIRECT($A22))*ISNUMBER(INDIRECT(J$21)))</f>
        <v>20</v>
      </c>
      <c r="K22" s="46">
        <f t="array" aca="1" ref="K22" ca="1">SUM(ISNUMBER(INDIRECT($A22))*ISNUMBER(INDIRECT(K$21)))</f>
        <v>0</v>
      </c>
      <c r="L22" s="46">
        <f t="array" aca="1" ref="L22" ca="1">SUM(ISNUMBER(INDIRECT($A22))*ISNUMBER(INDIRECT(L$21)))</f>
        <v>20</v>
      </c>
      <c r="M22" s="46">
        <f t="array" aca="1" ref="M22" ca="1">SUM(ISNUMBER(INDIRECT($A22))*ISNUMBER(INDIRECT(M$21)))</f>
        <v>20</v>
      </c>
      <c r="N22" s="46">
        <f t="array" aca="1" ref="N22" ca="1">SUM(ISNUMBER(INDIRECT($A22))*ISNUMBER(INDIRECT(N$21)))</f>
        <v>20</v>
      </c>
      <c r="O22" s="46">
        <f t="array" aca="1" ref="O22" ca="1">SUM(ISNUMBER(INDIRECT($A22))*ISNUMBER(INDIRECT(O$21)))</f>
        <v>20</v>
      </c>
      <c r="P22" s="47">
        <f t="array" aca="1" ref="P22" ca="1">SUM(ISNUMBER(INDIRECT($A22))*ISNUMBER(INDIRECT(P$21)))</f>
        <v>18</v>
      </c>
      <c r="Q22" s="118" t="str">
        <f t="shared" ref="Q22:Q36" si="22">A22</f>
        <v>Pg.P.C</v>
      </c>
    </row>
    <row r="23" spans="1:17">
      <c r="A23" s="39" t="str">
        <f t="shared" si="21"/>
        <v>Pg.E.C</v>
      </c>
      <c r="B23" s="48">
        <f t="array" aca="1" ref="B23" ca="1">SUM(ISNUMBER(INDIRECT($A23))*ISNUMBER(INDIRECT(B$21)))</f>
        <v>20</v>
      </c>
      <c r="C23" s="48">
        <f t="array" aca="1" ref="C23" ca="1">SUM(ISNUMBER(INDIRECT($A23))*ISNUMBER(INDIRECT(C$21)))</f>
        <v>20</v>
      </c>
      <c r="D23" s="48">
        <f t="array" aca="1" ref="D23" ca="1">SUM(ISNUMBER(INDIRECT($A23))*ISNUMBER(INDIRECT(D$21)))</f>
        <v>20</v>
      </c>
      <c r="E23" s="48">
        <f t="array" aca="1" ref="E23" ca="1">SUM(ISNUMBER(INDIRECT($A23))*ISNUMBER(INDIRECT(E$21)))</f>
        <v>20</v>
      </c>
      <c r="F23" s="48">
        <f t="array" aca="1" ref="F23" ca="1">SUM(ISNUMBER(INDIRECT($A23))*ISNUMBER(INDIRECT(F$21)))</f>
        <v>20</v>
      </c>
      <c r="G23" s="48">
        <f t="array" aca="1" ref="G23" ca="1">SUM(ISNUMBER(INDIRECT($A23))*ISNUMBER(INDIRECT(G$21)))</f>
        <v>20</v>
      </c>
      <c r="H23" s="48">
        <f t="array" aca="1" ref="H23" ca="1">SUM(ISNUMBER(INDIRECT($A23))*ISNUMBER(INDIRECT(H$21)))</f>
        <v>20</v>
      </c>
      <c r="I23" s="48">
        <f t="array" aca="1" ref="I23" ca="1">SUM(ISNUMBER(INDIRECT($A23))*ISNUMBER(INDIRECT(I$21)))</f>
        <v>20</v>
      </c>
      <c r="J23" s="48">
        <f t="array" aca="1" ref="J23" ca="1">SUM(ISNUMBER(INDIRECT($A23))*ISNUMBER(INDIRECT(J$21)))</f>
        <v>20</v>
      </c>
      <c r="K23" s="48">
        <f t="array" aca="1" ref="K23" ca="1">SUM(ISNUMBER(INDIRECT($A23))*ISNUMBER(INDIRECT(K$21)))</f>
        <v>0</v>
      </c>
      <c r="L23" s="48">
        <f t="array" aca="1" ref="L23" ca="1">SUM(ISNUMBER(INDIRECT($A23))*ISNUMBER(INDIRECT(L$21)))</f>
        <v>20</v>
      </c>
      <c r="M23" s="48">
        <f t="array" aca="1" ref="M23" ca="1">SUM(ISNUMBER(INDIRECT($A23))*ISNUMBER(INDIRECT(M$21)))</f>
        <v>20</v>
      </c>
      <c r="N23" s="48">
        <f t="array" aca="1" ref="N23" ca="1">SUM(ISNUMBER(INDIRECT($A23))*ISNUMBER(INDIRECT(N$21)))</f>
        <v>20</v>
      </c>
      <c r="O23" s="48">
        <f t="array" aca="1" ref="O23" ca="1">SUM(ISNUMBER(INDIRECT($A23))*ISNUMBER(INDIRECT(O$21)))</f>
        <v>20</v>
      </c>
      <c r="P23" s="49">
        <f t="array" aca="1" ref="P23" ca="1">SUM(ISNUMBER(INDIRECT($A23))*ISNUMBER(INDIRECT(P$21)))</f>
        <v>18</v>
      </c>
      <c r="Q23" s="119" t="str">
        <f t="shared" si="22"/>
        <v>Pg.E.C</v>
      </c>
    </row>
    <row r="24" spans="1:17">
      <c r="A24" s="32" t="str">
        <f t="shared" si="21"/>
        <v>Pg.R.c</v>
      </c>
      <c r="B24" s="50">
        <f t="array" aca="1" ref="B24" ca="1">SUM(ISNUMBER(INDIRECT($A24))*ISNUMBER(INDIRECT(B$21)))</f>
        <v>20</v>
      </c>
      <c r="C24" s="50">
        <f t="array" aca="1" ref="C24" ca="1">SUM(ISNUMBER(INDIRECT($A24))*ISNUMBER(INDIRECT(C$21)))</f>
        <v>20</v>
      </c>
      <c r="D24" s="50">
        <f t="array" aca="1" ref="D24" ca="1">SUM(ISNUMBER(INDIRECT($A24))*ISNUMBER(INDIRECT(D$21)))</f>
        <v>20</v>
      </c>
      <c r="E24" s="50">
        <f t="array" aca="1" ref="E24" ca="1">SUM(ISNUMBER(INDIRECT($A24))*ISNUMBER(INDIRECT(E$21)))</f>
        <v>20</v>
      </c>
      <c r="F24" s="50">
        <f t="array" aca="1" ref="F24" ca="1">SUM(ISNUMBER(INDIRECT($A24))*ISNUMBER(INDIRECT(F$21)))</f>
        <v>20</v>
      </c>
      <c r="G24" s="50">
        <f t="array" aca="1" ref="G24" ca="1">SUM(ISNUMBER(INDIRECT($A24))*ISNUMBER(INDIRECT(G$21)))</f>
        <v>20</v>
      </c>
      <c r="H24" s="50">
        <f t="array" aca="1" ref="H24" ca="1">SUM(ISNUMBER(INDIRECT($A24))*ISNUMBER(INDIRECT(H$21)))</f>
        <v>20</v>
      </c>
      <c r="I24" s="50">
        <f t="array" aca="1" ref="I24" ca="1">SUM(ISNUMBER(INDIRECT($A24))*ISNUMBER(INDIRECT(I$21)))</f>
        <v>20</v>
      </c>
      <c r="J24" s="50">
        <f t="array" aca="1" ref="J24" ca="1">SUM(ISNUMBER(INDIRECT($A24))*ISNUMBER(INDIRECT(J$21)))</f>
        <v>20</v>
      </c>
      <c r="K24" s="50">
        <f t="array" aca="1" ref="K24" ca="1">SUM(ISNUMBER(INDIRECT($A24))*ISNUMBER(INDIRECT(K$21)))</f>
        <v>0</v>
      </c>
      <c r="L24" s="50">
        <f t="array" aca="1" ref="L24" ca="1">SUM(ISNUMBER(INDIRECT($A24))*ISNUMBER(INDIRECT(L$21)))</f>
        <v>20</v>
      </c>
      <c r="M24" s="50">
        <f t="array" aca="1" ref="M24" ca="1">SUM(ISNUMBER(INDIRECT($A24))*ISNUMBER(INDIRECT(M$21)))</f>
        <v>20</v>
      </c>
      <c r="N24" s="50">
        <f t="array" aca="1" ref="N24" ca="1">SUM(ISNUMBER(INDIRECT($A24))*ISNUMBER(INDIRECT(N$21)))</f>
        <v>20</v>
      </c>
      <c r="O24" s="50">
        <f t="array" aca="1" ref="O24" ca="1">SUM(ISNUMBER(INDIRECT($A24))*ISNUMBER(INDIRECT(O$21)))</f>
        <v>20</v>
      </c>
      <c r="P24" s="51">
        <f t="array" aca="1" ref="P24" ca="1">SUM(ISNUMBER(INDIRECT($A24))*ISNUMBER(INDIRECT(P$21)))</f>
        <v>18</v>
      </c>
      <c r="Q24" s="120" t="str">
        <f t="shared" si="22"/>
        <v>Pg.R.c</v>
      </c>
    </row>
    <row r="25" spans="1:17">
      <c r="A25" s="39" t="str">
        <f t="shared" si="21"/>
        <v>Rt.P.c</v>
      </c>
      <c r="B25" s="48">
        <f t="array" aca="1" ref="B25" ca="1">SUM(ISNUMBER(INDIRECT($A25))*ISNUMBER(INDIRECT(B$21)))</f>
        <v>20</v>
      </c>
      <c r="C25" s="48">
        <f t="array" aca="1" ref="C25" ca="1">SUM(ISNUMBER(INDIRECT($A25))*ISNUMBER(INDIRECT(C$21)))</f>
        <v>20</v>
      </c>
      <c r="D25" s="48">
        <f t="array" aca="1" ref="D25" ca="1">SUM(ISNUMBER(INDIRECT($A25))*ISNUMBER(INDIRECT(D$21)))</f>
        <v>20</v>
      </c>
      <c r="E25" s="48">
        <f t="array" aca="1" ref="E25" ca="1">SUM(ISNUMBER(INDIRECT($A25))*ISNUMBER(INDIRECT(E$21)))</f>
        <v>20</v>
      </c>
      <c r="F25" s="48">
        <f t="array" aca="1" ref="F25" ca="1">SUM(ISNUMBER(INDIRECT($A25))*ISNUMBER(INDIRECT(F$21)))</f>
        <v>20</v>
      </c>
      <c r="G25" s="48">
        <f t="array" aca="1" ref="G25" ca="1">SUM(ISNUMBER(INDIRECT($A25))*ISNUMBER(INDIRECT(G$21)))</f>
        <v>20</v>
      </c>
      <c r="H25" s="48">
        <f t="array" aca="1" ref="H25" ca="1">SUM(ISNUMBER(INDIRECT($A25))*ISNUMBER(INDIRECT(H$21)))</f>
        <v>20</v>
      </c>
      <c r="I25" s="48">
        <f t="array" aca="1" ref="I25" ca="1">SUM(ISNUMBER(INDIRECT($A25))*ISNUMBER(INDIRECT(I$21)))</f>
        <v>20</v>
      </c>
      <c r="J25" s="48">
        <f t="array" aca="1" ref="J25" ca="1">SUM(ISNUMBER(INDIRECT($A25))*ISNUMBER(INDIRECT(J$21)))</f>
        <v>20</v>
      </c>
      <c r="K25" s="48">
        <f t="array" aca="1" ref="K25" ca="1">SUM(ISNUMBER(INDIRECT($A25))*ISNUMBER(INDIRECT(K$21)))</f>
        <v>0</v>
      </c>
      <c r="L25" s="48">
        <f t="array" aca="1" ref="L25" ca="1">SUM(ISNUMBER(INDIRECT($A25))*ISNUMBER(INDIRECT(L$21)))</f>
        <v>20</v>
      </c>
      <c r="M25" s="48">
        <f t="array" aca="1" ref="M25" ca="1">SUM(ISNUMBER(INDIRECT($A25))*ISNUMBER(INDIRECT(M$21)))</f>
        <v>20</v>
      </c>
      <c r="N25" s="48">
        <f t="array" aca="1" ref="N25" ca="1">SUM(ISNUMBER(INDIRECT($A25))*ISNUMBER(INDIRECT(N$21)))</f>
        <v>20</v>
      </c>
      <c r="O25" s="48">
        <f t="array" aca="1" ref="O25" ca="1">SUM(ISNUMBER(INDIRECT($A25))*ISNUMBER(INDIRECT(O$21)))</f>
        <v>20</v>
      </c>
      <c r="P25" s="49">
        <f t="array" aca="1" ref="P25" ca="1">SUM(ISNUMBER(INDIRECT($A25))*ISNUMBER(INDIRECT(P$21)))</f>
        <v>18</v>
      </c>
      <c r="Q25" s="119" t="str">
        <f t="shared" si="22"/>
        <v>Rt.P.c</v>
      </c>
    </row>
    <row r="26" spans="1:17">
      <c r="A26" s="32" t="str">
        <f t="shared" si="21"/>
        <v>Rt.E.c</v>
      </c>
      <c r="B26" s="50">
        <f t="array" aca="1" ref="B26" ca="1">SUM(ISNUMBER(INDIRECT($A26))*ISNUMBER(INDIRECT(B$21)))</f>
        <v>20</v>
      </c>
      <c r="C26" s="50">
        <f t="array" aca="1" ref="C26" ca="1">SUM(ISNUMBER(INDIRECT($A26))*ISNUMBER(INDIRECT(C$21)))</f>
        <v>20</v>
      </c>
      <c r="D26" s="50">
        <f t="array" aca="1" ref="D26" ca="1">SUM(ISNUMBER(INDIRECT($A26))*ISNUMBER(INDIRECT(D$21)))</f>
        <v>20</v>
      </c>
      <c r="E26" s="50">
        <f t="array" aca="1" ref="E26" ca="1">SUM(ISNUMBER(INDIRECT($A26))*ISNUMBER(INDIRECT(E$21)))</f>
        <v>20</v>
      </c>
      <c r="F26" s="50">
        <f t="array" aca="1" ref="F26" ca="1">SUM(ISNUMBER(INDIRECT($A26))*ISNUMBER(INDIRECT(F$21)))</f>
        <v>20</v>
      </c>
      <c r="G26" s="50">
        <f t="array" aca="1" ref="G26" ca="1">SUM(ISNUMBER(INDIRECT($A26))*ISNUMBER(INDIRECT(G$21)))</f>
        <v>20</v>
      </c>
      <c r="H26" s="50">
        <f t="array" aca="1" ref="H26" ca="1">SUM(ISNUMBER(INDIRECT($A26))*ISNUMBER(INDIRECT(H$21)))</f>
        <v>20</v>
      </c>
      <c r="I26" s="50">
        <f t="array" aca="1" ref="I26" ca="1">SUM(ISNUMBER(INDIRECT($A26))*ISNUMBER(INDIRECT(I$21)))</f>
        <v>20</v>
      </c>
      <c r="J26" s="50">
        <f t="array" aca="1" ref="J26" ca="1">SUM(ISNUMBER(INDIRECT($A26))*ISNUMBER(INDIRECT(J$21)))</f>
        <v>20</v>
      </c>
      <c r="K26" s="50">
        <f t="array" aca="1" ref="K26" ca="1">SUM(ISNUMBER(INDIRECT($A26))*ISNUMBER(INDIRECT(K$21)))</f>
        <v>0</v>
      </c>
      <c r="L26" s="50">
        <f t="array" aca="1" ref="L26" ca="1">SUM(ISNUMBER(INDIRECT($A26))*ISNUMBER(INDIRECT(L$21)))</f>
        <v>20</v>
      </c>
      <c r="M26" s="50">
        <f t="array" aca="1" ref="M26" ca="1">SUM(ISNUMBER(INDIRECT($A26))*ISNUMBER(INDIRECT(M$21)))</f>
        <v>20</v>
      </c>
      <c r="N26" s="50">
        <f t="array" aca="1" ref="N26" ca="1">SUM(ISNUMBER(INDIRECT($A26))*ISNUMBER(INDIRECT(N$21)))</f>
        <v>20</v>
      </c>
      <c r="O26" s="50">
        <f t="array" aca="1" ref="O26" ca="1">SUM(ISNUMBER(INDIRECT($A26))*ISNUMBER(INDIRECT(O$21)))</f>
        <v>20</v>
      </c>
      <c r="P26" s="51">
        <f t="array" aca="1" ref="P26" ca="1">SUM(ISNUMBER(INDIRECT($A26))*ISNUMBER(INDIRECT(P$21)))</f>
        <v>18</v>
      </c>
      <c r="Q26" s="120" t="str">
        <f t="shared" si="22"/>
        <v>Rt.E.c</v>
      </c>
    </row>
    <row r="27" spans="1:17">
      <c r="A27" s="39" t="str">
        <f t="shared" si="21"/>
        <v>Rt.R.c</v>
      </c>
      <c r="B27" s="48">
        <f t="array" aca="1" ref="B27" ca="1">SUM(ISNUMBER(INDIRECT($A27))*ISNUMBER(INDIRECT(B$21)))</f>
        <v>20</v>
      </c>
      <c r="C27" s="48">
        <f t="array" aca="1" ref="C27" ca="1">SUM(ISNUMBER(INDIRECT($A27))*ISNUMBER(INDIRECT(C$21)))</f>
        <v>20</v>
      </c>
      <c r="D27" s="48">
        <f t="array" aca="1" ref="D27" ca="1">SUM(ISNUMBER(INDIRECT($A27))*ISNUMBER(INDIRECT(D$21)))</f>
        <v>20</v>
      </c>
      <c r="E27" s="48">
        <f t="array" aca="1" ref="E27" ca="1">SUM(ISNUMBER(INDIRECT($A27))*ISNUMBER(INDIRECT(E$21)))</f>
        <v>20</v>
      </c>
      <c r="F27" s="48">
        <f t="array" aca="1" ref="F27" ca="1">SUM(ISNUMBER(INDIRECT($A27))*ISNUMBER(INDIRECT(F$21)))</f>
        <v>20</v>
      </c>
      <c r="G27" s="48">
        <f t="array" aca="1" ref="G27" ca="1">SUM(ISNUMBER(INDIRECT($A27))*ISNUMBER(INDIRECT(G$21)))</f>
        <v>20</v>
      </c>
      <c r="H27" s="48">
        <f t="array" aca="1" ref="H27" ca="1">SUM(ISNUMBER(INDIRECT($A27))*ISNUMBER(INDIRECT(H$21)))</f>
        <v>20</v>
      </c>
      <c r="I27" s="48">
        <f t="array" aca="1" ref="I27" ca="1">SUM(ISNUMBER(INDIRECT($A27))*ISNUMBER(INDIRECT(I$21)))</f>
        <v>20</v>
      </c>
      <c r="J27" s="48">
        <f t="array" aca="1" ref="J27" ca="1">SUM(ISNUMBER(INDIRECT($A27))*ISNUMBER(INDIRECT(J$21)))</f>
        <v>20</v>
      </c>
      <c r="K27" s="48">
        <f t="array" aca="1" ref="K27" ca="1">SUM(ISNUMBER(INDIRECT($A27))*ISNUMBER(INDIRECT(K$21)))</f>
        <v>0</v>
      </c>
      <c r="L27" s="48">
        <f t="array" aca="1" ref="L27" ca="1">SUM(ISNUMBER(INDIRECT($A27))*ISNUMBER(INDIRECT(L$21)))</f>
        <v>20</v>
      </c>
      <c r="M27" s="48">
        <f t="array" aca="1" ref="M27" ca="1">SUM(ISNUMBER(INDIRECT($A27))*ISNUMBER(INDIRECT(M$21)))</f>
        <v>20</v>
      </c>
      <c r="N27" s="48">
        <f t="array" aca="1" ref="N27" ca="1">SUM(ISNUMBER(INDIRECT($A27))*ISNUMBER(INDIRECT(N$21)))</f>
        <v>20</v>
      </c>
      <c r="O27" s="48">
        <f t="array" aca="1" ref="O27" ca="1">SUM(ISNUMBER(INDIRECT($A27))*ISNUMBER(INDIRECT(O$21)))</f>
        <v>20</v>
      </c>
      <c r="P27" s="49">
        <f t="array" aca="1" ref="P27" ca="1">SUM(ISNUMBER(INDIRECT($A27))*ISNUMBER(INDIRECT(P$21)))</f>
        <v>18</v>
      </c>
      <c r="Q27" s="119" t="str">
        <f t="shared" si="22"/>
        <v>Rt.R.c</v>
      </c>
    </row>
    <row r="28" spans="1:17">
      <c r="A28" s="32" t="str">
        <f t="shared" si="21"/>
        <v>NEM.P.c</v>
      </c>
      <c r="B28" s="50">
        <f t="array" aca="1" ref="B28" ca="1">SUM(ISNUMBER(INDIRECT($A28))*ISNUMBER(INDIRECT(B$21)))</f>
        <v>20</v>
      </c>
      <c r="C28" s="50">
        <f t="array" aca="1" ref="C28" ca="1">SUM(ISNUMBER(INDIRECT($A28))*ISNUMBER(INDIRECT(C$21)))</f>
        <v>20</v>
      </c>
      <c r="D28" s="50">
        <f t="array" aca="1" ref="D28" ca="1">SUM(ISNUMBER(INDIRECT($A28))*ISNUMBER(INDIRECT(D$21)))</f>
        <v>20</v>
      </c>
      <c r="E28" s="50">
        <f t="array" aca="1" ref="E28" ca="1">SUM(ISNUMBER(INDIRECT($A28))*ISNUMBER(INDIRECT(E$21)))</f>
        <v>20</v>
      </c>
      <c r="F28" s="50">
        <f t="array" aca="1" ref="F28" ca="1">SUM(ISNUMBER(INDIRECT($A28))*ISNUMBER(INDIRECT(F$21)))</f>
        <v>20</v>
      </c>
      <c r="G28" s="50">
        <f t="array" aca="1" ref="G28" ca="1">SUM(ISNUMBER(INDIRECT($A28))*ISNUMBER(INDIRECT(G$21)))</f>
        <v>20</v>
      </c>
      <c r="H28" s="50">
        <f t="array" aca="1" ref="H28" ca="1">SUM(ISNUMBER(INDIRECT($A28))*ISNUMBER(INDIRECT(H$21)))</f>
        <v>20</v>
      </c>
      <c r="I28" s="50">
        <f t="array" aca="1" ref="I28" ca="1">SUM(ISNUMBER(INDIRECT($A28))*ISNUMBER(INDIRECT(I$21)))</f>
        <v>20</v>
      </c>
      <c r="J28" s="50">
        <f t="array" aca="1" ref="J28" ca="1">SUM(ISNUMBER(INDIRECT($A28))*ISNUMBER(INDIRECT(J$21)))</f>
        <v>20</v>
      </c>
      <c r="K28" s="50">
        <f t="array" aca="1" ref="K28" ca="1">SUM(ISNUMBER(INDIRECT($A28))*ISNUMBER(INDIRECT(K$21)))</f>
        <v>0</v>
      </c>
      <c r="L28" s="50">
        <f t="array" aca="1" ref="L28" ca="1">SUM(ISNUMBER(INDIRECT($A28))*ISNUMBER(INDIRECT(L$21)))</f>
        <v>20</v>
      </c>
      <c r="M28" s="50">
        <f t="array" aca="1" ref="M28" ca="1">SUM(ISNUMBER(INDIRECT($A28))*ISNUMBER(INDIRECT(M$21)))</f>
        <v>20</v>
      </c>
      <c r="N28" s="50">
        <f t="array" aca="1" ref="N28" ca="1">SUM(ISNUMBER(INDIRECT($A28))*ISNUMBER(INDIRECT(N$21)))</f>
        <v>20</v>
      </c>
      <c r="O28" s="50">
        <f t="array" aca="1" ref="O28" ca="1">SUM(ISNUMBER(INDIRECT($A28))*ISNUMBER(INDIRECT(O$21)))</f>
        <v>20</v>
      </c>
      <c r="P28" s="51">
        <f t="array" aca="1" ref="P28" ca="1">SUM(ISNUMBER(INDIRECT($A28))*ISNUMBER(INDIRECT(P$21)))</f>
        <v>18</v>
      </c>
      <c r="Q28" s="120" t="str">
        <f t="shared" si="22"/>
        <v>NEM.P.c</v>
      </c>
    </row>
    <row r="29" spans="1:17">
      <c r="A29" s="39" t="str">
        <f t="shared" si="21"/>
        <v>NEM.E.c</v>
      </c>
      <c r="B29" s="48">
        <f t="array" aca="1" ref="B29" ca="1">SUM(ISNUMBER(INDIRECT($A29))*ISNUMBER(INDIRECT(B$21)))</f>
        <v>20</v>
      </c>
      <c r="C29" s="48">
        <f t="array" aca="1" ref="C29" ca="1">SUM(ISNUMBER(INDIRECT($A29))*ISNUMBER(INDIRECT(C$21)))</f>
        <v>20</v>
      </c>
      <c r="D29" s="48">
        <f t="array" aca="1" ref="D29" ca="1">SUM(ISNUMBER(INDIRECT($A29))*ISNUMBER(INDIRECT(D$21)))</f>
        <v>20</v>
      </c>
      <c r="E29" s="48">
        <f t="array" aca="1" ref="E29" ca="1">SUM(ISNUMBER(INDIRECT($A29))*ISNUMBER(INDIRECT(E$21)))</f>
        <v>20</v>
      </c>
      <c r="F29" s="48">
        <f t="array" aca="1" ref="F29" ca="1">SUM(ISNUMBER(INDIRECT($A29))*ISNUMBER(INDIRECT(F$21)))</f>
        <v>20</v>
      </c>
      <c r="G29" s="48">
        <f t="array" aca="1" ref="G29" ca="1">SUM(ISNUMBER(INDIRECT($A29))*ISNUMBER(INDIRECT(G$21)))</f>
        <v>20</v>
      </c>
      <c r="H29" s="48">
        <f t="array" aca="1" ref="H29" ca="1">SUM(ISNUMBER(INDIRECT($A29))*ISNUMBER(INDIRECT(H$21)))</f>
        <v>20</v>
      </c>
      <c r="I29" s="48">
        <f t="array" aca="1" ref="I29" ca="1">SUM(ISNUMBER(INDIRECT($A29))*ISNUMBER(INDIRECT(I$21)))</f>
        <v>20</v>
      </c>
      <c r="J29" s="48">
        <f t="array" aca="1" ref="J29" ca="1">SUM(ISNUMBER(INDIRECT($A29))*ISNUMBER(INDIRECT(J$21)))</f>
        <v>20</v>
      </c>
      <c r="K29" s="48">
        <f t="array" aca="1" ref="K29" ca="1">SUM(ISNUMBER(INDIRECT($A29))*ISNUMBER(INDIRECT(K$21)))</f>
        <v>0</v>
      </c>
      <c r="L29" s="48">
        <f t="array" aca="1" ref="L29" ca="1">SUM(ISNUMBER(INDIRECT($A29))*ISNUMBER(INDIRECT(L$21)))</f>
        <v>20</v>
      </c>
      <c r="M29" s="48">
        <f t="array" aca="1" ref="M29" ca="1">SUM(ISNUMBER(INDIRECT($A29))*ISNUMBER(INDIRECT(M$21)))</f>
        <v>20</v>
      </c>
      <c r="N29" s="48">
        <f t="array" aca="1" ref="N29" ca="1">SUM(ISNUMBER(INDIRECT($A29))*ISNUMBER(INDIRECT(N$21)))</f>
        <v>20</v>
      </c>
      <c r="O29" s="48">
        <f t="array" aca="1" ref="O29" ca="1">SUM(ISNUMBER(INDIRECT($A29))*ISNUMBER(INDIRECT(O$21)))</f>
        <v>20</v>
      </c>
      <c r="P29" s="49">
        <f t="array" aca="1" ref="P29" ca="1">SUM(ISNUMBER(INDIRECT($A29))*ISNUMBER(INDIRECT(P$21)))</f>
        <v>18</v>
      </c>
      <c r="Q29" s="119" t="str">
        <f t="shared" si="22"/>
        <v>NEM.E.c</v>
      </c>
    </row>
    <row r="30" spans="1:17">
      <c r="A30" s="32" t="str">
        <f t="shared" si="21"/>
        <v>NEM.R.c</v>
      </c>
      <c r="B30" s="50">
        <f t="array" aca="1" ref="B30" ca="1">SUM(ISNUMBER(INDIRECT($A30))*ISNUMBER(INDIRECT(B$21)))</f>
        <v>20</v>
      </c>
      <c r="C30" s="50">
        <f t="array" aca="1" ref="C30" ca="1">SUM(ISNUMBER(INDIRECT($A30))*ISNUMBER(INDIRECT(C$21)))</f>
        <v>20</v>
      </c>
      <c r="D30" s="50">
        <f t="array" aca="1" ref="D30" ca="1">SUM(ISNUMBER(INDIRECT($A30))*ISNUMBER(INDIRECT(D$21)))</f>
        <v>20</v>
      </c>
      <c r="E30" s="50">
        <f t="array" aca="1" ref="E30" ca="1">SUM(ISNUMBER(INDIRECT($A30))*ISNUMBER(INDIRECT(E$21)))</f>
        <v>20</v>
      </c>
      <c r="F30" s="50">
        <f t="array" aca="1" ref="F30" ca="1">SUM(ISNUMBER(INDIRECT($A30))*ISNUMBER(INDIRECT(F$21)))</f>
        <v>20</v>
      </c>
      <c r="G30" s="50">
        <f t="array" aca="1" ref="G30" ca="1">SUM(ISNUMBER(INDIRECT($A30))*ISNUMBER(INDIRECT(G$21)))</f>
        <v>20</v>
      </c>
      <c r="H30" s="50">
        <f t="array" aca="1" ref="H30" ca="1">SUM(ISNUMBER(INDIRECT($A30))*ISNUMBER(INDIRECT(H$21)))</f>
        <v>20</v>
      </c>
      <c r="I30" s="50">
        <f t="array" aca="1" ref="I30" ca="1">SUM(ISNUMBER(INDIRECT($A30))*ISNUMBER(INDIRECT(I$21)))</f>
        <v>20</v>
      </c>
      <c r="J30" s="50">
        <f t="array" aca="1" ref="J30" ca="1">SUM(ISNUMBER(INDIRECT($A30))*ISNUMBER(INDIRECT(J$21)))</f>
        <v>20</v>
      </c>
      <c r="K30" s="50">
        <f t="array" aca="1" ref="K30" ca="1">SUM(ISNUMBER(INDIRECT($A30))*ISNUMBER(INDIRECT(K$21)))</f>
        <v>0</v>
      </c>
      <c r="L30" s="50">
        <f t="array" aca="1" ref="L30" ca="1">SUM(ISNUMBER(INDIRECT($A30))*ISNUMBER(INDIRECT(L$21)))</f>
        <v>20</v>
      </c>
      <c r="M30" s="50">
        <f t="array" aca="1" ref="M30" ca="1">SUM(ISNUMBER(INDIRECT($A30))*ISNUMBER(INDIRECT(M$21)))</f>
        <v>20</v>
      </c>
      <c r="N30" s="50">
        <f t="array" aca="1" ref="N30" ca="1">SUM(ISNUMBER(INDIRECT($A30))*ISNUMBER(INDIRECT(N$21)))</f>
        <v>20</v>
      </c>
      <c r="O30" s="50">
        <f t="array" aca="1" ref="O30" ca="1">SUM(ISNUMBER(INDIRECT($A30))*ISNUMBER(INDIRECT(O$21)))</f>
        <v>20</v>
      </c>
      <c r="P30" s="51">
        <f t="array" aca="1" ref="P30" ca="1">SUM(ISNUMBER(INDIRECT($A30))*ISNUMBER(INDIRECT(P$21)))</f>
        <v>18</v>
      </c>
      <c r="Q30" s="120" t="str">
        <f t="shared" si="22"/>
        <v>NEM.R.c</v>
      </c>
    </row>
    <row r="31" spans="1:17">
      <c r="A31" s="39" t="str">
        <f t="shared" si="21"/>
        <v/>
      </c>
      <c r="B31" s="48">
        <f t="array" aca="1" ref="B31" ca="1">SUM(ISNUMBER(INDIRECT($A31))*ISNUMBER(INDIRECT(B$21)))</f>
        <v>0</v>
      </c>
      <c r="C31" s="48">
        <f t="array" aca="1" ref="C31" ca="1">SUM(ISNUMBER(INDIRECT($A31))*ISNUMBER(INDIRECT(C$21)))</f>
        <v>0</v>
      </c>
      <c r="D31" s="48">
        <f t="array" aca="1" ref="D31" ca="1">SUM(ISNUMBER(INDIRECT($A31))*ISNUMBER(INDIRECT(D$21)))</f>
        <v>0</v>
      </c>
      <c r="E31" s="48">
        <f t="array" aca="1" ref="E31" ca="1">SUM(ISNUMBER(INDIRECT($A31))*ISNUMBER(INDIRECT(E$21)))</f>
        <v>0</v>
      </c>
      <c r="F31" s="48">
        <f t="array" aca="1" ref="F31" ca="1">SUM(ISNUMBER(INDIRECT($A31))*ISNUMBER(INDIRECT(F$21)))</f>
        <v>0</v>
      </c>
      <c r="G31" s="48">
        <f t="array" aca="1" ref="G31" ca="1">SUM(ISNUMBER(INDIRECT($A31))*ISNUMBER(INDIRECT(G$21)))</f>
        <v>0</v>
      </c>
      <c r="H31" s="48">
        <f t="array" aca="1" ref="H31" ca="1">SUM(ISNUMBER(INDIRECT($A31))*ISNUMBER(INDIRECT(H$21)))</f>
        <v>0</v>
      </c>
      <c r="I31" s="48">
        <f t="array" aca="1" ref="I31" ca="1">SUM(ISNUMBER(INDIRECT($A31))*ISNUMBER(INDIRECT(I$21)))</f>
        <v>0</v>
      </c>
      <c r="J31" s="48">
        <f t="array" aca="1" ref="J31" ca="1">SUM(ISNUMBER(INDIRECT($A31))*ISNUMBER(INDIRECT(J$21)))</f>
        <v>0</v>
      </c>
      <c r="K31" s="48">
        <f t="array" aca="1" ref="K31" ca="1">SUM(ISNUMBER(INDIRECT($A31))*ISNUMBER(INDIRECT(K$21)))</f>
        <v>0</v>
      </c>
      <c r="L31" s="48">
        <f t="array" aca="1" ref="L31" ca="1">SUM(ISNUMBER(INDIRECT($A31))*ISNUMBER(INDIRECT(L$21)))</f>
        <v>0</v>
      </c>
      <c r="M31" s="48">
        <f t="array" aca="1" ref="M31" ca="1">SUM(ISNUMBER(INDIRECT($A31))*ISNUMBER(INDIRECT(M$21)))</f>
        <v>0</v>
      </c>
      <c r="N31" s="48">
        <f t="array" aca="1" ref="N31" ca="1">SUM(ISNUMBER(INDIRECT($A31))*ISNUMBER(INDIRECT(N$21)))</f>
        <v>0</v>
      </c>
      <c r="O31" s="48">
        <f t="array" aca="1" ref="O31" ca="1">SUM(ISNUMBER(INDIRECT($A31))*ISNUMBER(INDIRECT(O$21)))</f>
        <v>0</v>
      </c>
      <c r="P31" s="49">
        <f t="array" aca="1" ref="P31" ca="1">SUM(ISNUMBER(INDIRECT($A31))*ISNUMBER(INDIRECT(P$21)))</f>
        <v>0</v>
      </c>
      <c r="Q31" s="119" t="str">
        <f t="shared" si="22"/>
        <v/>
      </c>
    </row>
    <row r="32" spans="1:17">
      <c r="A32" s="32" t="str">
        <f t="shared" si="21"/>
        <v>wc.temp.ctd.c</v>
      </c>
      <c r="B32" s="50">
        <f t="array" aca="1" ref="B32" ca="1">SUM(ISNUMBER(INDIRECT($A32))*ISNUMBER(INDIRECT(B$21)))</f>
        <v>20</v>
      </c>
      <c r="C32" s="50">
        <f t="array" aca="1" ref="C32" ca="1">SUM(ISNUMBER(INDIRECT($A32))*ISNUMBER(INDIRECT(C$21)))</f>
        <v>20</v>
      </c>
      <c r="D32" s="50">
        <f t="array" aca="1" ref="D32" ca="1">SUM(ISNUMBER(INDIRECT($A32))*ISNUMBER(INDIRECT(D$21)))</f>
        <v>20</v>
      </c>
      <c r="E32" s="50">
        <f t="array" aca="1" ref="E32" ca="1">SUM(ISNUMBER(INDIRECT($A32))*ISNUMBER(INDIRECT(E$21)))</f>
        <v>20</v>
      </c>
      <c r="F32" s="50">
        <f t="array" aca="1" ref="F32" ca="1">SUM(ISNUMBER(INDIRECT($A32))*ISNUMBER(INDIRECT(F$21)))</f>
        <v>20</v>
      </c>
      <c r="G32" s="50">
        <f t="array" aca="1" ref="G32" ca="1">SUM(ISNUMBER(INDIRECT($A32))*ISNUMBER(INDIRECT(G$21)))</f>
        <v>20</v>
      </c>
      <c r="H32" s="50">
        <f t="array" aca="1" ref="H32" ca="1">SUM(ISNUMBER(INDIRECT($A32))*ISNUMBER(INDIRECT(H$21)))</f>
        <v>20</v>
      </c>
      <c r="I32" s="50">
        <f t="array" aca="1" ref="I32" ca="1">SUM(ISNUMBER(INDIRECT($A32))*ISNUMBER(INDIRECT(I$21)))</f>
        <v>20</v>
      </c>
      <c r="J32" s="50">
        <f t="array" aca="1" ref="J32" ca="1">SUM(ISNUMBER(INDIRECT($A32))*ISNUMBER(INDIRECT(J$21)))</f>
        <v>20</v>
      </c>
      <c r="K32" s="50">
        <f t="array" aca="1" ref="K32" ca="1">SUM(ISNUMBER(INDIRECT($A32))*ISNUMBER(INDIRECT(K$21)))</f>
        <v>0</v>
      </c>
      <c r="L32" s="50">
        <f t="array" aca="1" ref="L32" ca="1">SUM(ISNUMBER(INDIRECT($A32))*ISNUMBER(INDIRECT(L$21)))</f>
        <v>20</v>
      </c>
      <c r="M32" s="50">
        <f t="array" aca="1" ref="M32" ca="1">SUM(ISNUMBER(INDIRECT($A32))*ISNUMBER(INDIRECT(M$21)))</f>
        <v>20</v>
      </c>
      <c r="N32" s="50">
        <f t="array" aca="1" ref="N32" ca="1">SUM(ISNUMBER(INDIRECT($A32))*ISNUMBER(INDIRECT(N$21)))</f>
        <v>20</v>
      </c>
      <c r="O32" s="50">
        <f t="array" aca="1" ref="O32" ca="1">SUM(ISNUMBER(INDIRECT($A32))*ISNUMBER(INDIRECT(O$21)))</f>
        <v>20</v>
      </c>
      <c r="P32" s="51">
        <f t="array" aca="1" ref="P32" ca="1">SUM(ISNUMBER(INDIRECT($A32))*ISNUMBER(INDIRECT(P$21)))</f>
        <v>18</v>
      </c>
      <c r="Q32" s="120" t="str">
        <f t="shared" si="22"/>
        <v>wc.temp.ctd.c</v>
      </c>
    </row>
    <row r="33" spans="1:17">
      <c r="A33" s="39" t="str">
        <f t="shared" si="21"/>
        <v>wc.sal.ctd.c</v>
      </c>
      <c r="B33" s="48">
        <f t="array" aca="1" ref="B33" ca="1">SUM(ISNUMBER(INDIRECT($A33))*ISNUMBER(INDIRECT(B$21)))</f>
        <v>20</v>
      </c>
      <c r="C33" s="48">
        <f t="array" aca="1" ref="C33" ca="1">SUM(ISNUMBER(INDIRECT($A33))*ISNUMBER(INDIRECT(C$21)))</f>
        <v>20</v>
      </c>
      <c r="D33" s="48">
        <f t="array" aca="1" ref="D33" ca="1">SUM(ISNUMBER(INDIRECT($A33))*ISNUMBER(INDIRECT(D$21)))</f>
        <v>20</v>
      </c>
      <c r="E33" s="48">
        <f t="array" aca="1" ref="E33" ca="1">SUM(ISNUMBER(INDIRECT($A33))*ISNUMBER(INDIRECT(E$21)))</f>
        <v>20</v>
      </c>
      <c r="F33" s="48">
        <f t="array" aca="1" ref="F33" ca="1">SUM(ISNUMBER(INDIRECT($A33))*ISNUMBER(INDIRECT(F$21)))</f>
        <v>20</v>
      </c>
      <c r="G33" s="48">
        <f t="array" aca="1" ref="G33" ca="1">SUM(ISNUMBER(INDIRECT($A33))*ISNUMBER(INDIRECT(G$21)))</f>
        <v>20</v>
      </c>
      <c r="H33" s="48">
        <f t="array" aca="1" ref="H33" ca="1">SUM(ISNUMBER(INDIRECT($A33))*ISNUMBER(INDIRECT(H$21)))</f>
        <v>20</v>
      </c>
      <c r="I33" s="48">
        <f t="array" aca="1" ref="I33" ca="1">SUM(ISNUMBER(INDIRECT($A33))*ISNUMBER(INDIRECT(I$21)))</f>
        <v>20</v>
      </c>
      <c r="J33" s="48">
        <f t="array" aca="1" ref="J33" ca="1">SUM(ISNUMBER(INDIRECT($A33))*ISNUMBER(INDIRECT(J$21)))</f>
        <v>20</v>
      </c>
      <c r="K33" s="48">
        <f t="array" aca="1" ref="K33" ca="1">SUM(ISNUMBER(INDIRECT($A33))*ISNUMBER(INDIRECT(K$21)))</f>
        <v>0</v>
      </c>
      <c r="L33" s="48">
        <f t="array" aca="1" ref="L33" ca="1">SUM(ISNUMBER(INDIRECT($A33))*ISNUMBER(INDIRECT(L$21)))</f>
        <v>20</v>
      </c>
      <c r="M33" s="48">
        <f t="array" aca="1" ref="M33" ca="1">SUM(ISNUMBER(INDIRECT($A33))*ISNUMBER(INDIRECT(M$21)))</f>
        <v>20</v>
      </c>
      <c r="N33" s="48">
        <f t="array" aca="1" ref="N33" ca="1">SUM(ISNUMBER(INDIRECT($A33))*ISNUMBER(INDIRECT(N$21)))</f>
        <v>20</v>
      </c>
      <c r="O33" s="48">
        <f t="array" aca="1" ref="O33" ca="1">SUM(ISNUMBER(INDIRECT($A33))*ISNUMBER(INDIRECT(O$21)))</f>
        <v>20</v>
      </c>
      <c r="P33" s="49">
        <f t="array" aca="1" ref="P33" ca="1">SUM(ISNUMBER(INDIRECT($A33))*ISNUMBER(INDIRECT(P$21)))</f>
        <v>18</v>
      </c>
      <c r="Q33" s="119" t="str">
        <f t="shared" si="22"/>
        <v>wc.sal.ctd.c</v>
      </c>
    </row>
    <row r="34" spans="1:17">
      <c r="A34" s="32" t="str">
        <f t="shared" si="21"/>
        <v>wc.chl.a.c</v>
      </c>
      <c r="B34" s="50">
        <f t="array" aca="1" ref="B34" ca="1">SUM(ISNUMBER(INDIRECT($A34))*ISNUMBER(INDIRECT(B$21)))</f>
        <v>20</v>
      </c>
      <c r="C34" s="50">
        <f t="array" aca="1" ref="C34" ca="1">SUM(ISNUMBER(INDIRECT($A34))*ISNUMBER(INDIRECT(C$21)))</f>
        <v>20</v>
      </c>
      <c r="D34" s="50">
        <f t="array" aca="1" ref="D34" ca="1">SUM(ISNUMBER(INDIRECT($A34))*ISNUMBER(INDIRECT(D$21)))</f>
        <v>20</v>
      </c>
      <c r="E34" s="50">
        <f t="array" aca="1" ref="E34" ca="1">SUM(ISNUMBER(INDIRECT($A34))*ISNUMBER(INDIRECT(E$21)))</f>
        <v>20</v>
      </c>
      <c r="F34" s="50">
        <f t="array" aca="1" ref="F34" ca="1">SUM(ISNUMBER(INDIRECT($A34))*ISNUMBER(INDIRECT(F$21)))</f>
        <v>20</v>
      </c>
      <c r="G34" s="50">
        <f t="array" aca="1" ref="G34" ca="1">SUM(ISNUMBER(INDIRECT($A34))*ISNUMBER(INDIRECT(G$21)))</f>
        <v>20</v>
      </c>
      <c r="H34" s="50">
        <f t="array" aca="1" ref="H34" ca="1">SUM(ISNUMBER(INDIRECT($A34))*ISNUMBER(INDIRECT(H$21)))</f>
        <v>20</v>
      </c>
      <c r="I34" s="50">
        <f t="array" aca="1" ref="I34" ca="1">SUM(ISNUMBER(INDIRECT($A34))*ISNUMBER(INDIRECT(I$21)))</f>
        <v>20</v>
      </c>
      <c r="J34" s="50">
        <f t="array" aca="1" ref="J34" ca="1">SUM(ISNUMBER(INDIRECT($A34))*ISNUMBER(INDIRECT(J$21)))</f>
        <v>20</v>
      </c>
      <c r="K34" s="50">
        <f t="array" aca="1" ref="K34" ca="1">SUM(ISNUMBER(INDIRECT($A34))*ISNUMBER(INDIRECT(K$21)))</f>
        <v>0</v>
      </c>
      <c r="L34" s="50">
        <f t="array" aca="1" ref="L34" ca="1">SUM(ISNUMBER(INDIRECT($A34))*ISNUMBER(INDIRECT(L$21)))</f>
        <v>20</v>
      </c>
      <c r="M34" s="50">
        <f t="array" aca="1" ref="M34" ca="1">SUM(ISNUMBER(INDIRECT($A34))*ISNUMBER(INDIRECT(M$21)))</f>
        <v>20</v>
      </c>
      <c r="N34" s="50">
        <f t="array" aca="1" ref="N34" ca="1">SUM(ISNUMBER(INDIRECT($A34))*ISNUMBER(INDIRECT(N$21)))</f>
        <v>20</v>
      </c>
      <c r="O34" s="50">
        <f t="array" aca="1" ref="O34" ca="1">SUM(ISNUMBER(INDIRECT($A34))*ISNUMBER(INDIRECT(O$21)))</f>
        <v>20</v>
      </c>
      <c r="P34" s="51">
        <f t="array" aca="1" ref="P34" ca="1">SUM(ISNUMBER(INDIRECT($A34))*ISNUMBER(INDIRECT(P$21)))</f>
        <v>18</v>
      </c>
      <c r="Q34" s="120" t="str">
        <f t="shared" si="22"/>
        <v>wc.chl.a.c</v>
      </c>
    </row>
    <row r="35" spans="1:17">
      <c r="A35" s="39" t="str">
        <f t="shared" si="21"/>
        <v>I.avg.c</v>
      </c>
      <c r="B35" s="48">
        <f t="array" aca="1" ref="B35" ca="1">SUM(ISNUMBER(INDIRECT($A35))*ISNUMBER(INDIRECT(B$21)))</f>
        <v>20</v>
      </c>
      <c r="C35" s="48">
        <f t="array" aca="1" ref="C35" ca="1">SUM(ISNUMBER(INDIRECT($A35))*ISNUMBER(INDIRECT(C$21)))</f>
        <v>20</v>
      </c>
      <c r="D35" s="48">
        <f t="array" aca="1" ref="D35" ca="1">SUM(ISNUMBER(INDIRECT($A35))*ISNUMBER(INDIRECT(D$21)))</f>
        <v>20</v>
      </c>
      <c r="E35" s="48">
        <f t="array" aca="1" ref="E35" ca="1">SUM(ISNUMBER(INDIRECT($A35))*ISNUMBER(INDIRECT(E$21)))</f>
        <v>20</v>
      </c>
      <c r="F35" s="48">
        <f t="array" aca="1" ref="F35" ca="1">SUM(ISNUMBER(INDIRECT($A35))*ISNUMBER(INDIRECT(F$21)))</f>
        <v>20</v>
      </c>
      <c r="G35" s="48">
        <f t="array" aca="1" ref="G35" ca="1">SUM(ISNUMBER(INDIRECT($A35))*ISNUMBER(INDIRECT(G$21)))</f>
        <v>20</v>
      </c>
      <c r="H35" s="48">
        <f t="array" aca="1" ref="H35" ca="1">SUM(ISNUMBER(INDIRECT($A35))*ISNUMBER(INDIRECT(H$21)))</f>
        <v>20</v>
      </c>
      <c r="I35" s="48">
        <f t="array" aca="1" ref="I35" ca="1">SUM(ISNUMBER(INDIRECT($A35))*ISNUMBER(INDIRECT(I$21)))</f>
        <v>20</v>
      </c>
      <c r="J35" s="48">
        <f t="array" aca="1" ref="J35" ca="1">SUM(ISNUMBER(INDIRECT($A35))*ISNUMBER(INDIRECT(J$21)))</f>
        <v>20</v>
      </c>
      <c r="K35" s="48">
        <f t="array" aca="1" ref="K35" ca="1">SUM(ISNUMBER(INDIRECT($A35))*ISNUMBER(INDIRECT(K$21)))</f>
        <v>0</v>
      </c>
      <c r="L35" s="48">
        <f t="array" aca="1" ref="L35" ca="1">SUM(ISNUMBER(INDIRECT($A35))*ISNUMBER(INDIRECT(L$21)))</f>
        <v>20</v>
      </c>
      <c r="M35" s="48">
        <f t="array" aca="1" ref="M35" ca="1">SUM(ISNUMBER(INDIRECT($A35))*ISNUMBER(INDIRECT(M$21)))</f>
        <v>20</v>
      </c>
      <c r="N35" s="48">
        <f t="array" aca="1" ref="N35" ca="1">SUM(ISNUMBER(INDIRECT($A35))*ISNUMBER(INDIRECT(N$21)))</f>
        <v>20</v>
      </c>
      <c r="O35" s="48">
        <f t="array" aca="1" ref="O35" ca="1">SUM(ISNUMBER(INDIRECT($A35))*ISNUMBER(INDIRECT(O$21)))</f>
        <v>20</v>
      </c>
      <c r="P35" s="49">
        <f t="array" aca="1" ref="P35" ca="1">SUM(ISNUMBER(INDIRECT($A35))*ISNUMBER(INDIRECT(P$21)))</f>
        <v>18</v>
      </c>
      <c r="Q35" s="119" t="str">
        <f t="shared" si="22"/>
        <v>I.avg.c</v>
      </c>
    </row>
    <row r="36" spans="1:17">
      <c r="A36" s="40" t="str">
        <f t="shared" si="21"/>
        <v>dsal.c</v>
      </c>
      <c r="B36" s="52">
        <f t="array" aca="1" ref="B36" ca="1">SUM(ISNUMBER(INDIRECT($A36))*ISNUMBER(INDIRECT(B$21)))</f>
        <v>18</v>
      </c>
      <c r="C36" s="52">
        <f t="array" aca="1" ref="C36" ca="1">SUM(ISNUMBER(INDIRECT($A36))*ISNUMBER(INDIRECT(C$21)))</f>
        <v>18</v>
      </c>
      <c r="D36" s="52">
        <f t="array" aca="1" ref="D36" ca="1">SUM(ISNUMBER(INDIRECT($A36))*ISNUMBER(INDIRECT(D$21)))</f>
        <v>18</v>
      </c>
      <c r="E36" s="52">
        <f t="array" aca="1" ref="E36" ca="1">SUM(ISNUMBER(INDIRECT($A36))*ISNUMBER(INDIRECT(E$21)))</f>
        <v>18</v>
      </c>
      <c r="F36" s="52">
        <f t="array" aca="1" ref="F36" ca="1">SUM(ISNUMBER(INDIRECT($A36))*ISNUMBER(INDIRECT(F$21)))</f>
        <v>18</v>
      </c>
      <c r="G36" s="52">
        <f t="array" aca="1" ref="G36" ca="1">SUM(ISNUMBER(INDIRECT($A36))*ISNUMBER(INDIRECT(G$21)))</f>
        <v>18</v>
      </c>
      <c r="H36" s="52">
        <f t="array" aca="1" ref="H36" ca="1">SUM(ISNUMBER(INDIRECT($A36))*ISNUMBER(INDIRECT(H$21)))</f>
        <v>18</v>
      </c>
      <c r="I36" s="52">
        <f t="array" aca="1" ref="I36" ca="1">SUM(ISNUMBER(INDIRECT($A36))*ISNUMBER(INDIRECT(I$21)))</f>
        <v>18</v>
      </c>
      <c r="J36" s="52">
        <f t="array" aca="1" ref="J36" ca="1">SUM(ISNUMBER(INDIRECT($A36))*ISNUMBER(INDIRECT(J$21)))</f>
        <v>18</v>
      </c>
      <c r="K36" s="52">
        <f t="array" aca="1" ref="K36" ca="1">SUM(ISNUMBER(INDIRECT($A36))*ISNUMBER(INDIRECT(K$21)))</f>
        <v>0</v>
      </c>
      <c r="L36" s="52">
        <f t="array" aca="1" ref="L36" ca="1">SUM(ISNUMBER(INDIRECT($A36))*ISNUMBER(INDIRECT(L$21)))</f>
        <v>18</v>
      </c>
      <c r="M36" s="52">
        <f t="array" aca="1" ref="M36" ca="1">SUM(ISNUMBER(INDIRECT($A36))*ISNUMBER(INDIRECT(M$21)))</f>
        <v>18</v>
      </c>
      <c r="N36" s="52">
        <f t="array" aca="1" ref="N36" ca="1">SUM(ISNUMBER(INDIRECT($A36))*ISNUMBER(INDIRECT(N$21)))</f>
        <v>18</v>
      </c>
      <c r="O36" s="52">
        <f t="array" aca="1" ref="O36" ca="1">SUM(ISNUMBER(INDIRECT($A36))*ISNUMBER(INDIRECT(O$21)))</f>
        <v>18</v>
      </c>
      <c r="P36" s="53">
        <f t="array" aca="1" ref="P36" ca="1">SUM(ISNUMBER(INDIRECT($A36))*ISNUMBER(INDIRECT(P$21)))</f>
        <v>18</v>
      </c>
      <c r="Q36" s="121" t="str">
        <f t="shared" si="22"/>
        <v>dsal.c</v>
      </c>
    </row>
    <row r="37" spans="1:17" ht="26.4">
      <c r="A37" s="45"/>
      <c r="B37" s="122" t="str">
        <f t="shared" ref="B37:P37" si="23">IF(ISBLANK(B$2),"",B$2)</f>
        <v>Pg.P.C</v>
      </c>
      <c r="C37" s="123" t="str">
        <f t="shared" si="23"/>
        <v>Pg.E.C</v>
      </c>
      <c r="D37" s="123" t="str">
        <f t="shared" si="23"/>
        <v>Pg.R.c</v>
      </c>
      <c r="E37" s="123" t="str">
        <f t="shared" si="23"/>
        <v>Rt.P.c</v>
      </c>
      <c r="F37" s="123" t="str">
        <f t="shared" si="23"/>
        <v>Rt.E.c</v>
      </c>
      <c r="G37" s="123" t="str">
        <f t="shared" si="23"/>
        <v>Rt.R.c</v>
      </c>
      <c r="H37" s="123" t="str">
        <f t="shared" si="23"/>
        <v>NEM.P.c</v>
      </c>
      <c r="I37" s="123" t="str">
        <f t="shared" si="23"/>
        <v>NEM.E.c</v>
      </c>
      <c r="J37" s="123" t="str">
        <f t="shared" si="23"/>
        <v>NEM.R.c</v>
      </c>
      <c r="K37" s="123" t="str">
        <f t="shared" si="23"/>
        <v/>
      </c>
      <c r="L37" s="123" t="str">
        <f t="shared" si="23"/>
        <v>wc.temp.ctd.c</v>
      </c>
      <c r="M37" s="123" t="str">
        <f t="shared" si="23"/>
        <v>wc.sal.ctd.c</v>
      </c>
      <c r="N37" s="123" t="str">
        <f t="shared" si="23"/>
        <v>wc.chl.a.c</v>
      </c>
      <c r="O37" s="123" t="str">
        <f t="shared" si="23"/>
        <v>I.avg.c</v>
      </c>
      <c r="P37" s="124" t="str">
        <f t="shared" si="23"/>
        <v>dsal.c</v>
      </c>
      <c r="Q37" s="54"/>
    </row>
    <row r="38" spans="1:17">
      <c r="A38" s="43"/>
    </row>
    <row r="39" spans="1:17" ht="17.399999999999999">
      <c r="A39" s="55" t="s">
        <v>37</v>
      </c>
      <c r="B39" s="56"/>
      <c r="C39" s="57"/>
      <c r="D39" s="57"/>
      <c r="E39" s="57"/>
      <c r="F39" s="57"/>
      <c r="G39" s="57"/>
      <c r="H39" s="57"/>
      <c r="I39" s="57"/>
      <c r="J39" s="57"/>
      <c r="K39" s="57"/>
      <c r="L39" s="57"/>
      <c r="M39" s="57"/>
      <c r="N39" s="57"/>
      <c r="O39" s="57"/>
      <c r="P39" s="57"/>
    </row>
    <row r="40" spans="1:17" ht="26.4">
      <c r="A40" s="30"/>
      <c r="B40" s="122" t="str">
        <f t="shared" ref="B40:P40" si="24">IF(ISBLANK(B$2),"",B$2)</f>
        <v>Pg.P.C</v>
      </c>
      <c r="C40" s="123" t="str">
        <f t="shared" si="24"/>
        <v>Pg.E.C</v>
      </c>
      <c r="D40" s="123" t="str">
        <f t="shared" si="24"/>
        <v>Pg.R.c</v>
      </c>
      <c r="E40" s="123" t="str">
        <f t="shared" si="24"/>
        <v>Rt.P.c</v>
      </c>
      <c r="F40" s="123" t="str">
        <f t="shared" si="24"/>
        <v>Rt.E.c</v>
      </c>
      <c r="G40" s="123" t="str">
        <f t="shared" si="24"/>
        <v>Rt.R.c</v>
      </c>
      <c r="H40" s="123" t="str">
        <f t="shared" si="24"/>
        <v>NEM.P.c</v>
      </c>
      <c r="I40" s="123" t="str">
        <f t="shared" si="24"/>
        <v>NEM.E.c</v>
      </c>
      <c r="J40" s="123" t="str">
        <f t="shared" si="24"/>
        <v>NEM.R.c</v>
      </c>
      <c r="K40" s="123" t="str">
        <f t="shared" si="24"/>
        <v/>
      </c>
      <c r="L40" s="123" t="str">
        <f t="shared" si="24"/>
        <v>wc.temp.ctd.c</v>
      </c>
      <c r="M40" s="123" t="str">
        <f t="shared" si="24"/>
        <v>wc.sal.ctd.c</v>
      </c>
      <c r="N40" s="123" t="str">
        <f t="shared" si="24"/>
        <v>wc.chl.a.c</v>
      </c>
      <c r="O40" s="123" t="str">
        <f t="shared" si="24"/>
        <v>I.avg.c</v>
      </c>
      <c r="P40" s="124" t="str">
        <f t="shared" si="24"/>
        <v>dsal.c</v>
      </c>
      <c r="Q40" s="58"/>
    </row>
    <row r="41" spans="1:17">
      <c r="A41" s="32" t="str">
        <f t="shared" ref="A41:A55" si="25">A3</f>
        <v>Pg.P.C</v>
      </c>
      <c r="B41" s="59">
        <f t="shared" ref="B41:P41" ca="1" si="26">IF(ABS(B3)=1,0,TDIST(ABS((B3*SQRT((B22-2)/(1-B3^2)))),B22-2,2))</f>
        <v>0</v>
      </c>
      <c r="C41" s="59">
        <f t="shared" ca="1" si="26"/>
        <v>0.75841916870245896</v>
      </c>
      <c r="D41" s="59">
        <f t="shared" ca="1" si="26"/>
        <v>1.2738767641900538E-2</v>
      </c>
      <c r="E41" s="59">
        <f t="shared" ca="1" si="26"/>
        <v>0.34662780796704162</v>
      </c>
      <c r="F41" s="59">
        <f t="shared" ca="1" si="26"/>
        <v>0.70737537741703305</v>
      </c>
      <c r="G41" s="59">
        <f t="shared" ca="1" si="26"/>
        <v>0.34486509196673432</v>
      </c>
      <c r="H41" s="59">
        <f t="shared" ca="1" si="26"/>
        <v>2.9310801472901415E-11</v>
      </c>
      <c r="I41" s="59">
        <f t="shared" ca="1" si="26"/>
        <v>0.7581340727518312</v>
      </c>
      <c r="J41" s="59">
        <f t="shared" ca="1" si="26"/>
        <v>1.8402533310811195E-2</v>
      </c>
      <c r="K41" s="59" t="e">
        <f t="shared" ca="1" si="26"/>
        <v>#VALUE!</v>
      </c>
      <c r="L41" s="59">
        <f t="shared" ca="1" si="26"/>
        <v>0.13811218983411355</v>
      </c>
      <c r="M41" s="59">
        <f t="shared" ca="1" si="26"/>
        <v>0.41240926855307902</v>
      </c>
      <c r="N41" s="59">
        <f t="shared" ca="1" si="26"/>
        <v>6.2221861051241341E-9</v>
      </c>
      <c r="O41" s="59">
        <f t="shared" ca="1" si="26"/>
        <v>0.92725730266185269</v>
      </c>
      <c r="P41" s="60">
        <f t="shared" ca="1" si="26"/>
        <v>0.76645405890589824</v>
      </c>
      <c r="Q41" s="118" t="str">
        <f t="shared" ref="Q41:Q55" si="27">A41</f>
        <v>Pg.P.C</v>
      </c>
    </row>
    <row r="42" spans="1:17">
      <c r="A42" s="39" t="str">
        <f t="shared" si="25"/>
        <v>Pg.E.C</v>
      </c>
      <c r="B42" s="61">
        <f t="shared" ref="B42:P42" ca="1" si="28">IF(ABS(B4)=1,0,TDIST(ABS((B4*SQRT((B23-2)/(1-B4^2)))),B23-2,2))</f>
        <v>0.75841916870245896</v>
      </c>
      <c r="C42" s="62">
        <f t="shared" ca="1" si="28"/>
        <v>0</v>
      </c>
      <c r="D42" s="62">
        <f t="shared" ca="1" si="28"/>
        <v>2.7656133570402617E-5</v>
      </c>
      <c r="E42" s="62">
        <f t="shared" ca="1" si="28"/>
        <v>0.60556766457423583</v>
      </c>
      <c r="F42" s="62">
        <f t="shared" ca="1" si="28"/>
        <v>0.54698825454273936</v>
      </c>
      <c r="G42" s="62">
        <f t="shared" ca="1" si="28"/>
        <v>0.60739152360057758</v>
      </c>
      <c r="H42" s="62">
        <f t="shared" ca="1" si="28"/>
        <v>0.64116408084747489</v>
      </c>
      <c r="I42" s="62">
        <f t="shared" ca="1" si="28"/>
        <v>1.3678488922290767E-54</v>
      </c>
      <c r="J42" s="62">
        <f t="shared" ca="1" si="28"/>
        <v>2.7679656427654956E-5</v>
      </c>
      <c r="K42" s="62" t="e">
        <f t="shared" ca="1" si="28"/>
        <v>#VALUE!</v>
      </c>
      <c r="L42" s="62">
        <f t="shared" ca="1" si="28"/>
        <v>0.77353217722184231</v>
      </c>
      <c r="M42" s="62">
        <f t="shared" ca="1" si="28"/>
        <v>0.41576464878376429</v>
      </c>
      <c r="N42" s="62">
        <f t="shared" ca="1" si="28"/>
        <v>0.42338976092860048</v>
      </c>
      <c r="O42" s="62">
        <f t="shared" ca="1" si="28"/>
        <v>0.84298863276434355</v>
      </c>
      <c r="P42" s="63">
        <f t="shared" ca="1" si="28"/>
        <v>0.26523997937103155</v>
      </c>
      <c r="Q42" s="119" t="str">
        <f t="shared" si="27"/>
        <v>Pg.E.C</v>
      </c>
    </row>
    <row r="43" spans="1:17">
      <c r="A43" s="32" t="str">
        <f t="shared" si="25"/>
        <v>Pg.R.c</v>
      </c>
      <c r="B43" s="64">
        <f t="shared" ref="B43:P43" ca="1" si="29">IF(ABS(B5)=1,0,TDIST(ABS((B5*SQRT((B24-2)/(1-B5^2)))),B24-2,2))</f>
        <v>1.2738767641900538E-2</v>
      </c>
      <c r="C43" s="65">
        <f t="shared" ca="1" si="29"/>
        <v>2.7656133570402617E-5</v>
      </c>
      <c r="D43" s="65">
        <f t="shared" ca="1" si="29"/>
        <v>0</v>
      </c>
      <c r="E43" s="65">
        <f t="shared" ca="1" si="29"/>
        <v>0.31173350205358591</v>
      </c>
      <c r="F43" s="65">
        <f t="shared" ca="1" si="29"/>
        <v>0.78261810650970021</v>
      </c>
      <c r="G43" s="65">
        <f t="shared" ca="1" si="29"/>
        <v>0.31180956359315387</v>
      </c>
      <c r="H43" s="65">
        <f t="shared" ca="1" si="29"/>
        <v>2.8553457620288852E-2</v>
      </c>
      <c r="I43" s="65">
        <f t="shared" ca="1" si="29"/>
        <v>2.7716802498065857E-5</v>
      </c>
      <c r="J43" s="65">
        <f t="shared" ca="1" si="29"/>
        <v>3.5637643320542934E-15</v>
      </c>
      <c r="K43" s="65" t="e">
        <f t="shared" ca="1" si="29"/>
        <v>#VALUE!</v>
      </c>
      <c r="L43" s="65">
        <f t="shared" ca="1" si="29"/>
        <v>0.25610910537521958</v>
      </c>
      <c r="M43" s="65">
        <f t="shared" ca="1" si="29"/>
        <v>0.85414345032688099</v>
      </c>
      <c r="N43" s="65">
        <f t="shared" ca="1" si="29"/>
        <v>7.8752953397257228E-2</v>
      </c>
      <c r="O43" s="65">
        <f t="shared" ca="1" si="29"/>
        <v>0.82437559514927927</v>
      </c>
      <c r="P43" s="66">
        <f t="shared" ca="1" si="29"/>
        <v>0.45843913762953226</v>
      </c>
      <c r="Q43" s="120" t="str">
        <f t="shared" si="27"/>
        <v>Pg.R.c</v>
      </c>
    </row>
    <row r="44" spans="1:17">
      <c r="A44" s="39" t="str">
        <f t="shared" si="25"/>
        <v>Rt.P.c</v>
      </c>
      <c r="B44" s="61">
        <f t="shared" ref="B44:P44" ca="1" si="30">IF(ABS(B6)=1,0,TDIST(ABS((B6*SQRT((B25-2)/(1-B6^2)))),B25-2,2))</f>
        <v>0.34662780796704162</v>
      </c>
      <c r="C44" s="62">
        <f t="shared" ca="1" si="30"/>
        <v>0.60556766457423583</v>
      </c>
      <c r="D44" s="62">
        <f t="shared" ca="1" si="30"/>
        <v>0.31173350205358591</v>
      </c>
      <c r="E44" s="62">
        <f t="shared" ca="1" si="30"/>
        <v>0</v>
      </c>
      <c r="F44" s="62">
        <f t="shared" ca="1" si="30"/>
        <v>0.2854714033089325</v>
      </c>
      <c r="G44" s="62">
        <f t="shared" ca="1" si="30"/>
        <v>2.020165546446647E-42</v>
      </c>
      <c r="H44" s="62">
        <f t="shared" ca="1" si="30"/>
        <v>0.78606186416577561</v>
      </c>
      <c r="I44" s="62">
        <f t="shared" ca="1" si="30"/>
        <v>0.6047887899865334</v>
      </c>
      <c r="J44" s="62">
        <f t="shared" ca="1" si="30"/>
        <v>0.77957851636359621</v>
      </c>
      <c r="K44" s="62" t="e">
        <f t="shared" ca="1" si="30"/>
        <v>#VALUE!</v>
      </c>
      <c r="L44" s="62">
        <f t="shared" ca="1" si="30"/>
        <v>0.33572941944285684</v>
      </c>
      <c r="M44" s="62">
        <f t="shared" ca="1" si="30"/>
        <v>0.30323968253877764</v>
      </c>
      <c r="N44" s="62">
        <f t="shared" ca="1" si="30"/>
        <v>0.19855437152479322</v>
      </c>
      <c r="O44" s="62">
        <f t="shared" ca="1" si="30"/>
        <v>0.56614278581527655</v>
      </c>
      <c r="P44" s="63">
        <f t="shared" ca="1" si="30"/>
        <v>0.70462172780177346</v>
      </c>
      <c r="Q44" s="119" t="str">
        <f t="shared" si="27"/>
        <v>Rt.P.c</v>
      </c>
    </row>
    <row r="45" spans="1:17">
      <c r="A45" s="32" t="str">
        <f t="shared" si="25"/>
        <v>Rt.E.c</v>
      </c>
      <c r="B45" s="64">
        <f t="shared" ref="B45:P45" ca="1" si="31">IF(ABS(B7)=1,0,TDIST(ABS((B7*SQRT((B26-2)/(1-B7^2)))),B26-2,2))</f>
        <v>0.70737537741703305</v>
      </c>
      <c r="C45" s="65">
        <f t="shared" ca="1" si="31"/>
        <v>0.54698825454273936</v>
      </c>
      <c r="D45" s="65">
        <f t="shared" ca="1" si="31"/>
        <v>0.78261810650970021</v>
      </c>
      <c r="E45" s="65">
        <f t="shared" ca="1" si="31"/>
        <v>0.2854714033089325</v>
      </c>
      <c r="F45" s="65">
        <f t="shared" ca="1" si="31"/>
        <v>0</v>
      </c>
      <c r="G45" s="65">
        <f t="shared" ca="1" si="31"/>
        <v>0.29576014352125263</v>
      </c>
      <c r="H45" s="65">
        <f t="shared" ca="1" si="31"/>
        <v>0.48694135101021263</v>
      </c>
      <c r="I45" s="65">
        <f t="shared" ca="1" si="31"/>
        <v>0.54386450788585705</v>
      </c>
      <c r="J45" s="65">
        <f t="shared" ca="1" si="31"/>
        <v>0.920373482792046</v>
      </c>
      <c r="K45" s="65" t="e">
        <f t="shared" ca="1" si="31"/>
        <v>#VALUE!</v>
      </c>
      <c r="L45" s="65">
        <f t="shared" ca="1" si="31"/>
        <v>0.70025937102652014</v>
      </c>
      <c r="M45" s="65">
        <f t="shared" ca="1" si="31"/>
        <v>0.69084665469685536</v>
      </c>
      <c r="N45" s="65">
        <f t="shared" ca="1" si="31"/>
        <v>0.86548843114899654</v>
      </c>
      <c r="O45" s="65">
        <f t="shared" ca="1" si="31"/>
        <v>0.8834897070313199</v>
      </c>
      <c r="P45" s="66">
        <f t="shared" ca="1" si="31"/>
        <v>0.76255064632768876</v>
      </c>
      <c r="Q45" s="120" t="str">
        <f t="shared" si="27"/>
        <v>Rt.E.c</v>
      </c>
    </row>
    <row r="46" spans="1:17">
      <c r="A46" s="39" t="str">
        <f t="shared" si="25"/>
        <v>Rt.R.c</v>
      </c>
      <c r="B46" s="61">
        <f t="shared" ref="B46:P46" ca="1" si="32">IF(ABS(B8)=1,0,TDIST(ABS((B8*SQRT((B27-2)/(1-B8^2)))),B27-2,2))</f>
        <v>0.34486509196673432</v>
      </c>
      <c r="C46" s="62">
        <f t="shared" ca="1" si="32"/>
        <v>0.60739152360057758</v>
      </c>
      <c r="D46" s="62">
        <f t="shared" ca="1" si="32"/>
        <v>0.31180956359315387</v>
      </c>
      <c r="E46" s="62">
        <f t="shared" ca="1" si="32"/>
        <v>2.020165546446647E-42</v>
      </c>
      <c r="F46" s="62">
        <f t="shared" ca="1" si="32"/>
        <v>0.29576014352125263</v>
      </c>
      <c r="G46" s="62">
        <f t="shared" ca="1" si="32"/>
        <v>0</v>
      </c>
      <c r="H46" s="62">
        <f t="shared" ca="1" si="32"/>
        <v>0.78869464034062431</v>
      </c>
      <c r="I46" s="62">
        <f t="shared" ca="1" si="32"/>
        <v>0.60662853691736462</v>
      </c>
      <c r="J46" s="62">
        <f t="shared" ca="1" si="32"/>
        <v>0.77970689645905966</v>
      </c>
      <c r="K46" s="62" t="e">
        <f t="shared" ca="1" si="32"/>
        <v>#VALUE!</v>
      </c>
      <c r="L46" s="62">
        <f t="shared" ca="1" si="32"/>
        <v>0.33395757900698175</v>
      </c>
      <c r="M46" s="62">
        <f t="shared" ca="1" si="32"/>
        <v>0.30149598461365751</v>
      </c>
      <c r="N46" s="62">
        <f t="shared" ca="1" si="32"/>
        <v>0.19826122989853359</v>
      </c>
      <c r="O46" s="62">
        <f t="shared" ca="1" si="32"/>
        <v>0.56615987859218087</v>
      </c>
      <c r="P46" s="63">
        <f t="shared" ca="1" si="32"/>
        <v>0.70545884972359829</v>
      </c>
      <c r="Q46" s="119" t="str">
        <f t="shared" si="27"/>
        <v>Rt.R.c</v>
      </c>
    </row>
    <row r="47" spans="1:17">
      <c r="A47" s="32" t="str">
        <f t="shared" si="25"/>
        <v>NEM.P.c</v>
      </c>
      <c r="B47" s="64">
        <f t="shared" ref="B47:P47" ca="1" si="33">IF(ABS(B9)=1,0,TDIST(ABS((B9*SQRT((B28-2)/(1-B9^2)))),B28-2,2))</f>
        <v>2.9310801472901415E-11</v>
      </c>
      <c r="C47" s="65">
        <f t="shared" ca="1" si="33"/>
        <v>0.64116408084747489</v>
      </c>
      <c r="D47" s="65">
        <f t="shared" ca="1" si="33"/>
        <v>2.8553457620288852E-2</v>
      </c>
      <c r="E47" s="65">
        <f t="shared" ca="1" si="33"/>
        <v>0.78606186416577561</v>
      </c>
      <c r="F47" s="65">
        <f t="shared" ca="1" si="33"/>
        <v>0.48694135101021263</v>
      </c>
      <c r="G47" s="65">
        <f t="shared" ca="1" si="33"/>
        <v>0.78869464034062431</v>
      </c>
      <c r="H47" s="65">
        <f t="shared" ca="1" si="33"/>
        <v>0</v>
      </c>
      <c r="I47" s="65">
        <f t="shared" ca="1" si="33"/>
        <v>0.64065547554060887</v>
      </c>
      <c r="J47" s="65">
        <f t="shared" ca="1" si="33"/>
        <v>2.0407195455814795E-2</v>
      </c>
      <c r="K47" s="65" t="e">
        <f t="shared" ca="1" si="33"/>
        <v>#VALUE!</v>
      </c>
      <c r="L47" s="65">
        <f t="shared" ca="1" si="33"/>
        <v>0.2228293486576792</v>
      </c>
      <c r="M47" s="65">
        <f t="shared" ca="1" si="33"/>
        <v>0.59136388570304455</v>
      </c>
      <c r="N47" s="65">
        <f t="shared" ca="1" si="33"/>
        <v>1.3316477802103674E-6</v>
      </c>
      <c r="O47" s="65">
        <f t="shared" ca="1" si="33"/>
        <v>0.94149595290696597</v>
      </c>
      <c r="P47" s="66">
        <f t="shared" ca="1" si="33"/>
        <v>0.84618725794893357</v>
      </c>
      <c r="Q47" s="120" t="str">
        <f t="shared" si="27"/>
        <v>NEM.P.c</v>
      </c>
    </row>
    <row r="48" spans="1:17">
      <c r="A48" s="39" t="str">
        <f t="shared" si="25"/>
        <v>NEM.E.c</v>
      </c>
      <c r="B48" s="61">
        <f t="shared" ref="B48:P48" ca="1" si="34">IF(ABS(B10)=1,0,TDIST(ABS((B10*SQRT((B29-2)/(1-B10^2)))),B29-2,2))</f>
        <v>0.7581340727518312</v>
      </c>
      <c r="C48" s="62">
        <f t="shared" ca="1" si="34"/>
        <v>1.3678488922290767E-54</v>
      </c>
      <c r="D48" s="62">
        <f t="shared" ca="1" si="34"/>
        <v>2.7716802498065857E-5</v>
      </c>
      <c r="E48" s="62">
        <f t="shared" ca="1" si="34"/>
        <v>0.6047887899865334</v>
      </c>
      <c r="F48" s="62">
        <f t="shared" ca="1" si="34"/>
        <v>0.54386450788585705</v>
      </c>
      <c r="G48" s="62">
        <f t="shared" ca="1" si="34"/>
        <v>0.60662853691736462</v>
      </c>
      <c r="H48" s="62">
        <f t="shared" ca="1" si="34"/>
        <v>0.64065547554060887</v>
      </c>
      <c r="I48" s="62">
        <f t="shared" ca="1" si="34"/>
        <v>0</v>
      </c>
      <c r="J48" s="62">
        <f t="shared" ca="1" si="34"/>
        <v>2.7793049889883209E-5</v>
      </c>
      <c r="K48" s="62" t="e">
        <f t="shared" ca="1" si="34"/>
        <v>#VALUE!</v>
      </c>
      <c r="L48" s="62">
        <f t="shared" ca="1" si="34"/>
        <v>0.77390124928059856</v>
      </c>
      <c r="M48" s="62">
        <f t="shared" ca="1" si="34"/>
        <v>0.41557767892491848</v>
      </c>
      <c r="N48" s="62">
        <f t="shared" ca="1" si="34"/>
        <v>0.42358024156749297</v>
      </c>
      <c r="O48" s="62">
        <f t="shared" ca="1" si="34"/>
        <v>0.84288418381097485</v>
      </c>
      <c r="P48" s="63">
        <f t="shared" ca="1" si="34"/>
        <v>0.26547447298650473</v>
      </c>
      <c r="Q48" s="119" t="str">
        <f t="shared" si="27"/>
        <v>NEM.E.c</v>
      </c>
    </row>
    <row r="49" spans="1:17">
      <c r="A49" s="32" t="str">
        <f t="shared" si="25"/>
        <v>NEM.R.c</v>
      </c>
      <c r="B49" s="64">
        <f t="shared" ref="B49:P49" ca="1" si="35">IF(ABS(B11)=1,0,TDIST(ABS((B11*SQRT((B30-2)/(1-B11^2)))),B30-2,2))</f>
        <v>1.8402533310811195E-2</v>
      </c>
      <c r="C49" s="65">
        <f t="shared" ca="1" si="35"/>
        <v>2.7679656427654956E-5</v>
      </c>
      <c r="D49" s="65">
        <f t="shared" ca="1" si="35"/>
        <v>3.5637643320542934E-15</v>
      </c>
      <c r="E49" s="65">
        <f t="shared" ca="1" si="35"/>
        <v>0.77957851636359621</v>
      </c>
      <c r="F49" s="65">
        <f t="shared" ca="1" si="35"/>
        <v>0.920373482792046</v>
      </c>
      <c r="G49" s="65">
        <f t="shared" ca="1" si="35"/>
        <v>0.77970689645905966</v>
      </c>
      <c r="H49" s="65">
        <f t="shared" ca="1" si="35"/>
        <v>2.0407195455814795E-2</v>
      </c>
      <c r="I49" s="65">
        <f t="shared" ca="1" si="35"/>
        <v>2.7793049889883209E-5</v>
      </c>
      <c r="J49" s="65">
        <f t="shared" ca="1" si="35"/>
        <v>0</v>
      </c>
      <c r="K49" s="65" t="e">
        <f t="shared" ca="1" si="35"/>
        <v>#VALUE!</v>
      </c>
      <c r="L49" s="65">
        <f t="shared" ca="1" si="35"/>
        <v>0.32241731071176838</v>
      </c>
      <c r="M49" s="65">
        <f t="shared" ca="1" si="35"/>
        <v>0.71093668079832484</v>
      </c>
      <c r="N49" s="65">
        <f t="shared" ca="1" si="35"/>
        <v>0.11924866807387652</v>
      </c>
      <c r="O49" s="65">
        <f t="shared" ca="1" si="35"/>
        <v>0.89954570123128907</v>
      </c>
      <c r="P49" s="66">
        <f t="shared" ca="1" si="35"/>
        <v>0.40791015515800921</v>
      </c>
      <c r="Q49" s="120" t="str">
        <f t="shared" si="27"/>
        <v>NEM.R.c</v>
      </c>
    </row>
    <row r="50" spans="1:17">
      <c r="A50" s="39" t="str">
        <f t="shared" si="25"/>
        <v/>
      </c>
      <c r="B50" s="61" t="e">
        <f t="shared" ref="B50:P50" ca="1" si="36">IF(ABS(B12)=1,0,TDIST(ABS((B12*SQRT((B31-2)/(1-B12^2)))),B31-2,2))</f>
        <v>#VALUE!</v>
      </c>
      <c r="C50" s="62" t="e">
        <f t="shared" ca="1" si="36"/>
        <v>#VALUE!</v>
      </c>
      <c r="D50" s="62" t="e">
        <f t="shared" ca="1" si="36"/>
        <v>#VALUE!</v>
      </c>
      <c r="E50" s="62" t="e">
        <f t="shared" ca="1" si="36"/>
        <v>#VALUE!</v>
      </c>
      <c r="F50" s="62" t="e">
        <f t="shared" ca="1" si="36"/>
        <v>#VALUE!</v>
      </c>
      <c r="G50" s="62" t="e">
        <f t="shared" ca="1" si="36"/>
        <v>#VALUE!</v>
      </c>
      <c r="H50" s="62" t="e">
        <f t="shared" ca="1" si="36"/>
        <v>#VALUE!</v>
      </c>
      <c r="I50" s="62" t="e">
        <f t="shared" ca="1" si="36"/>
        <v>#VALUE!</v>
      </c>
      <c r="J50" s="62" t="e">
        <f t="shared" ca="1" si="36"/>
        <v>#VALUE!</v>
      </c>
      <c r="K50" s="62" t="e">
        <f t="shared" ca="1" si="36"/>
        <v>#VALUE!</v>
      </c>
      <c r="L50" s="62" t="e">
        <f t="shared" ca="1" si="36"/>
        <v>#VALUE!</v>
      </c>
      <c r="M50" s="62" t="e">
        <f t="shared" ca="1" si="36"/>
        <v>#VALUE!</v>
      </c>
      <c r="N50" s="62" t="e">
        <f t="shared" ca="1" si="36"/>
        <v>#VALUE!</v>
      </c>
      <c r="O50" s="62" t="e">
        <f t="shared" ca="1" si="36"/>
        <v>#VALUE!</v>
      </c>
      <c r="P50" s="63" t="e">
        <f t="shared" ca="1" si="36"/>
        <v>#VALUE!</v>
      </c>
      <c r="Q50" s="119" t="str">
        <f t="shared" si="27"/>
        <v/>
      </c>
    </row>
    <row r="51" spans="1:17">
      <c r="A51" s="32" t="str">
        <f t="shared" si="25"/>
        <v>wc.temp.ctd.c</v>
      </c>
      <c r="B51" s="64">
        <f t="shared" ref="B51:P51" ca="1" si="37">IF(ABS(B13)=1,0,TDIST(ABS((B13*SQRT((B32-2)/(1-B13^2)))),B32-2,2))</f>
        <v>0.13811218983411355</v>
      </c>
      <c r="C51" s="65">
        <f t="shared" ca="1" si="37"/>
        <v>0.77353217722184231</v>
      </c>
      <c r="D51" s="65">
        <f t="shared" ca="1" si="37"/>
        <v>0.25610910537521958</v>
      </c>
      <c r="E51" s="65">
        <f t="shared" ca="1" si="37"/>
        <v>0.33572941944285684</v>
      </c>
      <c r="F51" s="65">
        <f t="shared" ca="1" si="37"/>
        <v>0.70025937102652014</v>
      </c>
      <c r="G51" s="65">
        <f t="shared" ca="1" si="37"/>
        <v>0.33395757900698175</v>
      </c>
      <c r="H51" s="65">
        <f t="shared" ca="1" si="37"/>
        <v>0.2228293486576792</v>
      </c>
      <c r="I51" s="65">
        <f t="shared" ca="1" si="37"/>
        <v>0.77390124928059856</v>
      </c>
      <c r="J51" s="65">
        <f t="shared" ca="1" si="37"/>
        <v>0.32241731071176838</v>
      </c>
      <c r="K51" s="65" t="e">
        <f t="shared" ca="1" si="37"/>
        <v>#VALUE!</v>
      </c>
      <c r="L51" s="65">
        <f t="shared" ca="1" si="37"/>
        <v>0</v>
      </c>
      <c r="M51" s="65">
        <f t="shared" ca="1" si="37"/>
        <v>0.73118204693370648</v>
      </c>
      <c r="N51" s="65">
        <f t="shared" ca="1" si="37"/>
        <v>0.19638562296534548</v>
      </c>
      <c r="O51" s="65">
        <f t="shared" ca="1" si="37"/>
        <v>0.42501529246189074</v>
      </c>
      <c r="P51" s="66">
        <f t="shared" ca="1" si="37"/>
        <v>0.16031987395458103</v>
      </c>
      <c r="Q51" s="120" t="str">
        <f t="shared" si="27"/>
        <v>wc.temp.ctd.c</v>
      </c>
    </row>
    <row r="52" spans="1:17">
      <c r="A52" s="39" t="str">
        <f t="shared" si="25"/>
        <v>wc.sal.ctd.c</v>
      </c>
      <c r="B52" s="61">
        <f t="shared" ref="B52:P52" ca="1" si="38">IF(ABS(B14)=1,0,TDIST(ABS((B14*SQRT((B33-2)/(1-B14^2)))),B33-2,2))</f>
        <v>0.41240926855307902</v>
      </c>
      <c r="C52" s="62">
        <f t="shared" ca="1" si="38"/>
        <v>0.41576464878376429</v>
      </c>
      <c r="D52" s="62">
        <f t="shared" ca="1" si="38"/>
        <v>0.85414345032688099</v>
      </c>
      <c r="E52" s="62">
        <f t="shared" ca="1" si="38"/>
        <v>0.30323968253877764</v>
      </c>
      <c r="F52" s="62">
        <f t="shared" ca="1" si="38"/>
        <v>0.69084665469685536</v>
      </c>
      <c r="G52" s="62">
        <f t="shared" ca="1" si="38"/>
        <v>0.30149598461365751</v>
      </c>
      <c r="H52" s="62">
        <f t="shared" ca="1" si="38"/>
        <v>0.59136388570304455</v>
      </c>
      <c r="I52" s="62">
        <f t="shared" ca="1" si="38"/>
        <v>0.41557767892491848</v>
      </c>
      <c r="J52" s="62">
        <f t="shared" ca="1" si="38"/>
        <v>0.71093668079832484</v>
      </c>
      <c r="K52" s="62" t="e">
        <f t="shared" ca="1" si="38"/>
        <v>#VALUE!</v>
      </c>
      <c r="L52" s="62">
        <f t="shared" ca="1" si="38"/>
        <v>0.73118204693370648</v>
      </c>
      <c r="M52" s="62">
        <f t="shared" ca="1" si="38"/>
        <v>0</v>
      </c>
      <c r="N52" s="62">
        <f t="shared" ca="1" si="38"/>
        <v>0.36097013627256291</v>
      </c>
      <c r="O52" s="62">
        <f t="shared" ca="1" si="38"/>
        <v>2.1691774960672466E-2</v>
      </c>
      <c r="P52" s="63">
        <f t="shared" ca="1" si="38"/>
        <v>0.30586101353234851</v>
      </c>
      <c r="Q52" s="119" t="str">
        <f t="shared" si="27"/>
        <v>wc.sal.ctd.c</v>
      </c>
    </row>
    <row r="53" spans="1:17">
      <c r="A53" s="32" t="str">
        <f t="shared" si="25"/>
        <v>wc.chl.a.c</v>
      </c>
      <c r="B53" s="64">
        <f t="shared" ref="B53:P53" ca="1" si="39">IF(ABS(B15)=1,0,TDIST(ABS((B15*SQRT((B34-2)/(1-B15^2)))),B34-2,2))</f>
        <v>6.2221861051241341E-9</v>
      </c>
      <c r="C53" s="65">
        <f t="shared" ca="1" si="39"/>
        <v>0.42338976092860048</v>
      </c>
      <c r="D53" s="65">
        <f t="shared" ca="1" si="39"/>
        <v>7.8752953397257228E-2</v>
      </c>
      <c r="E53" s="65">
        <f t="shared" ca="1" si="39"/>
        <v>0.19855437152479322</v>
      </c>
      <c r="F53" s="65">
        <f t="shared" ca="1" si="39"/>
        <v>0.86548843114899654</v>
      </c>
      <c r="G53" s="65">
        <f t="shared" ca="1" si="39"/>
        <v>0.19826122989853359</v>
      </c>
      <c r="H53" s="65">
        <f t="shared" ca="1" si="39"/>
        <v>1.3316477802103674E-6</v>
      </c>
      <c r="I53" s="65">
        <f t="shared" ca="1" si="39"/>
        <v>0.42358024156749297</v>
      </c>
      <c r="J53" s="65">
        <f t="shared" ca="1" si="39"/>
        <v>0.11924866807387652</v>
      </c>
      <c r="K53" s="65" t="e">
        <f t="shared" ca="1" si="39"/>
        <v>#VALUE!</v>
      </c>
      <c r="L53" s="65">
        <f t="shared" ca="1" si="39"/>
        <v>0.19638562296534548</v>
      </c>
      <c r="M53" s="65">
        <f t="shared" ca="1" si="39"/>
        <v>0.36097013627256291</v>
      </c>
      <c r="N53" s="65">
        <f t="shared" ca="1" si="39"/>
        <v>0</v>
      </c>
      <c r="O53" s="65">
        <f t="shared" ca="1" si="39"/>
        <v>0.60755765981143761</v>
      </c>
      <c r="P53" s="66">
        <f t="shared" ca="1" si="39"/>
        <v>0.33471423876214457</v>
      </c>
      <c r="Q53" s="120" t="str">
        <f t="shared" si="27"/>
        <v>wc.chl.a.c</v>
      </c>
    </row>
    <row r="54" spans="1:17">
      <c r="A54" s="39" t="str">
        <f t="shared" si="25"/>
        <v>I.avg.c</v>
      </c>
      <c r="B54" s="61">
        <f t="shared" ref="B54:P54" ca="1" si="40">IF(ABS(B16)=1,0,TDIST(ABS((B16*SQRT((B35-2)/(1-B16^2)))),B35-2,2))</f>
        <v>0.92725730266185269</v>
      </c>
      <c r="C54" s="62">
        <f t="shared" ca="1" si="40"/>
        <v>0.84298863276434355</v>
      </c>
      <c r="D54" s="62">
        <f t="shared" ca="1" si="40"/>
        <v>0.82437559514927927</v>
      </c>
      <c r="E54" s="62">
        <f t="shared" ca="1" si="40"/>
        <v>0.56614278581527655</v>
      </c>
      <c r="F54" s="62">
        <f t="shared" ca="1" si="40"/>
        <v>0.8834897070313199</v>
      </c>
      <c r="G54" s="62">
        <f t="shared" ca="1" si="40"/>
        <v>0.56615987859218087</v>
      </c>
      <c r="H54" s="62">
        <f t="shared" ca="1" si="40"/>
        <v>0.94149595290696597</v>
      </c>
      <c r="I54" s="62">
        <f t="shared" ca="1" si="40"/>
        <v>0.84288418381097485</v>
      </c>
      <c r="J54" s="62">
        <f t="shared" ca="1" si="40"/>
        <v>0.89954570123128907</v>
      </c>
      <c r="K54" s="62" t="e">
        <f t="shared" ca="1" si="40"/>
        <v>#VALUE!</v>
      </c>
      <c r="L54" s="62">
        <f t="shared" ca="1" si="40"/>
        <v>0.42501529246189074</v>
      </c>
      <c r="M54" s="62">
        <f t="shared" ca="1" si="40"/>
        <v>2.1691774960672466E-2</v>
      </c>
      <c r="N54" s="62">
        <f t="shared" ca="1" si="40"/>
        <v>0.60755765981143761</v>
      </c>
      <c r="O54" s="62">
        <f t="shared" ca="1" si="40"/>
        <v>0</v>
      </c>
      <c r="P54" s="63">
        <f t="shared" ca="1" si="40"/>
        <v>3.2890671899425414E-3</v>
      </c>
      <c r="Q54" s="119" t="str">
        <f t="shared" si="27"/>
        <v>I.avg.c</v>
      </c>
    </row>
    <row r="55" spans="1:17">
      <c r="A55" s="40" t="str">
        <f t="shared" si="25"/>
        <v>dsal.c</v>
      </c>
      <c r="B55" s="67">
        <f t="shared" ref="B55:P55" ca="1" si="41">IF(ABS(B17)=1,0,TDIST(ABS((B17*SQRT((B36-2)/(1-B17^2)))),B36-2,2))</f>
        <v>0.76645405890589824</v>
      </c>
      <c r="C55" s="68">
        <f t="shared" ca="1" si="41"/>
        <v>0.26523997937103155</v>
      </c>
      <c r="D55" s="68">
        <f t="shared" ca="1" si="41"/>
        <v>0.45843913762953226</v>
      </c>
      <c r="E55" s="68">
        <f t="shared" ca="1" si="41"/>
        <v>0.70462172780177346</v>
      </c>
      <c r="F55" s="68">
        <f t="shared" ca="1" si="41"/>
        <v>0.76255064632768876</v>
      </c>
      <c r="G55" s="68">
        <f t="shared" ca="1" si="41"/>
        <v>0.70545884972359829</v>
      </c>
      <c r="H55" s="68">
        <f t="shared" ca="1" si="41"/>
        <v>0.84618725794893357</v>
      </c>
      <c r="I55" s="68">
        <f t="shared" ca="1" si="41"/>
        <v>0.26547447298650473</v>
      </c>
      <c r="J55" s="68">
        <f t="shared" ca="1" si="41"/>
        <v>0.40791015515800921</v>
      </c>
      <c r="K55" s="68" t="e">
        <f t="shared" ca="1" si="41"/>
        <v>#VALUE!</v>
      </c>
      <c r="L55" s="68">
        <f t="shared" ca="1" si="41"/>
        <v>0.16031987395458103</v>
      </c>
      <c r="M55" s="68">
        <f t="shared" ca="1" si="41"/>
        <v>0.30586101353234851</v>
      </c>
      <c r="N55" s="68">
        <f t="shared" ca="1" si="41"/>
        <v>0.33471423876214457</v>
      </c>
      <c r="O55" s="68">
        <f t="shared" ca="1" si="41"/>
        <v>3.2890671899425414E-3</v>
      </c>
      <c r="P55" s="69">
        <f t="shared" ca="1" si="41"/>
        <v>0</v>
      </c>
      <c r="Q55" s="121" t="str">
        <f t="shared" si="27"/>
        <v>dsal.c</v>
      </c>
    </row>
    <row r="56" spans="1:17" ht="26.4">
      <c r="A56" s="45"/>
      <c r="B56" s="122" t="str">
        <f t="shared" ref="B56:P56" si="42">IF(ISBLANK(B$2),"",B$2)</f>
        <v>Pg.P.C</v>
      </c>
      <c r="C56" s="123" t="str">
        <f t="shared" si="42"/>
        <v>Pg.E.C</v>
      </c>
      <c r="D56" s="123" t="str">
        <f t="shared" si="42"/>
        <v>Pg.R.c</v>
      </c>
      <c r="E56" s="123" t="str">
        <f t="shared" si="42"/>
        <v>Rt.P.c</v>
      </c>
      <c r="F56" s="123" t="str">
        <f t="shared" si="42"/>
        <v>Rt.E.c</v>
      </c>
      <c r="G56" s="123" t="str">
        <f t="shared" si="42"/>
        <v>Rt.R.c</v>
      </c>
      <c r="H56" s="123" t="str">
        <f t="shared" si="42"/>
        <v>NEM.P.c</v>
      </c>
      <c r="I56" s="123" t="str">
        <f t="shared" si="42"/>
        <v>NEM.E.c</v>
      </c>
      <c r="J56" s="123" t="str">
        <f t="shared" si="42"/>
        <v>NEM.R.c</v>
      </c>
      <c r="K56" s="123" t="str">
        <f t="shared" si="42"/>
        <v/>
      </c>
      <c r="L56" s="123" t="str">
        <f t="shared" si="42"/>
        <v>wc.temp.ctd.c</v>
      </c>
      <c r="M56" s="123" t="str">
        <f t="shared" si="42"/>
        <v>wc.sal.ctd.c</v>
      </c>
      <c r="N56" s="123" t="str">
        <f t="shared" si="42"/>
        <v>wc.chl.a.c</v>
      </c>
      <c r="O56" s="123" t="str">
        <f t="shared" si="42"/>
        <v>I.avg.c</v>
      </c>
      <c r="P56" s="124" t="str">
        <f t="shared" si="42"/>
        <v>dsal.c</v>
      </c>
      <c r="Q56" s="70"/>
    </row>
    <row r="57" spans="1:17">
      <c r="A57" s="110"/>
    </row>
    <row r="58" spans="1:17">
      <c r="A58" s="110"/>
    </row>
    <row r="59" spans="1:17">
      <c r="A59" s="110"/>
    </row>
    <row r="60" spans="1:17">
      <c r="A60" s="110"/>
    </row>
    <row r="61" spans="1:17">
      <c r="A61" s="110"/>
    </row>
    <row r="62" spans="1:17">
      <c r="A62" s="110"/>
    </row>
    <row r="63" spans="1:17">
      <c r="A63" s="110"/>
    </row>
    <row r="64" spans="1:17">
      <c r="A64" s="110"/>
    </row>
    <row r="65" spans="1:1">
      <c r="A65" s="110"/>
    </row>
    <row r="66" spans="1:1">
      <c r="A66" s="110"/>
    </row>
    <row r="67" spans="1:1">
      <c r="A67" s="110"/>
    </row>
    <row r="68" spans="1:1">
      <c r="A68" s="110"/>
    </row>
    <row r="69" spans="1:1">
      <c r="A69" s="110"/>
    </row>
    <row r="70" spans="1:1">
      <c r="A70" s="110"/>
    </row>
  </sheetData>
  <sheetProtection sheet="1" objects="1" scenarios="1" formatColumns="0"/>
  <dataConsolidate/>
  <phoneticPr fontId="0" type="noConversion"/>
  <conditionalFormatting sqref="Q56:Q75 B38:P38">
    <cfRule type="cellIs" dxfId="15" priority="1" stopIfTrue="1" operator="between">
      <formula>0.01</formula>
      <formula>0.05</formula>
    </cfRule>
    <cfRule type="cellIs" dxfId="14" priority="2" stopIfTrue="1" operator="lessThan">
      <formula>0.01</formula>
    </cfRule>
  </conditionalFormatting>
  <conditionalFormatting sqref="B3:P17">
    <cfRule type="expression" dxfId="13" priority="3" stopIfTrue="1">
      <formula>ABS(B3)=1</formula>
    </cfRule>
    <cfRule type="expression" dxfId="12" priority="4" stopIfTrue="1">
      <formula>B41&lt;0.01</formula>
    </cfRule>
    <cfRule type="expression" dxfId="11" priority="5" stopIfTrue="1">
      <formula>B41&lt;0.05</formula>
    </cfRule>
  </conditionalFormatting>
  <conditionalFormatting sqref="B22:P36">
    <cfRule type="expression" dxfId="10" priority="6" stopIfTrue="1">
      <formula>ABS(B3)=1</formula>
    </cfRule>
    <cfRule type="expression" dxfId="9" priority="7" stopIfTrue="1">
      <formula>B41&lt;0.01</formula>
    </cfRule>
    <cfRule type="expression" dxfId="8" priority="8" stopIfTrue="1">
      <formula>B41&lt;0.05</formula>
    </cfRule>
  </conditionalFormatting>
  <conditionalFormatting sqref="B41:P55">
    <cfRule type="cellIs" dxfId="7" priority="9" stopIfTrue="1" operator="equal">
      <formula>0</formula>
    </cfRule>
    <cfRule type="cellIs" dxfId="6" priority="10" stopIfTrue="1" operator="lessThan">
      <formula>0.01</formula>
    </cfRule>
    <cfRule type="cellIs" dxfId="5" priority="11" stopIfTrue="1" operator="lessThan">
      <formula>0.05</formula>
    </cfRule>
  </conditionalFormatting>
  <printOptions horizontalCentered="1" gridLines="1"/>
  <pageMargins left="0.5" right="0.5" top="1" bottom="1" header="0.5" footer="0.5"/>
  <pageSetup orientation="portrait" horizontalDpi="4294967292"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70" zoomScaleNormal="70" workbookViewId="0">
      <selection activeCell="O60" sqref="O60"/>
    </sheetView>
  </sheetViews>
  <sheetFormatPr defaultRowHeight="13.2"/>
  <sheetData/>
  <phoneticPr fontId="57" type="noConversion"/>
  <pageMargins left="0.7" right="0.7" top="0.75" bottom="0.75" header="0.3" footer="0.3"/>
  <pageSetup scale="86" orientation="portrait" r:id="rId1"/>
  <headerFooter>
    <oddFooter>&amp;L&amp;F, &amp;D&amp;R&amp;A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L29"/>
  <sheetViews>
    <sheetView zoomScale="85" zoomScaleNormal="85" workbookViewId="0">
      <selection activeCell="M28" sqref="M28"/>
    </sheetView>
  </sheetViews>
  <sheetFormatPr defaultRowHeight="13.2"/>
  <cols>
    <col min="9" max="9" width="10.5546875" customWidth="1"/>
  </cols>
  <sheetData>
    <row r="29" spans="12:12">
      <c r="L29" s="161"/>
    </row>
  </sheetData>
  <phoneticPr fontId="59" type="noConversion"/>
  <pageMargins left="0.7" right="0.7" top="0.75" bottom="0.75" header="0.3" footer="0.3"/>
  <pageSetup scale="74" orientation="portrait" r:id="rId1"/>
  <headerFooter>
    <oddFooter>&amp;L&amp;F, &amp;D&amp;R&amp;A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F1:O184"/>
  <sheetViews>
    <sheetView showGridLines="0" zoomScaleNormal="100" workbookViewId="0">
      <selection activeCell="O66" sqref="O66"/>
    </sheetView>
  </sheetViews>
  <sheetFormatPr defaultColWidth="8.88671875" defaultRowHeight="13.2"/>
  <cols>
    <col min="1" max="5" width="8.88671875" style="161"/>
    <col min="6" max="6" width="9.33203125" style="161" bestFit="1" customWidth="1"/>
    <col min="7" max="9" width="8.88671875" style="161"/>
    <col min="10" max="10" width="12.44140625" style="161" customWidth="1"/>
    <col min="11" max="11" width="4.6640625" style="161" customWidth="1"/>
    <col min="12" max="16384" width="8.88671875" style="161"/>
  </cols>
  <sheetData>
    <row r="1" spans="6:15">
      <c r="L1" s="161" t="s">
        <v>2</v>
      </c>
      <c r="M1" s="161" t="s">
        <v>77</v>
      </c>
    </row>
    <row r="2" spans="6:15">
      <c r="F2" s="162"/>
      <c r="G2" s="163"/>
      <c r="H2" s="163"/>
      <c r="L2" s="164">
        <v>41381</v>
      </c>
      <c r="M2" s="161">
        <v>32.5</v>
      </c>
    </row>
    <row r="3" spans="6:15">
      <c r="F3" s="162"/>
      <c r="G3" s="163"/>
      <c r="L3" s="164">
        <v>41388</v>
      </c>
      <c r="M3" s="161">
        <f t="shared" ref="M3:M41" si="0">M2</f>
        <v>32.5</v>
      </c>
    </row>
    <row r="4" spans="6:15">
      <c r="F4" s="162"/>
      <c r="G4" s="163"/>
      <c r="L4" s="164">
        <v>41395</v>
      </c>
      <c r="M4" s="161">
        <f t="shared" si="0"/>
        <v>32.5</v>
      </c>
    </row>
    <row r="5" spans="6:15">
      <c r="F5" s="162"/>
      <c r="G5" s="163"/>
      <c r="L5" s="164">
        <v>41403</v>
      </c>
      <c r="M5" s="161">
        <f t="shared" si="0"/>
        <v>32.5</v>
      </c>
    </row>
    <row r="6" spans="6:15">
      <c r="F6" s="162"/>
      <c r="G6" s="163"/>
      <c r="L6" s="164">
        <v>41409</v>
      </c>
      <c r="M6" s="161">
        <f t="shared" si="0"/>
        <v>32.5</v>
      </c>
    </row>
    <row r="7" spans="6:15">
      <c r="F7" s="162"/>
      <c r="G7" s="163"/>
      <c r="L7" s="164">
        <v>41416</v>
      </c>
      <c r="M7" s="161">
        <f t="shared" si="0"/>
        <v>32.5</v>
      </c>
    </row>
    <row r="8" spans="6:15">
      <c r="F8" s="162"/>
      <c r="G8" s="163"/>
      <c r="L8" s="164">
        <v>41423</v>
      </c>
      <c r="M8" s="161">
        <f t="shared" si="0"/>
        <v>32.5</v>
      </c>
    </row>
    <row r="9" spans="6:15">
      <c r="F9" s="162"/>
      <c r="G9" s="163"/>
      <c r="L9" s="164">
        <v>41430</v>
      </c>
      <c r="M9" s="161">
        <f t="shared" si="0"/>
        <v>32.5</v>
      </c>
    </row>
    <row r="10" spans="6:15">
      <c r="F10" s="162"/>
      <c r="G10" s="163"/>
      <c r="L10" s="164">
        <v>41437</v>
      </c>
      <c r="M10" s="161">
        <f t="shared" si="0"/>
        <v>32.5</v>
      </c>
    </row>
    <row r="11" spans="6:15">
      <c r="F11" s="162"/>
      <c r="G11" s="163"/>
      <c r="L11" s="164">
        <v>41444</v>
      </c>
      <c r="M11" s="161">
        <f t="shared" si="0"/>
        <v>32.5</v>
      </c>
    </row>
    <row r="12" spans="6:15">
      <c r="F12" s="162"/>
      <c r="G12" s="163"/>
      <c r="L12" s="164">
        <v>41451</v>
      </c>
      <c r="M12" s="161">
        <f t="shared" si="0"/>
        <v>32.5</v>
      </c>
    </row>
    <row r="13" spans="6:15">
      <c r="F13" s="162"/>
      <c r="G13" s="163"/>
      <c r="L13" s="164">
        <v>41472</v>
      </c>
      <c r="M13" s="161">
        <f t="shared" si="0"/>
        <v>32.5</v>
      </c>
    </row>
    <row r="14" spans="6:15">
      <c r="F14" s="162"/>
      <c r="G14" s="163"/>
      <c r="L14" s="164">
        <v>41479</v>
      </c>
      <c r="M14" s="161">
        <f t="shared" si="0"/>
        <v>32.5</v>
      </c>
      <c r="O14" s="164"/>
    </row>
    <row r="15" spans="6:15">
      <c r="F15" s="162"/>
      <c r="G15" s="163"/>
      <c r="L15" s="164">
        <v>41486</v>
      </c>
      <c r="M15" s="161">
        <f t="shared" si="0"/>
        <v>32.5</v>
      </c>
      <c r="O15" s="164"/>
    </row>
    <row r="16" spans="6:15">
      <c r="F16" s="162"/>
      <c r="G16" s="163"/>
      <c r="L16" s="164">
        <v>41493</v>
      </c>
      <c r="M16" s="161">
        <f t="shared" si="0"/>
        <v>32.5</v>
      </c>
      <c r="O16" s="164"/>
    </row>
    <row r="17" spans="6:15">
      <c r="F17" s="162"/>
      <c r="G17" s="163"/>
      <c r="L17" s="164">
        <v>41500</v>
      </c>
      <c r="M17" s="161">
        <f t="shared" si="0"/>
        <v>32.5</v>
      </c>
      <c r="O17" s="164"/>
    </row>
    <row r="18" spans="6:15">
      <c r="F18" s="162"/>
      <c r="G18" s="163"/>
      <c r="L18" s="164">
        <v>41507</v>
      </c>
      <c r="M18" s="161">
        <f t="shared" si="0"/>
        <v>32.5</v>
      </c>
    </row>
    <row r="19" spans="6:15">
      <c r="F19" s="162"/>
      <c r="G19" s="163"/>
      <c r="L19" s="164">
        <v>41521</v>
      </c>
      <c r="M19" s="161">
        <f t="shared" si="0"/>
        <v>32.5</v>
      </c>
    </row>
    <row r="20" spans="6:15">
      <c r="F20" s="162"/>
      <c r="G20" s="163"/>
      <c r="L20" s="164">
        <v>41528</v>
      </c>
      <c r="M20" s="161">
        <f t="shared" si="0"/>
        <v>32.5</v>
      </c>
    </row>
    <row r="21" spans="6:15">
      <c r="F21" s="162"/>
      <c r="G21" s="163"/>
      <c r="L21" s="164">
        <v>41542</v>
      </c>
      <c r="M21" s="161">
        <f t="shared" si="0"/>
        <v>32.5</v>
      </c>
    </row>
    <row r="22" spans="6:15">
      <c r="F22" s="162"/>
      <c r="G22" s="163"/>
      <c r="L22" s="165">
        <v>41381</v>
      </c>
      <c r="M22" s="161">
        <f t="shared" si="0"/>
        <v>32.5</v>
      </c>
    </row>
    <row r="23" spans="6:15">
      <c r="F23" s="162"/>
      <c r="G23" s="163"/>
      <c r="L23" s="165">
        <v>41388</v>
      </c>
      <c r="M23" s="161">
        <f t="shared" si="0"/>
        <v>32.5</v>
      </c>
    </row>
    <row r="24" spans="6:15">
      <c r="F24" s="162"/>
      <c r="G24" s="163"/>
      <c r="L24" s="165">
        <v>41395</v>
      </c>
      <c r="M24" s="161">
        <f t="shared" si="0"/>
        <v>32.5</v>
      </c>
    </row>
    <row r="25" spans="6:15">
      <c r="F25" s="162"/>
      <c r="G25" s="163"/>
      <c r="L25" s="165">
        <v>41403</v>
      </c>
      <c r="M25" s="161">
        <f t="shared" si="0"/>
        <v>32.5</v>
      </c>
    </row>
    <row r="26" spans="6:15">
      <c r="F26" s="162"/>
      <c r="G26" s="163"/>
      <c r="L26" s="165">
        <v>41409</v>
      </c>
      <c r="M26" s="161">
        <f t="shared" si="0"/>
        <v>32.5</v>
      </c>
    </row>
    <row r="27" spans="6:15">
      <c r="F27" s="162"/>
      <c r="G27" s="163"/>
      <c r="L27" s="165">
        <v>41416</v>
      </c>
      <c r="M27" s="161">
        <f t="shared" si="0"/>
        <v>32.5</v>
      </c>
    </row>
    <row r="28" spans="6:15">
      <c r="F28" s="162"/>
      <c r="G28" s="163"/>
      <c r="L28" s="165">
        <v>41423</v>
      </c>
      <c r="M28" s="161">
        <f t="shared" si="0"/>
        <v>32.5</v>
      </c>
    </row>
    <row r="29" spans="6:15">
      <c r="F29" s="162"/>
      <c r="G29" s="163"/>
      <c r="L29" s="165">
        <v>41430</v>
      </c>
      <c r="M29" s="161">
        <f t="shared" si="0"/>
        <v>32.5</v>
      </c>
    </row>
    <row r="30" spans="6:15">
      <c r="F30" s="162"/>
      <c r="G30" s="163"/>
      <c r="L30" s="165">
        <v>41437</v>
      </c>
      <c r="M30" s="161">
        <f t="shared" si="0"/>
        <v>32.5</v>
      </c>
    </row>
    <row r="31" spans="6:15">
      <c r="F31" s="162"/>
      <c r="G31" s="163"/>
      <c r="L31" s="165">
        <v>41444</v>
      </c>
      <c r="M31" s="161">
        <f t="shared" si="0"/>
        <v>32.5</v>
      </c>
    </row>
    <row r="32" spans="6:15">
      <c r="F32" s="162"/>
      <c r="G32" s="163"/>
      <c r="L32" s="165">
        <v>41451</v>
      </c>
      <c r="M32" s="161">
        <f t="shared" si="0"/>
        <v>32.5</v>
      </c>
    </row>
    <row r="33" spans="6:14">
      <c r="F33" s="162"/>
      <c r="G33" s="163"/>
      <c r="L33" s="165">
        <v>41472</v>
      </c>
      <c r="M33" s="161">
        <f t="shared" si="0"/>
        <v>32.5</v>
      </c>
    </row>
    <row r="34" spans="6:14">
      <c r="F34" s="162"/>
      <c r="G34" s="163"/>
      <c r="L34" s="165">
        <v>41479</v>
      </c>
      <c r="M34" s="161">
        <f t="shared" si="0"/>
        <v>32.5</v>
      </c>
    </row>
    <row r="35" spans="6:14">
      <c r="F35" s="162"/>
      <c r="G35" s="163"/>
      <c r="L35" s="165">
        <v>41486</v>
      </c>
      <c r="M35" s="161">
        <f t="shared" si="0"/>
        <v>32.5</v>
      </c>
    </row>
    <row r="36" spans="6:14">
      <c r="F36" s="162"/>
      <c r="G36" s="163"/>
      <c r="L36" s="165">
        <v>41493</v>
      </c>
      <c r="M36" s="161">
        <f t="shared" si="0"/>
        <v>32.5</v>
      </c>
    </row>
    <row r="37" spans="6:14">
      <c r="F37" s="162"/>
      <c r="G37" s="163"/>
      <c r="L37" s="165">
        <v>41500</v>
      </c>
      <c r="M37" s="161">
        <f t="shared" si="0"/>
        <v>32.5</v>
      </c>
    </row>
    <row r="38" spans="6:14">
      <c r="F38" s="162"/>
      <c r="G38" s="163"/>
      <c r="L38" s="165">
        <v>41507</v>
      </c>
      <c r="M38" s="161">
        <f t="shared" si="0"/>
        <v>32.5</v>
      </c>
    </row>
    <row r="39" spans="6:14">
      <c r="F39" s="162"/>
      <c r="G39" s="163"/>
      <c r="L39" s="165">
        <v>41521</v>
      </c>
      <c r="M39" s="161">
        <f t="shared" si="0"/>
        <v>32.5</v>
      </c>
    </row>
    <row r="40" spans="6:14">
      <c r="F40" s="162"/>
      <c r="G40" s="163"/>
      <c r="L40" s="165">
        <v>41528</v>
      </c>
      <c r="M40" s="161">
        <f t="shared" si="0"/>
        <v>32.5</v>
      </c>
    </row>
    <row r="41" spans="6:14">
      <c r="F41" s="162"/>
      <c r="G41" s="163"/>
      <c r="L41" s="165">
        <v>41542</v>
      </c>
      <c r="M41" s="161">
        <f t="shared" si="0"/>
        <v>32.5</v>
      </c>
    </row>
    <row r="42" spans="6:14">
      <c r="F42" s="162"/>
      <c r="G42" s="163"/>
    </row>
    <row r="43" spans="6:14">
      <c r="F43" s="162"/>
      <c r="G43" s="163"/>
    </row>
    <row r="44" spans="6:14">
      <c r="F44" s="162"/>
      <c r="G44" s="163"/>
    </row>
    <row r="45" spans="6:14">
      <c r="F45" s="162"/>
      <c r="G45" s="163"/>
    </row>
    <row r="46" spans="6:14">
      <c r="F46" s="162"/>
      <c r="G46" s="163"/>
    </row>
    <row r="47" spans="6:14">
      <c r="F47" s="162"/>
      <c r="G47" s="163"/>
    </row>
    <row r="48" spans="6:14">
      <c r="F48" s="162"/>
      <c r="G48" s="163"/>
      <c r="M48" s="166"/>
      <c r="N48" s="161" t="s">
        <v>189</v>
      </c>
    </row>
    <row r="49" spans="6:7">
      <c r="F49" s="162"/>
      <c r="G49" s="163"/>
    </row>
    <row r="50" spans="6:7">
      <c r="F50" s="162"/>
      <c r="G50" s="163"/>
    </row>
    <row r="51" spans="6:7">
      <c r="F51" s="162"/>
      <c r="G51" s="163"/>
    </row>
    <row r="52" spans="6:7">
      <c r="F52" s="162"/>
      <c r="G52" s="163"/>
    </row>
    <row r="53" spans="6:7">
      <c r="F53" s="162"/>
      <c r="G53" s="163"/>
    </row>
    <row r="54" spans="6:7">
      <c r="F54" s="162"/>
      <c r="G54" s="163"/>
    </row>
    <row r="55" spans="6:7">
      <c r="F55" s="162"/>
      <c r="G55" s="163"/>
    </row>
    <row r="56" spans="6:7">
      <c r="F56" s="162"/>
      <c r="G56" s="163"/>
    </row>
    <row r="57" spans="6:7">
      <c r="F57" s="162"/>
      <c r="G57" s="163"/>
    </row>
    <row r="58" spans="6:7">
      <c r="F58" s="162"/>
      <c r="G58" s="163"/>
    </row>
    <row r="59" spans="6:7">
      <c r="F59" s="162"/>
      <c r="G59" s="163"/>
    </row>
    <row r="60" spans="6:7">
      <c r="F60" s="162"/>
      <c r="G60" s="163"/>
    </row>
    <row r="61" spans="6:7">
      <c r="F61" s="162"/>
      <c r="G61" s="163"/>
    </row>
    <row r="62" spans="6:7">
      <c r="F62" s="162"/>
      <c r="G62" s="163"/>
    </row>
    <row r="63" spans="6:7">
      <c r="F63" s="162"/>
      <c r="G63" s="163"/>
    </row>
    <row r="64" spans="6:7">
      <c r="F64" s="162"/>
      <c r="G64" s="163"/>
    </row>
    <row r="65" spans="6:7">
      <c r="F65" s="162"/>
      <c r="G65" s="163"/>
    </row>
    <row r="66" spans="6:7">
      <c r="F66" s="162"/>
      <c r="G66" s="163"/>
    </row>
    <row r="67" spans="6:7">
      <c r="F67" s="162"/>
      <c r="G67" s="163"/>
    </row>
    <row r="68" spans="6:7">
      <c r="F68" s="162"/>
      <c r="G68" s="163"/>
    </row>
    <row r="69" spans="6:7">
      <c r="F69" s="162"/>
      <c r="G69" s="163"/>
    </row>
    <row r="70" spans="6:7">
      <c r="F70" s="162"/>
      <c r="G70" s="163"/>
    </row>
    <row r="71" spans="6:7">
      <c r="F71" s="162"/>
      <c r="G71" s="163"/>
    </row>
    <row r="72" spans="6:7">
      <c r="F72" s="162"/>
      <c r="G72" s="163"/>
    </row>
    <row r="73" spans="6:7">
      <c r="F73" s="162"/>
      <c r="G73" s="163"/>
    </row>
    <row r="74" spans="6:7">
      <c r="F74" s="162"/>
      <c r="G74" s="163"/>
    </row>
    <row r="75" spans="6:7">
      <c r="F75" s="162"/>
      <c r="G75" s="163"/>
    </row>
    <row r="76" spans="6:7">
      <c r="F76" s="162"/>
      <c r="G76" s="163"/>
    </row>
    <row r="77" spans="6:7">
      <c r="F77" s="162"/>
      <c r="G77" s="163"/>
    </row>
    <row r="78" spans="6:7">
      <c r="F78" s="162"/>
      <c r="G78" s="163"/>
    </row>
    <row r="79" spans="6:7">
      <c r="F79" s="162"/>
      <c r="G79" s="163"/>
    </row>
    <row r="80" spans="6:7">
      <c r="F80" s="162"/>
      <c r="G80" s="163"/>
    </row>
    <row r="81" spans="6:7">
      <c r="F81" s="162"/>
      <c r="G81" s="163"/>
    </row>
    <row r="82" spans="6:7">
      <c r="F82" s="162"/>
      <c r="G82" s="163"/>
    </row>
    <row r="83" spans="6:7">
      <c r="F83" s="162"/>
      <c r="G83" s="163"/>
    </row>
    <row r="84" spans="6:7">
      <c r="F84" s="162"/>
      <c r="G84" s="163"/>
    </row>
    <row r="85" spans="6:7">
      <c r="F85" s="162"/>
      <c r="G85" s="163"/>
    </row>
    <row r="86" spans="6:7">
      <c r="F86" s="162"/>
      <c r="G86" s="163"/>
    </row>
    <row r="87" spans="6:7">
      <c r="F87" s="162"/>
      <c r="G87" s="163"/>
    </row>
    <row r="88" spans="6:7">
      <c r="F88" s="162"/>
      <c r="G88" s="163"/>
    </row>
    <row r="89" spans="6:7">
      <c r="F89" s="162"/>
      <c r="G89" s="163"/>
    </row>
    <row r="90" spans="6:7">
      <c r="F90" s="162"/>
      <c r="G90" s="163"/>
    </row>
    <row r="91" spans="6:7">
      <c r="F91" s="162"/>
      <c r="G91" s="163"/>
    </row>
    <row r="92" spans="6:7">
      <c r="F92" s="162"/>
      <c r="G92" s="163"/>
    </row>
    <row r="93" spans="6:7">
      <c r="F93" s="162"/>
      <c r="G93" s="163"/>
    </row>
    <row r="94" spans="6:7">
      <c r="F94" s="162"/>
      <c r="G94" s="163"/>
    </row>
    <row r="95" spans="6:7">
      <c r="F95" s="162"/>
      <c r="G95" s="163"/>
    </row>
    <row r="96" spans="6:7">
      <c r="F96" s="162"/>
      <c r="G96" s="163"/>
    </row>
    <row r="97" spans="6:7">
      <c r="F97" s="162"/>
      <c r="G97" s="163"/>
    </row>
    <row r="98" spans="6:7">
      <c r="F98" s="162"/>
      <c r="G98" s="163"/>
    </row>
    <row r="99" spans="6:7">
      <c r="F99" s="162"/>
      <c r="G99" s="163"/>
    </row>
    <row r="100" spans="6:7">
      <c r="F100" s="162"/>
      <c r="G100" s="163"/>
    </row>
    <row r="101" spans="6:7">
      <c r="F101" s="162"/>
      <c r="G101" s="163"/>
    </row>
    <row r="102" spans="6:7">
      <c r="F102" s="162"/>
      <c r="G102" s="163"/>
    </row>
    <row r="103" spans="6:7">
      <c r="F103" s="162"/>
      <c r="G103" s="163"/>
    </row>
    <row r="104" spans="6:7">
      <c r="F104" s="162"/>
      <c r="G104" s="163"/>
    </row>
    <row r="105" spans="6:7">
      <c r="F105" s="162"/>
      <c r="G105" s="163"/>
    </row>
    <row r="106" spans="6:7">
      <c r="F106" s="162"/>
      <c r="G106" s="163"/>
    </row>
    <row r="107" spans="6:7">
      <c r="F107" s="162"/>
      <c r="G107" s="163"/>
    </row>
    <row r="108" spans="6:7">
      <c r="F108" s="162"/>
      <c r="G108" s="163"/>
    </row>
    <row r="109" spans="6:7">
      <c r="F109" s="162"/>
      <c r="G109" s="163"/>
    </row>
    <row r="110" spans="6:7">
      <c r="F110" s="162"/>
      <c r="G110" s="163"/>
    </row>
    <row r="111" spans="6:7">
      <c r="F111" s="162"/>
      <c r="G111" s="163"/>
    </row>
    <row r="112" spans="6:7">
      <c r="F112" s="162"/>
      <c r="G112" s="163"/>
    </row>
    <row r="113" spans="6:7">
      <c r="F113" s="162"/>
      <c r="G113" s="163"/>
    </row>
    <row r="114" spans="6:7">
      <c r="F114" s="162"/>
      <c r="G114" s="163"/>
    </row>
    <row r="115" spans="6:7">
      <c r="F115" s="162"/>
      <c r="G115" s="163"/>
    </row>
    <row r="116" spans="6:7">
      <c r="F116" s="162"/>
      <c r="G116" s="163"/>
    </row>
    <row r="117" spans="6:7">
      <c r="F117" s="162"/>
      <c r="G117" s="163"/>
    </row>
    <row r="118" spans="6:7">
      <c r="F118" s="162"/>
      <c r="G118" s="163"/>
    </row>
    <row r="119" spans="6:7">
      <c r="F119" s="162"/>
      <c r="G119" s="163"/>
    </row>
    <row r="120" spans="6:7">
      <c r="F120" s="162"/>
      <c r="G120" s="163"/>
    </row>
    <row r="121" spans="6:7">
      <c r="F121" s="162"/>
      <c r="G121" s="163"/>
    </row>
    <row r="122" spans="6:7">
      <c r="F122" s="162"/>
      <c r="G122" s="163"/>
    </row>
    <row r="123" spans="6:7">
      <c r="F123" s="162"/>
      <c r="G123" s="163"/>
    </row>
    <row r="124" spans="6:7">
      <c r="F124" s="162"/>
      <c r="G124" s="163"/>
    </row>
    <row r="125" spans="6:7">
      <c r="F125" s="162"/>
      <c r="G125" s="163"/>
    </row>
    <row r="126" spans="6:7">
      <c r="F126" s="162"/>
      <c r="G126" s="163"/>
    </row>
    <row r="127" spans="6:7">
      <c r="F127" s="162"/>
      <c r="G127" s="163"/>
    </row>
    <row r="128" spans="6:7">
      <c r="F128" s="162"/>
      <c r="G128" s="163"/>
    </row>
    <row r="129" spans="6:7">
      <c r="F129" s="162"/>
      <c r="G129" s="163"/>
    </row>
    <row r="130" spans="6:7">
      <c r="F130" s="162"/>
      <c r="G130" s="163"/>
    </row>
    <row r="131" spans="6:7">
      <c r="F131" s="162"/>
      <c r="G131" s="163"/>
    </row>
    <row r="132" spans="6:7">
      <c r="F132" s="162"/>
      <c r="G132" s="163"/>
    </row>
    <row r="133" spans="6:7">
      <c r="F133" s="162"/>
      <c r="G133" s="163"/>
    </row>
    <row r="134" spans="6:7">
      <c r="F134" s="162"/>
      <c r="G134" s="163"/>
    </row>
    <row r="135" spans="6:7">
      <c r="F135" s="162"/>
      <c r="G135" s="163"/>
    </row>
    <row r="136" spans="6:7">
      <c r="F136" s="162"/>
      <c r="G136" s="163"/>
    </row>
    <row r="137" spans="6:7">
      <c r="F137" s="162"/>
      <c r="G137" s="163"/>
    </row>
    <row r="138" spans="6:7">
      <c r="F138" s="162"/>
      <c r="G138" s="163"/>
    </row>
    <row r="139" spans="6:7">
      <c r="F139" s="162"/>
      <c r="G139" s="163"/>
    </row>
    <row r="140" spans="6:7">
      <c r="F140" s="162"/>
      <c r="G140" s="163"/>
    </row>
    <row r="141" spans="6:7">
      <c r="F141" s="162"/>
      <c r="G141" s="163"/>
    </row>
    <row r="142" spans="6:7">
      <c r="F142" s="162"/>
      <c r="G142" s="163"/>
    </row>
    <row r="143" spans="6:7">
      <c r="F143" s="162"/>
      <c r="G143" s="163"/>
    </row>
    <row r="144" spans="6:7">
      <c r="F144" s="162"/>
      <c r="G144" s="163"/>
    </row>
    <row r="145" spans="6:7">
      <c r="F145" s="162"/>
      <c r="G145" s="163"/>
    </row>
    <row r="146" spans="6:7">
      <c r="F146" s="162"/>
      <c r="G146" s="163"/>
    </row>
    <row r="147" spans="6:7">
      <c r="F147" s="162"/>
      <c r="G147" s="163"/>
    </row>
    <row r="148" spans="6:7">
      <c r="F148" s="162"/>
      <c r="G148" s="163"/>
    </row>
    <row r="149" spans="6:7">
      <c r="F149" s="162"/>
      <c r="G149" s="163"/>
    </row>
    <row r="150" spans="6:7">
      <c r="F150" s="162"/>
      <c r="G150" s="163"/>
    </row>
    <row r="151" spans="6:7">
      <c r="F151" s="162"/>
      <c r="G151" s="163"/>
    </row>
    <row r="152" spans="6:7">
      <c r="F152" s="162"/>
      <c r="G152" s="163"/>
    </row>
    <row r="153" spans="6:7">
      <c r="F153" s="162"/>
      <c r="G153" s="163"/>
    </row>
    <row r="154" spans="6:7">
      <c r="F154" s="162"/>
      <c r="G154" s="163"/>
    </row>
    <row r="155" spans="6:7">
      <c r="F155" s="162"/>
      <c r="G155" s="163"/>
    </row>
    <row r="156" spans="6:7">
      <c r="F156" s="162"/>
      <c r="G156" s="163"/>
    </row>
    <row r="157" spans="6:7">
      <c r="F157" s="162"/>
      <c r="G157" s="163"/>
    </row>
    <row r="158" spans="6:7">
      <c r="F158" s="162"/>
      <c r="G158" s="163"/>
    </row>
    <row r="159" spans="6:7">
      <c r="F159" s="162"/>
      <c r="G159" s="163"/>
    </row>
    <row r="160" spans="6:7">
      <c r="F160" s="162"/>
      <c r="G160" s="163"/>
    </row>
    <row r="161" spans="6:7">
      <c r="F161" s="162"/>
      <c r="G161" s="163"/>
    </row>
    <row r="162" spans="6:7">
      <c r="F162" s="162"/>
      <c r="G162" s="163"/>
    </row>
    <row r="163" spans="6:7">
      <c r="F163" s="162"/>
      <c r="G163" s="163"/>
    </row>
    <row r="164" spans="6:7">
      <c r="F164" s="162"/>
      <c r="G164" s="163"/>
    </row>
    <row r="165" spans="6:7">
      <c r="F165" s="162"/>
      <c r="G165" s="163"/>
    </row>
    <row r="166" spans="6:7">
      <c r="F166" s="162"/>
      <c r="G166" s="163"/>
    </row>
    <row r="167" spans="6:7">
      <c r="F167" s="162"/>
      <c r="G167" s="163"/>
    </row>
    <row r="168" spans="6:7">
      <c r="F168" s="162"/>
      <c r="G168" s="163"/>
    </row>
    <row r="169" spans="6:7">
      <c r="F169" s="162"/>
      <c r="G169" s="163"/>
    </row>
    <row r="170" spans="6:7">
      <c r="F170" s="162"/>
      <c r="G170" s="163"/>
    </row>
    <row r="171" spans="6:7">
      <c r="F171" s="162"/>
      <c r="G171" s="163"/>
    </row>
    <row r="172" spans="6:7">
      <c r="F172" s="162"/>
      <c r="G172" s="163"/>
    </row>
    <row r="173" spans="6:7">
      <c r="F173" s="162"/>
      <c r="G173" s="163"/>
    </row>
    <row r="174" spans="6:7">
      <c r="F174" s="162"/>
      <c r="G174" s="163"/>
    </row>
    <row r="175" spans="6:7">
      <c r="F175" s="162"/>
      <c r="G175" s="163"/>
    </row>
    <row r="176" spans="6:7">
      <c r="F176" s="162"/>
      <c r="G176" s="163"/>
    </row>
    <row r="177" spans="6:7">
      <c r="F177" s="162"/>
      <c r="G177" s="163"/>
    </row>
    <row r="178" spans="6:7">
      <c r="F178" s="162"/>
      <c r="G178" s="163"/>
    </row>
    <row r="179" spans="6:7">
      <c r="F179" s="162"/>
      <c r="G179" s="163"/>
    </row>
    <row r="180" spans="6:7">
      <c r="F180" s="162"/>
      <c r="G180" s="163"/>
    </row>
    <row r="181" spans="6:7">
      <c r="F181" s="162"/>
      <c r="G181" s="163"/>
    </row>
    <row r="182" spans="6:7">
      <c r="F182" s="162"/>
      <c r="G182" s="163"/>
    </row>
    <row r="183" spans="6:7">
      <c r="F183" s="162"/>
      <c r="G183" s="163"/>
    </row>
    <row r="184" spans="6:7">
      <c r="F184" s="162"/>
      <c r="G184" s="163"/>
    </row>
  </sheetData>
  <phoneticPr fontId="59" type="noConversion"/>
  <pageMargins left="0.75" right="0.75" top="1" bottom="1" header="0.5" footer="0.5"/>
  <pageSetup scale="79" orientation="portrait" r:id="rId1"/>
  <headerFooter alignWithMargins="0">
    <oddFooter>&amp;L&amp;F, &amp;D&amp;R&amp;A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5:G27"/>
  <sheetViews>
    <sheetView zoomScaleNormal="100" zoomScalePageLayoutView="70" workbookViewId="0">
      <selection activeCell="H2" sqref="H2"/>
    </sheetView>
  </sheetViews>
  <sheetFormatPr defaultRowHeight="13.2"/>
  <cols>
    <col min="6" max="6" width="12.109375" customWidth="1"/>
  </cols>
  <sheetData>
    <row r="5" spans="7:7">
      <c r="G5" s="365"/>
    </row>
    <row r="6" spans="7:7">
      <c r="G6" s="365"/>
    </row>
    <row r="7" spans="7:7">
      <c r="G7" s="365"/>
    </row>
    <row r="8" spans="7:7">
      <c r="G8" s="365"/>
    </row>
    <row r="9" spans="7:7">
      <c r="G9" s="365"/>
    </row>
    <row r="10" spans="7:7">
      <c r="G10" s="365"/>
    </row>
    <row r="11" spans="7:7">
      <c r="G11" s="365"/>
    </row>
    <row r="12" spans="7:7">
      <c r="G12" s="365"/>
    </row>
    <row r="13" spans="7:7">
      <c r="G13" s="365"/>
    </row>
    <row r="14" spans="7:7">
      <c r="G14" s="365"/>
    </row>
    <row r="15" spans="7:7">
      <c r="G15" s="365"/>
    </row>
    <row r="16" spans="7:7">
      <c r="G16" s="365"/>
    </row>
    <row r="17" spans="7:7">
      <c r="G17" s="365"/>
    </row>
    <row r="18" spans="7:7">
      <c r="G18" s="365"/>
    </row>
    <row r="19" spans="7:7">
      <c r="G19" s="365"/>
    </row>
    <row r="20" spans="7:7">
      <c r="G20" s="365"/>
    </row>
    <row r="21" spans="7:7">
      <c r="G21" s="365"/>
    </row>
    <row r="22" spans="7:7">
      <c r="G22" s="365"/>
    </row>
    <row r="23" spans="7:7">
      <c r="G23" s="365"/>
    </row>
    <row r="24" spans="7:7">
      <c r="G24" s="365"/>
    </row>
    <row r="25" spans="7:7">
      <c r="G25" s="365"/>
    </row>
    <row r="26" spans="7:7">
      <c r="G26" s="365"/>
    </row>
    <row r="27" spans="7:7">
      <c r="G27" s="365"/>
    </row>
  </sheetData>
  <phoneticPr fontId="59" type="noConversion"/>
  <pageMargins left="0.7" right="0.7" top="0.75" bottom="0.75" header="0.3" footer="0.3"/>
  <pageSetup scale="72" orientation="portrait" r:id="rId1"/>
  <headerFooter>
    <oddFooter>&amp;L&amp;F, &amp;D&amp;R&amp;A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2:L36"/>
  <sheetViews>
    <sheetView zoomScaleNormal="100" workbookViewId="0">
      <selection activeCell="A41" sqref="A41"/>
    </sheetView>
  </sheetViews>
  <sheetFormatPr defaultColWidth="8.88671875" defaultRowHeight="13.2"/>
  <cols>
    <col min="1" max="9" width="8.88671875" style="161"/>
    <col min="10" max="10" width="9.33203125" style="161" bestFit="1" customWidth="1"/>
    <col min="11" max="16384" width="8.88671875" style="161"/>
  </cols>
  <sheetData>
    <row r="2" ht="12" customHeight="1"/>
    <row r="27" spans="10:12">
      <c r="J27" s="217"/>
    </row>
    <row r="28" spans="10:12">
      <c r="J28" s="217"/>
    </row>
    <row r="32" spans="10:12">
      <c r="J32" s="166"/>
      <c r="K32" s="166"/>
      <c r="L32" s="166"/>
    </row>
    <row r="33" spans="12:12">
      <c r="L33" s="163"/>
    </row>
    <row r="34" spans="12:12">
      <c r="L34" s="163"/>
    </row>
    <row r="35" spans="12:12">
      <c r="L35" s="163"/>
    </row>
    <row r="36" spans="12:12">
      <c r="L36" s="163"/>
    </row>
  </sheetData>
  <pageMargins left="0.75" right="0.75" top="1" bottom="1" header="0.5" footer="0.5"/>
  <pageSetup orientation="portrait" r:id="rId1"/>
  <headerFooter alignWithMargins="0">
    <oddFooter>&amp;L&amp;F, &amp;D&amp;R&amp;A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2:L36"/>
  <sheetViews>
    <sheetView zoomScaleNormal="100" workbookViewId="0">
      <selection activeCell="L20" sqref="L20"/>
    </sheetView>
  </sheetViews>
  <sheetFormatPr defaultColWidth="8.88671875" defaultRowHeight="13.2"/>
  <cols>
    <col min="1" max="9" width="8.88671875" style="161"/>
    <col min="10" max="10" width="9.33203125" style="161" bestFit="1" customWidth="1"/>
    <col min="11" max="16384" width="8.88671875" style="161"/>
  </cols>
  <sheetData>
    <row r="2" ht="12" customHeight="1"/>
    <row r="27" spans="10:12">
      <c r="J27" s="217"/>
    </row>
    <row r="28" spans="10:12">
      <c r="J28" s="217"/>
    </row>
    <row r="32" spans="10:12">
      <c r="J32" s="166"/>
      <c r="K32" s="166"/>
      <c r="L32" s="166"/>
    </row>
    <row r="33" spans="12:12">
      <c r="L33" s="163"/>
    </row>
    <row r="34" spans="12:12">
      <c r="L34" s="163"/>
    </row>
    <row r="35" spans="12:12">
      <c r="L35" s="163"/>
    </row>
    <row r="36" spans="12:12">
      <c r="L36" s="163"/>
    </row>
  </sheetData>
  <pageMargins left="0.75" right="0.75" top="1" bottom="1" header="0.5" footer="0.5"/>
  <pageSetup orientation="portrait" r:id="rId1"/>
  <headerFooter alignWithMargins="0">
    <oddFooter>&amp;L&amp;F, &amp;D&amp;R&amp;A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2:L36"/>
  <sheetViews>
    <sheetView zoomScale="85" zoomScaleNormal="85" workbookViewId="0">
      <selection activeCell="T15" sqref="T15"/>
    </sheetView>
  </sheetViews>
  <sheetFormatPr defaultColWidth="8.88671875" defaultRowHeight="13.2"/>
  <cols>
    <col min="1" max="9" width="8.88671875" style="161"/>
    <col min="10" max="10" width="9.33203125" style="161" bestFit="1" customWidth="1"/>
    <col min="11" max="16384" width="8.88671875" style="161"/>
  </cols>
  <sheetData>
    <row r="2" ht="12" customHeight="1"/>
    <row r="27" spans="10:12">
      <c r="J27" s="217"/>
    </row>
    <row r="28" spans="10:12">
      <c r="J28" s="217"/>
    </row>
    <row r="32" spans="10:12">
      <c r="J32" s="166"/>
      <c r="K32" s="166"/>
      <c r="L32" s="166"/>
    </row>
    <row r="33" spans="12:12">
      <c r="L33" s="163"/>
    </row>
    <row r="34" spans="12:12">
      <c r="L34" s="163"/>
    </row>
    <row r="35" spans="12:12">
      <c r="L35" s="163"/>
    </row>
    <row r="36" spans="12:12">
      <c r="L36" s="163"/>
    </row>
  </sheetData>
  <pageMargins left="0.75" right="0.75" top="1" bottom="1" header="0.5" footer="0.5"/>
  <pageSetup orientation="portrait" r:id="rId1"/>
  <headerFooter alignWithMargins="0">
    <oddFooter>&amp;L&amp;F, &amp;D&amp;R&amp;A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P1:AE54"/>
  <sheetViews>
    <sheetView showGridLines="0" topLeftCell="A3" zoomScale="70" zoomScaleNormal="70" workbookViewId="0">
      <selection activeCell="M46" sqref="M46"/>
    </sheetView>
  </sheetViews>
  <sheetFormatPr defaultColWidth="8.88671875" defaultRowHeight="13.2"/>
  <cols>
    <col min="1" max="13" width="8.88671875" style="161"/>
    <col min="14" max="14" width="12.6640625" style="161" customWidth="1"/>
    <col min="15" max="15" width="8.88671875" style="161"/>
    <col min="16" max="16" width="15.5546875" style="161" bestFit="1" customWidth="1"/>
    <col min="17" max="16384" width="8.88671875" style="161"/>
  </cols>
  <sheetData>
    <row r="1" spans="16:31">
      <c r="P1" s="161" t="s">
        <v>53</v>
      </c>
      <c r="Q1" s="161" t="s">
        <v>199</v>
      </c>
      <c r="R1" s="161" t="s">
        <v>30</v>
      </c>
      <c r="S1" s="161" t="s">
        <v>31</v>
      </c>
      <c r="U1" s="161" t="s">
        <v>53</v>
      </c>
      <c r="V1" s="161" t="s">
        <v>315</v>
      </c>
      <c r="W1" s="161" t="s">
        <v>30</v>
      </c>
      <c r="X1" s="161" t="s">
        <v>31</v>
      </c>
    </row>
    <row r="2" spans="16:31" ht="12" customHeight="1">
      <c r="P2" s="161" t="s">
        <v>11</v>
      </c>
      <c r="Q2" s="4">
        <f>Raw!W7</f>
        <v>0.93440000000000012</v>
      </c>
      <c r="R2" s="353">
        <f>SUM!AI7</f>
        <v>125.53848733579797</v>
      </c>
      <c r="S2" s="353">
        <f>SUM!AJ7</f>
        <v>-64.511912806356122</v>
      </c>
      <c r="T2" s="353"/>
      <c r="U2" s="161" t="s">
        <v>11</v>
      </c>
      <c r="V2" s="326">
        <f>SUM!AQ5</f>
        <v>0.36437803866819979</v>
      </c>
      <c r="W2" s="353">
        <f>SUM!AI5</f>
        <v>356.55969810143199</v>
      </c>
      <c r="X2" s="353">
        <f>SUM!AJ5</f>
        <v>-59.776028483204591</v>
      </c>
    </row>
    <row r="3" spans="16:31">
      <c r="P3" s="161" t="s">
        <v>11</v>
      </c>
      <c r="Q3" s="4">
        <f>Raw!W8</f>
        <v>0.10339999999999705</v>
      </c>
      <c r="R3" s="353">
        <f>SUM!AI8</f>
        <v>526.38445431376454</v>
      </c>
      <c r="S3" s="353">
        <f>SUM!AJ8</f>
        <v>-62.580037198323453</v>
      </c>
      <c r="T3" s="353"/>
      <c r="U3" s="161" t="s">
        <v>11</v>
      </c>
      <c r="V3" s="326">
        <f>SUM!AQ6</f>
        <v>0.2010614697818969</v>
      </c>
      <c r="W3" s="353">
        <f>SUM!AI6</f>
        <v>253.28132438718339</v>
      </c>
      <c r="X3" s="353">
        <f>SUM!AJ6</f>
        <v>-70.209809727110397</v>
      </c>
      <c r="AA3" s="324" t="s">
        <v>199</v>
      </c>
      <c r="AB3" s="324"/>
      <c r="AC3" s="324"/>
      <c r="AD3" s="324" t="s">
        <v>50</v>
      </c>
      <c r="AE3" s="324"/>
    </row>
    <row r="4" spans="16:31">
      <c r="P4" s="161" t="s">
        <v>11</v>
      </c>
      <c r="Q4" s="4">
        <f>Raw!W9</f>
        <v>2.716899999999999</v>
      </c>
      <c r="R4" s="353">
        <f>SUM!AI9</f>
        <v>566.14550435517788</v>
      </c>
      <c r="S4" s="353">
        <f>SUM!AJ9</f>
        <v>-67.342688845318108</v>
      </c>
      <c r="T4" s="353"/>
      <c r="U4" s="161" t="s">
        <v>11</v>
      </c>
      <c r="V4" s="326">
        <f>SUM!AQ7</f>
        <v>0.12602157272792375</v>
      </c>
      <c r="W4" s="353">
        <f>SUM!AI7</f>
        <v>125.53848733579797</v>
      </c>
      <c r="X4" s="353">
        <f>SUM!AJ7</f>
        <v>-64.511912806356122</v>
      </c>
      <c r="AA4" s="324" t="s">
        <v>30</v>
      </c>
      <c r="AB4" s="324" t="s">
        <v>31</v>
      </c>
      <c r="AC4" s="324"/>
      <c r="AD4" s="324" t="s">
        <v>30</v>
      </c>
      <c r="AE4" s="324" t="s">
        <v>31</v>
      </c>
    </row>
    <row r="5" spans="16:31">
      <c r="P5" s="161" t="s">
        <v>11</v>
      </c>
      <c r="Q5" s="4">
        <f>Raw!W10</f>
        <v>0.67340000000000089</v>
      </c>
      <c r="R5" s="353">
        <f>SUM!AI10</f>
        <v>368.95972726430898</v>
      </c>
      <c r="S5" s="353">
        <f>SUM!AJ10</f>
        <v>-80.627530782664991</v>
      </c>
      <c r="T5" s="353"/>
      <c r="U5" s="161" t="s">
        <v>11</v>
      </c>
      <c r="V5" s="326">
        <f>SUM!AQ8</f>
        <v>0.45054151389014518</v>
      </c>
      <c r="W5" s="353">
        <f>SUM!AI8</f>
        <v>526.38445431376454</v>
      </c>
      <c r="X5" s="353">
        <f>SUM!AJ8</f>
        <v>-62.580037198323453</v>
      </c>
      <c r="Z5" s="161" t="s">
        <v>11</v>
      </c>
      <c r="AA5" s="4">
        <f>CORREL(Raw!$W$5:$W$24,SUM!$AI$5:$AI$24)</f>
        <v>-0.21408029326335351</v>
      </c>
      <c r="AB5" s="4">
        <f>CORREL(Raw!$W$5:$W$24,SUM!$AJ$5:$AJ$24)</f>
        <v>-0.38738446795025649</v>
      </c>
      <c r="AC5" s="4"/>
      <c r="AD5" s="230">
        <f>CORREL(SUM!$AQ$5:$AQ$24,SUM!$AI$5:$AI$24)</f>
        <v>0.80886696083864551</v>
      </c>
      <c r="AE5" s="4">
        <f>CORREL(SUM!$AQ$5:$AQ$24,SUM!$AJ$5:$AJ$24)</f>
        <v>0.17769028071227247</v>
      </c>
    </row>
    <row r="6" spans="16:31">
      <c r="P6" s="161" t="s">
        <v>11</v>
      </c>
      <c r="Q6" s="4">
        <f>Raw!W11</f>
        <v>8.0000000000168825E-4</v>
      </c>
      <c r="R6" s="353">
        <f>SUM!AI11</f>
        <v>476.5532164128046</v>
      </c>
      <c r="S6" s="353">
        <f>SUM!AJ11</f>
        <v>-68.852019225904698</v>
      </c>
      <c r="T6" s="353"/>
      <c r="U6" s="161" t="s">
        <v>11</v>
      </c>
      <c r="V6" s="326">
        <f>SUM!AQ9</f>
        <v>0.48466322493445946</v>
      </c>
      <c r="W6" s="353">
        <f>SUM!AI9</f>
        <v>566.14550435517788</v>
      </c>
      <c r="X6" s="353">
        <f>SUM!AJ9</f>
        <v>-67.342688845318108</v>
      </c>
      <c r="Z6" s="161" t="s">
        <v>12</v>
      </c>
      <c r="AA6" s="231">
        <f>CORREL(Raw!$W$25:$W$44,SUM!$AI$25:$AI$44)</f>
        <v>0.18660703628969472</v>
      </c>
      <c r="AB6" s="4">
        <f>CORREL(Raw!$W$25:$W$44,SUM!$AJ$25:$AJ$44)</f>
        <v>-9.5755745567248085E-2</v>
      </c>
      <c r="AC6" s="4"/>
      <c r="AD6" s="4">
        <f>CORREL(SUM!$AQ$25:$AQ$44,SUM!$AI$25:$AI$44)</f>
        <v>5.3000941750572107E-2</v>
      </c>
      <c r="AE6" s="4">
        <f>CORREL(SUM!$AQ$25:$AQ$44,SUM!$AJ$25:$AJ$44)</f>
        <v>0.13647148702545978</v>
      </c>
    </row>
    <row r="7" spans="16:31">
      <c r="P7" s="161" t="s">
        <v>11</v>
      </c>
      <c r="Q7" s="4">
        <f>Raw!W12</f>
        <v>0.1355000000000004</v>
      </c>
      <c r="R7" s="353">
        <f>SUM!AI12</f>
        <v>533.8832382667922</v>
      </c>
      <c r="S7" s="353">
        <f>SUM!AJ12</f>
        <v>-74.957431181444505</v>
      </c>
      <c r="T7" s="353"/>
      <c r="U7" s="161" t="s">
        <v>11</v>
      </c>
      <c r="V7" s="326">
        <f>SUM!AQ10</f>
        <v>0.32527699554449174</v>
      </c>
      <c r="W7" s="353">
        <f>SUM!AI10</f>
        <v>368.95972726430898</v>
      </c>
      <c r="X7" s="353">
        <f>SUM!AJ10</f>
        <v>-80.627530782664991</v>
      </c>
    </row>
    <row r="8" spans="16:31">
      <c r="P8" s="161" t="s">
        <v>11</v>
      </c>
      <c r="Q8" s="4">
        <f>Raw!W13</f>
        <v>0.81830000000000069</v>
      </c>
      <c r="R8" s="353">
        <f>SUM!AI13</f>
        <v>468.58061182902509</v>
      </c>
      <c r="S8" s="353">
        <f>SUM!AJ13</f>
        <v>-84.825103738002866</v>
      </c>
      <c r="T8" s="353"/>
      <c r="U8" s="161" t="s">
        <v>11</v>
      </c>
      <c r="V8" s="326">
        <f>SUM!AQ11</f>
        <v>0.51103186012688062</v>
      </c>
      <c r="W8" s="353">
        <f>SUM!AI11</f>
        <v>476.5532164128046</v>
      </c>
      <c r="X8" s="353">
        <f>SUM!AJ11</f>
        <v>-68.852019225904698</v>
      </c>
      <c r="AD8" s="161" t="s">
        <v>314</v>
      </c>
      <c r="AE8" s="161" t="s">
        <v>313</v>
      </c>
    </row>
    <row r="9" spans="16:31">
      <c r="P9" s="161" t="s">
        <v>11</v>
      </c>
      <c r="Q9" s="4">
        <f>Raw!W14</f>
        <v>0.17340000000000089</v>
      </c>
      <c r="R9" s="353">
        <f>SUM!AI14</f>
        <v>448.6695587750832</v>
      </c>
      <c r="S9" s="353">
        <f>SUM!AJ14</f>
        <v>-63.944195343121322</v>
      </c>
      <c r="T9" s="353"/>
      <c r="U9" s="161" t="s">
        <v>11</v>
      </c>
      <c r="V9" s="326">
        <f>SUM!AQ12</f>
        <v>0.46155341720557935</v>
      </c>
      <c r="W9" s="353">
        <f>SUM!AI12</f>
        <v>533.8832382667922</v>
      </c>
      <c r="X9" s="353">
        <f>SUM!AJ12</f>
        <v>-74.957431181444505</v>
      </c>
      <c r="Z9" s="161" t="s">
        <v>58</v>
      </c>
      <c r="AB9" s="161" t="s">
        <v>11</v>
      </c>
      <c r="AC9" s="161" t="s">
        <v>199</v>
      </c>
      <c r="AD9" s="26" t="e">
        <f>STDEV(Raw!$AI$5:$AI$24)/STDEV(SUM!$W$5:$W$24)</f>
        <v>#DIV/0!</v>
      </c>
      <c r="AE9" s="26">
        <f>STDEV(Raw!$W$5:$W$24)/STDEV(SUM!$AJ$5:$AJ$24)</f>
        <v>0.18315101299237677</v>
      </c>
    </row>
    <row r="10" spans="16:31">
      <c r="P10" s="161" t="s">
        <v>11</v>
      </c>
      <c r="Q10" s="4">
        <f>Raw!W15</f>
        <v>2.1168999999999976</v>
      </c>
      <c r="R10" s="353">
        <f>SUM!AI15</f>
        <v>331.10565929868363</v>
      </c>
      <c r="S10" s="353">
        <f>SUM!AJ15</f>
        <v>-62.261866009018902</v>
      </c>
      <c r="T10" s="353"/>
      <c r="U10" s="161" t="s">
        <v>11</v>
      </c>
      <c r="V10" s="326">
        <f>SUM!AQ13</f>
        <v>0.4894982243449541</v>
      </c>
      <c r="W10" s="353">
        <f>SUM!AI13</f>
        <v>468.58061182902509</v>
      </c>
      <c r="X10" s="353">
        <f>SUM!AJ13</f>
        <v>-84.825103738002866</v>
      </c>
      <c r="Z10" s="161" t="s">
        <v>59</v>
      </c>
      <c r="AB10" s="161" t="s">
        <v>11</v>
      </c>
      <c r="AC10" s="161" t="s">
        <v>199</v>
      </c>
    </row>
    <row r="11" spans="16:31">
      <c r="P11" s="161" t="s">
        <v>11</v>
      </c>
      <c r="Q11" s="4">
        <f>Raw!W16</f>
        <v>1.1960000000000015</v>
      </c>
      <c r="R11" s="353">
        <f>SUM!AI16</f>
        <v>505.62044005047619</v>
      </c>
      <c r="S11" s="353">
        <f>SUM!AJ16</f>
        <v>-76.466076351851768</v>
      </c>
      <c r="T11" s="353"/>
      <c r="U11" s="161" t="s">
        <v>11</v>
      </c>
      <c r="V11" s="326">
        <f>SUM!AQ14</f>
        <v>0.39041791331240622</v>
      </c>
      <c r="W11" s="353">
        <f>SUM!AI14</f>
        <v>448.6695587750832</v>
      </c>
      <c r="X11" s="353">
        <f>SUM!AJ14</f>
        <v>-63.944195343121322</v>
      </c>
      <c r="Z11" s="161" t="s">
        <v>159</v>
      </c>
      <c r="AB11" s="161" t="s">
        <v>11</v>
      </c>
      <c r="AC11" s="161" t="s">
        <v>199</v>
      </c>
      <c r="AD11" s="26">
        <f>RSQ(Raw!$W$5:$W$24,SUM!$AI$5:$AI$24)</f>
        <v>4.5830371963723429E-2</v>
      </c>
      <c r="AE11" s="26">
        <f>RSQ(Raw!$W$5:$W$24,SUM!$AJ$5:$AJ$24)</f>
        <v>0.15006672600910334</v>
      </c>
    </row>
    <row r="12" spans="16:31">
      <c r="P12" s="161" t="s">
        <v>11</v>
      </c>
      <c r="Q12" s="4">
        <f>Raw!W18</f>
        <v>6.8999999999999062E-3</v>
      </c>
      <c r="R12" s="353">
        <f>SUM!AI18</f>
        <v>241.17160959359637</v>
      </c>
      <c r="S12" s="353">
        <f>SUM!AJ18</f>
        <v>-83.829009754978955</v>
      </c>
      <c r="T12" s="353"/>
      <c r="U12" s="161" t="s">
        <v>11</v>
      </c>
      <c r="V12" s="326">
        <f>SUM!AQ15</f>
        <v>0.40267858616538338</v>
      </c>
      <c r="W12" s="353">
        <f>SUM!AI15</f>
        <v>331.10565929868363</v>
      </c>
      <c r="X12" s="353">
        <f>SUM!AJ15</f>
        <v>-62.261866009018902</v>
      </c>
    </row>
    <row r="13" spans="16:31">
      <c r="P13" s="161" t="s">
        <v>11</v>
      </c>
      <c r="Q13" s="4">
        <f>Raw!W19</f>
        <v>0.93229999999999968</v>
      </c>
      <c r="R13" s="353">
        <f>SUM!AI19</f>
        <v>493.57650172959541</v>
      </c>
      <c r="S13" s="353">
        <f>SUM!AJ19</f>
        <v>-65.53517035816067</v>
      </c>
      <c r="T13" s="353"/>
      <c r="U13" s="161" t="s">
        <v>11</v>
      </c>
      <c r="V13" s="326">
        <f>SUM!AQ16</f>
        <v>0.33678519274950802</v>
      </c>
      <c r="W13" s="353">
        <f>SUM!AI16</f>
        <v>505.62044005047619</v>
      </c>
      <c r="X13" s="353">
        <f>SUM!AJ16</f>
        <v>-76.466076351851768</v>
      </c>
      <c r="Z13" s="161" t="s">
        <v>58</v>
      </c>
      <c r="AB13" s="161" t="s">
        <v>12</v>
      </c>
      <c r="AC13" s="161" t="s">
        <v>199</v>
      </c>
      <c r="AD13" s="26">
        <f>STDEV(Raw!$W$5:$W$24)/STDEV(SUM!$AI$5:$AI$24)</f>
        <v>1.7419741370849073E-2</v>
      </c>
      <c r="AE13" s="26">
        <f>STDEV(Raw!$W$5:$W$24)/STDEV(SUM!$AJ$5:$AJ$24)</f>
        <v>0.18315101299237677</v>
      </c>
    </row>
    <row r="14" spans="16:31">
      <c r="P14" s="161" t="s">
        <v>11</v>
      </c>
      <c r="Q14" s="4">
        <f>Raw!W20</f>
        <v>8.8396999999999988</v>
      </c>
      <c r="R14" s="353">
        <f>SUM!AI20</f>
        <v>309.71614412660563</v>
      </c>
      <c r="S14" s="353">
        <f>SUM!AJ20</f>
        <v>-90.188733006038774</v>
      </c>
      <c r="T14" s="353"/>
      <c r="U14" s="161" t="s">
        <v>11</v>
      </c>
      <c r="V14" s="326">
        <f>SUM!AQ17</f>
        <v>0.2217061891793419</v>
      </c>
      <c r="W14" s="353">
        <f>SUM!AI17</f>
        <v>208.66112390735407</v>
      </c>
      <c r="X14" s="353">
        <f>SUM!AJ17</f>
        <v>-80.158953118916287</v>
      </c>
      <c r="Z14" s="161" t="s">
        <v>59</v>
      </c>
      <c r="AB14" s="161" t="s">
        <v>12</v>
      </c>
      <c r="AC14" s="161" t="s">
        <v>199</v>
      </c>
    </row>
    <row r="15" spans="16:31">
      <c r="P15" s="161" t="s">
        <v>11</v>
      </c>
      <c r="Q15" s="4">
        <f>Raw!W21</f>
        <v>0.85009999999999941</v>
      </c>
      <c r="R15" s="353">
        <f>SUM!AI21</f>
        <v>465.50534687335289</v>
      </c>
      <c r="S15" s="353">
        <f>SUM!AJ21</f>
        <v>-77.155391695277601</v>
      </c>
      <c r="T15" s="353"/>
      <c r="U15" s="161" t="s">
        <v>11</v>
      </c>
      <c r="V15" s="326">
        <f>SUM!AQ18</f>
        <v>0.17185665233189112</v>
      </c>
      <c r="W15" s="353">
        <f>SUM!AI18</f>
        <v>241.17160959359637</v>
      </c>
      <c r="X15" s="353">
        <f>SUM!AJ18</f>
        <v>-83.829009754978955</v>
      </c>
      <c r="Z15" s="161" t="s">
        <v>159</v>
      </c>
      <c r="AB15" s="161" t="s">
        <v>12</v>
      </c>
      <c r="AC15" s="161" t="s">
        <v>199</v>
      </c>
      <c r="AD15" s="26">
        <f>RSQ(Raw!$W$25:$W$44,SUM!$AI$25:$AI$44)</f>
        <v>3.482218599282344E-2</v>
      </c>
      <c r="AE15" s="26">
        <f>RSQ(Raw!$W$25:$W$44,SUM!$AJ$25:$AJ$44)</f>
        <v>9.1691628091395486E-3</v>
      </c>
    </row>
    <row r="16" spans="16:31">
      <c r="P16" s="161" t="s">
        <v>11</v>
      </c>
      <c r="Q16" s="4">
        <f>Raw!W22</f>
        <v>0.13569999999999993</v>
      </c>
      <c r="R16" s="353">
        <f>SUM!AI22</f>
        <v>437.80494670664422</v>
      </c>
      <c r="S16" s="353">
        <f>SUM!AJ22</f>
        <v>-49.72928244165341</v>
      </c>
      <c r="T16" s="353"/>
      <c r="U16" s="161" t="s">
        <v>11</v>
      </c>
      <c r="V16" s="326">
        <f>SUM!AQ19</f>
        <v>0.2833892422178842</v>
      </c>
      <c r="W16" s="353">
        <f>SUM!AI19</f>
        <v>493.57650172959541</v>
      </c>
      <c r="X16" s="353">
        <f>SUM!AJ19</f>
        <v>-65.53517035816067</v>
      </c>
    </row>
    <row r="17" spans="16:24">
      <c r="P17" s="161" t="s">
        <v>11</v>
      </c>
      <c r="Q17" s="4">
        <f>Raw!W23</f>
        <v>0.94819999999999993</v>
      </c>
      <c r="R17" s="353">
        <f>SUM!AI23</f>
        <v>430.46935410972094</v>
      </c>
      <c r="S17" s="353">
        <f>SUM!AJ23</f>
        <v>-92.601081498586581</v>
      </c>
      <c r="T17" s="353"/>
      <c r="U17" s="161" t="s">
        <v>11</v>
      </c>
      <c r="V17" s="326">
        <f>SUM!AQ20</f>
        <v>0.20180437850835786</v>
      </c>
      <c r="W17" s="353">
        <f>SUM!AI20</f>
        <v>309.71614412660563</v>
      </c>
      <c r="X17" s="353">
        <f>SUM!AJ20</f>
        <v>-90.188733006038774</v>
      </c>
    </row>
    <row r="18" spans="16:24">
      <c r="P18" s="161" t="s">
        <v>11</v>
      </c>
      <c r="Q18" s="4">
        <f>Raw!W24</f>
        <v>7.0300000000003138E-2</v>
      </c>
      <c r="R18" s="353">
        <f>SUM!AI24</f>
        <v>445.59411806759704</v>
      </c>
      <c r="S18" s="353">
        <f>SUM!AJ24</f>
        <v>-56.80497545811361</v>
      </c>
      <c r="T18" s="353"/>
      <c r="U18" s="161" t="s">
        <v>11</v>
      </c>
      <c r="V18" s="326">
        <f>SUM!AQ21</f>
        <v>0.28932774414135443</v>
      </c>
      <c r="W18" s="353">
        <f>SUM!AI21</f>
        <v>465.50534687335289</v>
      </c>
      <c r="X18" s="353">
        <f>SUM!AJ21</f>
        <v>-77.155391695277601</v>
      </c>
    </row>
    <row r="19" spans="16:24">
      <c r="P19" s="161" t="s">
        <v>12</v>
      </c>
      <c r="Q19" s="4">
        <f>Raw!W27</f>
        <v>7.4959000000000024</v>
      </c>
      <c r="R19" s="353">
        <f>SUM!AI27</f>
        <v>77.63438296296296</v>
      </c>
      <c r="S19" s="353">
        <f>SUM!AJ27</f>
        <v>-99.83520919706632</v>
      </c>
      <c r="T19" s="353"/>
      <c r="U19" s="161" t="s">
        <v>11</v>
      </c>
      <c r="V19" s="326">
        <f>SUM!AQ22</f>
        <v>0.3345186486070203</v>
      </c>
      <c r="W19" s="353">
        <f>SUM!AI22</f>
        <v>437.80494670664422</v>
      </c>
      <c r="X19" s="353">
        <f>SUM!AJ22</f>
        <v>-49.72928244165341</v>
      </c>
    </row>
    <row r="20" spans="16:24">
      <c r="P20" s="161" t="s">
        <v>12</v>
      </c>
      <c r="Q20" s="4">
        <f>Raw!W28</f>
        <v>6.6629000000000005</v>
      </c>
      <c r="R20" s="353">
        <f>SUM!AI28</f>
        <v>483.47371925925933</v>
      </c>
      <c r="S20" s="353">
        <f>SUM!AJ28</f>
        <v>-119.77502759030943</v>
      </c>
      <c r="T20" s="353"/>
      <c r="U20" s="161" t="s">
        <v>11</v>
      </c>
      <c r="V20" s="326">
        <f>SUM!AQ23</f>
        <v>0.38137387352585556</v>
      </c>
      <c r="W20" s="353">
        <f>SUM!AI23</f>
        <v>430.46935410972094</v>
      </c>
      <c r="X20" s="353">
        <f>SUM!AJ23</f>
        <v>-92.601081498586581</v>
      </c>
    </row>
    <row r="21" spans="16:24">
      <c r="P21" s="161" t="s">
        <v>12</v>
      </c>
      <c r="Q21" s="4">
        <f>Raw!W29</f>
        <v>11.096900000000002</v>
      </c>
      <c r="R21" s="353">
        <f>SUM!AI29</f>
        <v>472.99375037037032</v>
      </c>
      <c r="S21" s="353">
        <f>SUM!AJ29</f>
        <v>-121.50762202783106</v>
      </c>
      <c r="T21" s="353"/>
      <c r="U21" s="161" t="s">
        <v>11</v>
      </c>
      <c r="V21" s="326">
        <f>SUM!AQ24</f>
        <v>0.36651057455564473</v>
      </c>
      <c r="W21" s="353">
        <f>SUM!AI24</f>
        <v>445.59411806759704</v>
      </c>
      <c r="X21" s="353">
        <f>SUM!AJ24</f>
        <v>-56.80497545811361</v>
      </c>
    </row>
    <row r="22" spans="16:24">
      <c r="P22" s="161" t="s">
        <v>12</v>
      </c>
      <c r="Q22" s="4">
        <f>Raw!W30</f>
        <v>4.8781999999999996</v>
      </c>
      <c r="R22" s="353">
        <f>SUM!AI30</f>
        <v>334.69484888888906</v>
      </c>
      <c r="S22" s="353">
        <f>SUM!AJ30</f>
        <v>-142.90496041109358</v>
      </c>
      <c r="T22" s="353"/>
      <c r="U22" s="161" t="s">
        <v>12</v>
      </c>
      <c r="V22" s="326">
        <f>SUM!AQ25</f>
        <v>0.19899006339100295</v>
      </c>
      <c r="W22" s="353">
        <f>SUM!AI25</f>
        <v>299.59813169589989</v>
      </c>
      <c r="X22" s="353">
        <f>SUM!AJ25</f>
        <v>-85.85502788548709</v>
      </c>
    </row>
    <row r="23" spans="16:24">
      <c r="P23" s="161" t="s">
        <v>12</v>
      </c>
      <c r="Q23" s="4">
        <f>Raw!W31</f>
        <v>1.6046000000000014</v>
      </c>
      <c r="R23" s="353">
        <f>SUM!AI31</f>
        <v>411.30835555555547</v>
      </c>
      <c r="S23" s="353">
        <f>SUM!AJ31</f>
        <v>-96.92480702223142</v>
      </c>
      <c r="T23" s="353"/>
      <c r="U23" s="161" t="s">
        <v>12</v>
      </c>
      <c r="V23" s="326">
        <f>SUM!AQ26</f>
        <v>8.6150952954629031E-2</v>
      </c>
      <c r="W23" s="353">
        <f>SUM!AI26</f>
        <v>225.85802783761338</v>
      </c>
      <c r="X23" s="353">
        <f>SUM!AJ26</f>
        <v>-126.16054103134817</v>
      </c>
    </row>
    <row r="24" spans="16:24">
      <c r="P24" s="161" t="s">
        <v>12</v>
      </c>
      <c r="Q24" s="4">
        <f>Raw!W32</f>
        <v>4.5928000000000004</v>
      </c>
      <c r="R24" s="354">
        <f>SUM!AI32</f>
        <v>491.93548333333348</v>
      </c>
      <c r="S24" s="353">
        <f>SUM!AJ32</f>
        <v>-129.75536498505375</v>
      </c>
      <c r="T24" s="353"/>
      <c r="U24" s="161" t="s">
        <v>12</v>
      </c>
      <c r="V24" s="326">
        <f>SUM!AQ27</f>
        <v>6.5252734094689832E-2</v>
      </c>
      <c r="W24" s="353">
        <f>SUM!AI27</f>
        <v>77.63438296296296</v>
      </c>
      <c r="X24" s="353">
        <f>SUM!AJ27</f>
        <v>-99.83520919706632</v>
      </c>
    </row>
    <row r="25" spans="16:24">
      <c r="P25" s="161" t="s">
        <v>12</v>
      </c>
      <c r="Q25" s="4">
        <f>Raw!W33</f>
        <v>3.4085999999999999</v>
      </c>
      <c r="R25" s="354">
        <f>SUM!AI33</f>
        <v>-141.61884000000001</v>
      </c>
      <c r="S25" s="353">
        <f>SUM!AJ33</f>
        <v>-146.09145471768778</v>
      </c>
      <c r="T25" s="353"/>
      <c r="U25" s="161" t="s">
        <v>12</v>
      </c>
      <c r="V25" s="326">
        <f>SUM!AQ28</f>
        <v>0.22249790357566995</v>
      </c>
      <c r="W25" s="353">
        <f>SUM!AI28</f>
        <v>483.47371925925933</v>
      </c>
      <c r="X25" s="353">
        <f>SUM!AJ28</f>
        <v>-119.77502759030943</v>
      </c>
    </row>
    <row r="26" spans="16:24">
      <c r="P26" s="161" t="s">
        <v>12</v>
      </c>
      <c r="Q26" s="4">
        <f>Raw!W34</f>
        <v>4.1685999999999979</v>
      </c>
      <c r="R26" s="353">
        <f>SUM!AI34</f>
        <v>-115.29013999999999</v>
      </c>
      <c r="S26" s="353">
        <f>SUM!AJ34</f>
        <v>-146.09145471768778</v>
      </c>
      <c r="T26" s="353"/>
      <c r="U26" s="161" t="s">
        <v>12</v>
      </c>
      <c r="V26" s="326">
        <f>SUM!AQ29</f>
        <v>0.24436290575571054</v>
      </c>
      <c r="W26" s="353">
        <f>SUM!AI29</f>
        <v>472.99375037037032</v>
      </c>
      <c r="X26" s="353">
        <f>SUM!AJ29</f>
        <v>-121.50762202783106</v>
      </c>
    </row>
    <row r="27" spans="16:24">
      <c r="P27" s="161" t="s">
        <v>12</v>
      </c>
      <c r="Q27" s="4">
        <f>Raw!W35</f>
        <v>8.9052000000000007</v>
      </c>
      <c r="R27" s="353">
        <f>SUM!AI35</f>
        <v>-198.14718999999999</v>
      </c>
      <c r="S27" s="353">
        <f>SUM!AJ35</f>
        <v>-154.95779675821993</v>
      </c>
      <c r="T27" s="353"/>
      <c r="U27" s="161" t="s">
        <v>12</v>
      </c>
      <c r="V27" s="326">
        <f>SUM!AQ30</f>
        <v>0.18175820219196481</v>
      </c>
      <c r="W27" s="353">
        <f>SUM!AI30</f>
        <v>334.69484888888906</v>
      </c>
      <c r="X27" s="353">
        <f>SUM!AJ30</f>
        <v>-142.90496041109358</v>
      </c>
    </row>
    <row r="28" spans="16:24">
      <c r="P28" s="161" t="s">
        <v>12</v>
      </c>
      <c r="Q28" s="4">
        <f>Raw!W36</f>
        <v>13.4329</v>
      </c>
      <c r="R28" s="353">
        <f>SUM!AI36</f>
        <v>478.86419857142863</v>
      </c>
      <c r="S28" s="353">
        <f>SUM!AJ36</f>
        <v>-126.01940788662971</v>
      </c>
      <c r="T28" s="353"/>
      <c r="U28" s="161" t="s">
        <v>12</v>
      </c>
      <c r="V28" s="326">
        <f>SUM!AQ31</f>
        <v>0.28210647550368073</v>
      </c>
      <c r="W28" s="353">
        <f>SUM!AI31</f>
        <v>411.30835555555547</v>
      </c>
      <c r="X28" s="353">
        <f>SUM!AJ31</f>
        <v>-96.92480702223142</v>
      </c>
    </row>
    <row r="29" spans="16:24">
      <c r="P29" s="161" t="s">
        <v>12</v>
      </c>
      <c r="Q29" s="4">
        <f>Raw!W37</f>
        <v>2.7038000000000011</v>
      </c>
      <c r="R29" s="353">
        <f>SUM!AI37</f>
        <v>74.258719999999983</v>
      </c>
      <c r="S29" s="353">
        <f>SUM!AJ37</f>
        <v>-131.91937334150273</v>
      </c>
      <c r="T29" s="353"/>
      <c r="U29" s="161" t="s">
        <v>12</v>
      </c>
      <c r="V29" s="326">
        <f>SUM!AQ32</f>
        <v>0.26658467653528767</v>
      </c>
      <c r="W29" s="353">
        <f>SUM!AI32</f>
        <v>491.93548333333348</v>
      </c>
      <c r="X29" s="353">
        <f>SUM!AJ32</f>
        <v>-129.75536498505375</v>
      </c>
    </row>
    <row r="30" spans="16:24">
      <c r="P30" s="161" t="s">
        <v>12</v>
      </c>
      <c r="Q30" s="4">
        <f>Raw!W38</f>
        <v>20.867899999999999</v>
      </c>
      <c r="R30" s="353">
        <f>SUM!AI38</f>
        <v>186.51404185185191</v>
      </c>
      <c r="S30" s="353">
        <f>SUM!AJ38</f>
        <v>-153.25784646007872</v>
      </c>
      <c r="T30" s="353"/>
      <c r="U30" s="161" t="s">
        <v>12</v>
      </c>
      <c r="V30" s="326">
        <f>SUM!AQ33</f>
        <v>0.25177423760104539</v>
      </c>
      <c r="W30" s="353">
        <f>SUM!AI33</f>
        <v>-141.61884000000001</v>
      </c>
      <c r="X30" s="353">
        <f>SUM!AJ33</f>
        <v>-146.09145471768778</v>
      </c>
    </row>
    <row r="31" spans="16:24">
      <c r="P31" s="161" t="s">
        <v>12</v>
      </c>
      <c r="Q31" s="4">
        <f>Raw!W39</f>
        <v>19.513099999999998</v>
      </c>
      <c r="R31" s="353">
        <f>SUM!AI39</f>
        <v>465.28718692307689</v>
      </c>
      <c r="S31" s="353">
        <f>SUM!AJ39</f>
        <v>-92.572001344330658</v>
      </c>
      <c r="T31" s="353"/>
      <c r="U31" s="161" t="s">
        <v>12</v>
      </c>
      <c r="V31" s="326">
        <f>SUM!AQ34</f>
        <v>0.19945688024940464</v>
      </c>
      <c r="W31" s="353">
        <f>SUM!AI34</f>
        <v>-115.29013999999999</v>
      </c>
      <c r="X31" s="353">
        <f>SUM!AJ34</f>
        <v>-146.09145471768778</v>
      </c>
    </row>
    <row r="32" spans="16:24">
      <c r="P32" s="161" t="s">
        <v>12</v>
      </c>
      <c r="Q32" s="4">
        <f>Raw!W40</f>
        <v>19.515500000000003</v>
      </c>
      <c r="R32" s="353">
        <f>SUM!AI40</f>
        <v>321.23493999999999</v>
      </c>
      <c r="S32" s="353">
        <f>SUM!AJ40</f>
        <v>-103.28853398128129</v>
      </c>
      <c r="T32" s="353"/>
      <c r="U32" s="161" t="s">
        <v>12</v>
      </c>
      <c r="V32" s="326">
        <f>SUM!AQ35</f>
        <v>0.20217361910645426</v>
      </c>
      <c r="W32" s="353">
        <f>SUM!AI35</f>
        <v>-198.14718999999999</v>
      </c>
      <c r="X32" s="353">
        <f>SUM!AJ35</f>
        <v>-154.95779675821993</v>
      </c>
    </row>
    <row r="33" spans="16:25">
      <c r="P33" s="161" t="s">
        <v>12</v>
      </c>
      <c r="Q33" s="4">
        <f>Raw!W41</f>
        <v>13.4061</v>
      </c>
      <c r="R33" s="353">
        <f>SUM!AI41</f>
        <v>436.63307384615376</v>
      </c>
      <c r="S33" s="353">
        <f>SUM!AJ41</f>
        <v>-257.26726680174738</v>
      </c>
      <c r="T33" s="353"/>
      <c r="U33" s="161" t="s">
        <v>12</v>
      </c>
      <c r="V33" s="326">
        <f>SUM!AQ36</f>
        <v>0.10906285641277819</v>
      </c>
      <c r="W33" s="353">
        <f>SUM!AI36</f>
        <v>478.86419857142863</v>
      </c>
      <c r="X33" s="353">
        <f>SUM!AJ36</f>
        <v>-126.01940788662971</v>
      </c>
    </row>
    <row r="34" spans="16:25">
      <c r="P34" s="161" t="s">
        <v>12</v>
      </c>
      <c r="Q34" s="4">
        <f>Raw!W42</f>
        <v>14.307400000000001</v>
      </c>
      <c r="R34" s="353">
        <f>SUM!AI42</f>
        <v>-160.2987</v>
      </c>
      <c r="S34" s="353">
        <f>SUM!AJ42</f>
        <v>-188.69472391067012</v>
      </c>
      <c r="T34" s="353"/>
      <c r="U34" s="161" t="s">
        <v>12</v>
      </c>
      <c r="V34" s="326">
        <f>SUM!AQ37</f>
        <v>8.3628849569214028E-2</v>
      </c>
      <c r="W34" s="353">
        <f>SUM!AI37</f>
        <v>74.258719999999983</v>
      </c>
      <c r="X34" s="353">
        <f>SUM!AJ37</f>
        <v>-131.91937334150273</v>
      </c>
    </row>
    <row r="35" spans="16:25">
      <c r="P35" s="161" t="s">
        <v>12</v>
      </c>
      <c r="Q35" s="4">
        <f>Raw!W43</f>
        <v>11.624099999999999</v>
      </c>
      <c r="R35" s="353">
        <f>SUM!AI43</f>
        <v>238.37037999999995</v>
      </c>
      <c r="S35" s="353">
        <f>SUM!AJ43</f>
        <v>-84.471919124361264</v>
      </c>
      <c r="T35" s="353"/>
      <c r="U35" s="161" t="s">
        <v>12</v>
      </c>
      <c r="V35" s="326">
        <f>SUM!AQ38</f>
        <v>5.6950233765376161E-2</v>
      </c>
      <c r="W35" s="353">
        <f>SUM!AI38</f>
        <v>186.51404185185191</v>
      </c>
      <c r="X35" s="353">
        <f>SUM!AJ38</f>
        <v>-153.25784646007872</v>
      </c>
    </row>
    <row r="36" spans="16:25">
      <c r="P36" s="161" t="s">
        <v>12</v>
      </c>
      <c r="Q36" s="4">
        <f>Raw!W44</f>
        <v>7.9246000000000016</v>
      </c>
      <c r="R36" s="353">
        <f>SUM!AI44</f>
        <v>300.1436066666667</v>
      </c>
      <c r="S36" s="353">
        <f>SUM!AJ44</f>
        <v>-87.035695814450207</v>
      </c>
      <c r="T36" s="353"/>
      <c r="U36" s="161" t="s">
        <v>12</v>
      </c>
      <c r="V36" s="326">
        <f>SUM!AQ39</f>
        <v>9.735737213897061E-2</v>
      </c>
      <c r="W36" s="353">
        <f>SUM!AI39</f>
        <v>465.28718692307689</v>
      </c>
      <c r="X36" s="353">
        <f>SUM!AJ39</f>
        <v>-92.572001344330658</v>
      </c>
    </row>
    <row r="37" spans="16:25">
      <c r="T37" s="353"/>
      <c r="U37" s="161" t="s">
        <v>12</v>
      </c>
      <c r="V37" s="326">
        <f>SUM!AQ40</f>
        <v>6.4417526718042808E-2</v>
      </c>
      <c r="W37" s="353">
        <f>SUM!AI40</f>
        <v>321.23493999999999</v>
      </c>
      <c r="X37" s="353">
        <f>SUM!AJ40</f>
        <v>-103.28853398128129</v>
      </c>
    </row>
    <row r="38" spans="16:25">
      <c r="T38" s="353"/>
      <c r="U38" s="161" t="s">
        <v>12</v>
      </c>
      <c r="V38" s="326">
        <f>SUM!AQ41</f>
        <v>9.8985950185157601E-2</v>
      </c>
      <c r="W38" s="353">
        <f>SUM!AI41</f>
        <v>436.63307384615376</v>
      </c>
      <c r="X38" s="353">
        <f>SUM!AJ41</f>
        <v>-257.26726680174738</v>
      </c>
    </row>
    <row r="39" spans="16:25">
      <c r="T39" s="353"/>
      <c r="U39" s="161" t="s">
        <v>12</v>
      </c>
      <c r="V39" s="326">
        <f>SUM!AQ42</f>
        <v>0.13800112488060418</v>
      </c>
      <c r="W39" s="353">
        <f>SUM!AI42</f>
        <v>-160.2987</v>
      </c>
      <c r="X39" s="353">
        <f>SUM!AJ42</f>
        <v>-188.69472391067012</v>
      </c>
    </row>
    <row r="40" spans="16:25">
      <c r="T40" s="353"/>
      <c r="U40" s="161" t="s">
        <v>12</v>
      </c>
      <c r="V40" s="326">
        <f>SUM!AQ43</f>
        <v>0.16571877779870328</v>
      </c>
      <c r="W40" s="353">
        <f>SUM!AI43</f>
        <v>238.37037999999995</v>
      </c>
      <c r="X40" s="353">
        <f>SUM!AJ43</f>
        <v>-84.471919124361264</v>
      </c>
    </row>
    <row r="41" spans="16:25">
      <c r="T41" s="353"/>
      <c r="U41" s="161" t="s">
        <v>12</v>
      </c>
      <c r="V41" s="326">
        <f>SUM!AQ44</f>
        <v>0.17016446995918663</v>
      </c>
      <c r="W41" s="353">
        <f>SUM!AI44</f>
        <v>300.1436066666667</v>
      </c>
      <c r="X41" s="353">
        <f>SUM!AJ44</f>
        <v>-87.035695814450207</v>
      </c>
    </row>
    <row r="44" spans="16:25">
      <c r="P44" s="143" t="s">
        <v>320</v>
      </c>
      <c r="Q44" s="324" t="s">
        <v>316</v>
      </c>
      <c r="R44" s="324" t="s">
        <v>317</v>
      </c>
      <c r="S44" s="324" t="s">
        <v>58</v>
      </c>
      <c r="T44" s="324" t="s">
        <v>59</v>
      </c>
      <c r="U44" s="324" t="s">
        <v>159</v>
      </c>
      <c r="V44" s="324" t="s">
        <v>321</v>
      </c>
      <c r="W44" s="324" t="s">
        <v>322</v>
      </c>
      <c r="X44" s="324" t="s">
        <v>323</v>
      </c>
      <c r="Y44" s="324" t="s">
        <v>324</v>
      </c>
    </row>
    <row r="45" spans="16:25">
      <c r="P45" s="161" t="s">
        <v>318</v>
      </c>
      <c r="Q45" s="4">
        <f>AVERAGE(Q2:Q18)</f>
        <v>1.214835294117647</v>
      </c>
      <c r="R45" s="353">
        <f>AVERAGE(R2:R18)</f>
        <v>422.07523053582509</v>
      </c>
      <c r="S45" s="3">
        <f>STDEV(R2:R18)/STDEV(Q2:Q18)</f>
        <v>54.315159923484394</v>
      </c>
      <c r="T45" s="163">
        <f>R45-S45*Q45</f>
        <v>356.09125725513189</v>
      </c>
      <c r="U45" s="26">
        <f>RSQ(R2:R18, Q2:Q18)</f>
        <v>4.5830371963723429E-2</v>
      </c>
      <c r="V45" s="161">
        <v>0</v>
      </c>
      <c r="W45" s="161">
        <v>6</v>
      </c>
      <c r="X45" s="163">
        <f>S45*V45+T45</f>
        <v>356.09125725513189</v>
      </c>
      <c r="Y45" s="163">
        <f>S45*W45+T45</f>
        <v>681.9822167960383</v>
      </c>
    </row>
    <row r="46" spans="16:25">
      <c r="P46" s="161" t="s">
        <v>319</v>
      </c>
      <c r="Q46" s="4">
        <f>AVERAGE(Q2:Q18)</f>
        <v>1.214835294117647</v>
      </c>
      <c r="R46" s="163">
        <f>AVERAGE(S2:S18)</f>
        <v>-71.894853276165691</v>
      </c>
      <c r="S46" s="3">
        <f>STDEV(S2:S18)/STDEV(Q2:Q18)</f>
        <v>5.6875692284502524</v>
      </c>
      <c r="T46" s="163">
        <f>R46-S46*Q46</f>
        <v>-78.804313112624527</v>
      </c>
      <c r="U46" s="26">
        <f>RSQ(S3:S19, Q3:Q19)</f>
        <v>0.31455262445359666</v>
      </c>
      <c r="V46" s="161">
        <v>0</v>
      </c>
      <c r="W46" s="161">
        <v>6</v>
      </c>
      <c r="X46" s="163">
        <f>S46*V46+T46</f>
        <v>-78.804313112624527</v>
      </c>
      <c r="Y46" s="163">
        <f>S46*W46+T46</f>
        <v>-44.678897741923009</v>
      </c>
    </row>
    <row r="47" spans="16:25">
      <c r="P47" s="161" t="s">
        <v>326</v>
      </c>
      <c r="Q47" s="4">
        <f>AVERAGE(Q19:Q36)</f>
        <v>9.783838888888889</v>
      </c>
      <c r="R47" s="163">
        <f>AVERAGE(R19:R36)</f>
        <v>230.99954545719714</v>
      </c>
      <c r="S47" s="3">
        <f>STDEV(R19:R36)/STDEV(Q19:Q36)</f>
        <v>41.058721325246076</v>
      </c>
      <c r="T47" s="163">
        <f>R47-S47*Q47</f>
        <v>-170.71236897279698</v>
      </c>
      <c r="U47" s="26">
        <f>RSQ(R19:R36, Q19:Q36)</f>
        <v>3.482218599282344E-2</v>
      </c>
      <c r="V47" s="161">
        <v>0</v>
      </c>
      <c r="W47" s="161">
        <v>22</v>
      </c>
      <c r="X47" s="163">
        <f>S47*V47+T47</f>
        <v>-170.71236897279698</v>
      </c>
      <c r="Y47" s="163">
        <f>S47*W47+T47</f>
        <v>732.5795001826167</v>
      </c>
    </row>
    <row r="48" spans="16:25">
      <c r="P48" s="161" t="s">
        <v>327</v>
      </c>
      <c r="Q48" s="4">
        <f>AVERAGE(Q19:Q36)</f>
        <v>9.783838888888889</v>
      </c>
      <c r="R48" s="163">
        <f>AVERAGE(S19:S36)</f>
        <v>-132.35391478290185</v>
      </c>
      <c r="S48" s="3">
        <f>STDEV(S19:S36)/STDEV(Q19:Q36)</f>
        <v>6.8920839579007529</v>
      </c>
      <c r="T48" s="163">
        <f>R48-S48*Q48</f>
        <v>-199.7849538356985</v>
      </c>
      <c r="U48" s="26">
        <f>RSQ(S19:S36, Q19:Q36)</f>
        <v>9.1691628091395486E-3</v>
      </c>
      <c r="V48" s="161">
        <v>0</v>
      </c>
      <c r="W48" s="161">
        <v>22</v>
      </c>
      <c r="X48" s="163">
        <f>S48*V48+T48</f>
        <v>-199.7849538356985</v>
      </c>
      <c r="Y48" s="163">
        <f>S48*W48+T48</f>
        <v>-48.15910676188193</v>
      </c>
    </row>
    <row r="49" spans="16:25">
      <c r="Q49" s="4"/>
      <c r="R49" s="163"/>
      <c r="S49" s="3"/>
      <c r="T49" s="163"/>
    </row>
    <row r="50" spans="16:25">
      <c r="P50" s="143" t="s">
        <v>325</v>
      </c>
      <c r="Q50" s="324" t="s">
        <v>316</v>
      </c>
      <c r="R50" s="324" t="s">
        <v>317</v>
      </c>
      <c r="S50" s="324" t="s">
        <v>58</v>
      </c>
      <c r="T50" s="324" t="s">
        <v>59</v>
      </c>
      <c r="U50" s="324" t="s">
        <v>159</v>
      </c>
      <c r="V50" s="324" t="s">
        <v>321</v>
      </c>
      <c r="W50" s="324" t="s">
        <v>322</v>
      </c>
      <c r="X50" s="324" t="s">
        <v>323</v>
      </c>
      <c r="Y50" s="324" t="s">
        <v>324</v>
      </c>
    </row>
    <row r="51" spans="16:25">
      <c r="P51" s="161" t="s">
        <v>318</v>
      </c>
      <c r="Q51" s="326">
        <f>AVERAGE(V2:V21)</f>
        <v>0.33971976562595896</v>
      </c>
      <c r="R51" s="353">
        <f>AVERAGE(W2:W21)</f>
        <v>399.68905327524976</v>
      </c>
      <c r="S51" s="163">
        <f>SLOPE(W2:W21,V2:V21)</f>
        <v>867.10776766891286</v>
      </c>
      <c r="T51" s="163">
        <f t="shared" ref="T51:T54" si="0">R51-S51*Q51</f>
        <v>105.11540567031824</v>
      </c>
      <c r="U51" s="26">
        <f>RSQ(W2:W21,V2:V21)</f>
        <v>0.65426576033634687</v>
      </c>
      <c r="V51" s="161">
        <v>0</v>
      </c>
      <c r="W51" s="161">
        <v>0.6</v>
      </c>
      <c r="X51" s="163">
        <f>S51*V51+T51</f>
        <v>105.11540567031824</v>
      </c>
      <c r="Y51" s="163">
        <f>S51*W51+T51</f>
        <v>625.38006627166601</v>
      </c>
    </row>
    <row r="52" spans="16:25">
      <c r="P52" s="161" t="s">
        <v>319</v>
      </c>
      <c r="Q52" s="326">
        <f>AVERAGE(V2:V21)</f>
        <v>0.33971976562595896</v>
      </c>
      <c r="R52" s="353">
        <f>AVERAGE(X2:X21)</f>
        <v>-71.617864851202384</v>
      </c>
      <c r="S52" s="163">
        <f>SLOPE(X2:X21,V2:V21)</f>
        <v>18.117239746655624</v>
      </c>
      <c r="T52" s="163">
        <f t="shared" si="0"/>
        <v>-77.772649291725543</v>
      </c>
      <c r="U52" s="26">
        <f>RSQ(X2:X21,V2:V21)</f>
        <v>3.15738358596062E-2</v>
      </c>
      <c r="V52" s="161">
        <v>0</v>
      </c>
      <c r="W52" s="161">
        <v>0.6</v>
      </c>
      <c r="X52" s="163">
        <f>S52*V52+T52</f>
        <v>-77.772649291725543</v>
      </c>
      <c r="Y52" s="163">
        <f>S52*W52+T52</f>
        <v>-66.902305443732175</v>
      </c>
    </row>
    <row r="53" spans="16:25">
      <c r="P53" s="161" t="s">
        <v>326</v>
      </c>
      <c r="Q53" s="326">
        <f>AVERAGE(V22:V41)</f>
        <v>0.15926979061937865</v>
      </c>
      <c r="R53" s="353">
        <f>AVERAGE(W22:W41)</f>
        <v>234.17239888815303</v>
      </c>
      <c r="S53" s="163">
        <f>SLOPE(W22:W41,V22:V41)</f>
        <v>170.59836351989938</v>
      </c>
      <c r="T53" s="163">
        <f t="shared" si="0"/>
        <v>207.00123325033002</v>
      </c>
      <c r="U53" s="26">
        <f>RSQ(W22:W41,V22:V41)</f>
        <v>2.8090998264475374E-3</v>
      </c>
      <c r="V53" s="161">
        <v>0</v>
      </c>
      <c r="W53" s="161">
        <v>0.35</v>
      </c>
      <c r="X53" s="163">
        <f>S53*V53+T53</f>
        <v>207.00123325033002</v>
      </c>
      <c r="Y53" s="163">
        <f>S53*W53+T53</f>
        <v>266.71066048229477</v>
      </c>
    </row>
    <row r="54" spans="16:25">
      <c r="P54" s="161" t="s">
        <v>327</v>
      </c>
      <c r="Q54" s="326">
        <f>AVERAGE(V22:V41)</f>
        <v>0.15926979061937865</v>
      </c>
      <c r="R54" s="353">
        <f>AVERAGE(X22:X41)</f>
        <v>-129.71930175045344</v>
      </c>
      <c r="S54" s="163">
        <f>SLOPE(X22:X41,V22:V41)</f>
        <v>76.094686207224157</v>
      </c>
      <c r="T54" s="163">
        <f t="shared" si="0"/>
        <v>-141.83888648992536</v>
      </c>
      <c r="U54" s="26">
        <f>RSQ(X22:X41,V22:V41)</f>
        <v>1.8624466770940235E-2</v>
      </c>
      <c r="V54" s="161">
        <v>0</v>
      </c>
      <c r="W54" s="161">
        <v>0.35</v>
      </c>
      <c r="X54" s="163">
        <f>S54*V54+T54</f>
        <v>-141.83888648992536</v>
      </c>
      <c r="Y54" s="163">
        <f>S54*W54+T54</f>
        <v>-115.2057463173969</v>
      </c>
    </row>
  </sheetData>
  <pageMargins left="0.75" right="0.75" top="1" bottom="1" header="0.5" footer="0.5"/>
  <pageSetup orientation="portrait" r:id="rId1"/>
  <headerFooter alignWithMargins="0">
    <oddFooter>&amp;L&amp;F, &amp;D&amp;R&amp;A</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69"/>
  <sheetViews>
    <sheetView workbookViewId="0">
      <pane xSplit="1" ySplit="1" topLeftCell="B4" activePane="bottomRight" state="frozen"/>
      <selection pane="topRight" activeCell="C1" sqref="C1"/>
      <selection pane="bottomLeft" activeCell="A4" sqref="A4"/>
      <selection pane="bottomRight" activeCell="E42" sqref="E42"/>
    </sheetView>
  </sheetViews>
  <sheetFormatPr defaultColWidth="8.88671875" defaultRowHeight="13.2"/>
  <cols>
    <col min="1" max="1" width="7.6640625" style="161" bestFit="1" customWidth="1"/>
    <col min="2" max="3" width="8.88671875" style="161"/>
    <col min="4" max="4" width="9.6640625" style="161" bestFit="1" customWidth="1"/>
    <col min="5" max="6" width="7.5546875" style="161" bestFit="1" customWidth="1"/>
    <col min="7" max="16384" width="8.88671875" style="161"/>
  </cols>
  <sheetData>
    <row r="1" spans="1:8">
      <c r="A1" s="329" t="s">
        <v>261</v>
      </c>
      <c r="B1" s="181" t="s">
        <v>262</v>
      </c>
      <c r="C1" s="181" t="s">
        <v>263</v>
      </c>
      <c r="D1" s="181" t="s">
        <v>266</v>
      </c>
      <c r="E1" s="181" t="s">
        <v>265</v>
      </c>
      <c r="F1" s="181" t="s">
        <v>264</v>
      </c>
      <c r="G1" s="181"/>
      <c r="H1" s="181"/>
    </row>
    <row r="2" spans="1:8">
      <c r="A2" s="98" t="s">
        <v>11</v>
      </c>
      <c r="B2" s="161" t="s">
        <v>32</v>
      </c>
      <c r="C2" s="161" t="s">
        <v>130</v>
      </c>
      <c r="D2" s="331">
        <f>SUM!A5</f>
        <v>41381</v>
      </c>
      <c r="E2" s="26">
        <f>SUM!E5</f>
        <v>1.1996539065622318</v>
      </c>
      <c r="F2" s="26">
        <f>-SUM!K5</f>
        <v>0.3271119023112386</v>
      </c>
      <c r="G2" s="4"/>
      <c r="H2" s="4"/>
    </row>
    <row r="3" spans="1:8">
      <c r="A3" s="98" t="s">
        <v>11</v>
      </c>
      <c r="B3" s="161" t="s">
        <v>32</v>
      </c>
      <c r="C3" s="161" t="s">
        <v>130</v>
      </c>
      <c r="D3" s="331">
        <f>SUM!A6</f>
        <v>41388</v>
      </c>
      <c r="E3" s="26">
        <f>SUM!E6</f>
        <v>0.41443410744339687</v>
      </c>
      <c r="F3" s="26">
        <f>-SUM!K6</f>
        <v>0.61693915908639985</v>
      </c>
      <c r="G3" s="4"/>
      <c r="H3" s="4"/>
    </row>
    <row r="4" spans="1:8">
      <c r="A4" s="98" t="s">
        <v>11</v>
      </c>
      <c r="B4" s="161" t="s">
        <v>32</v>
      </c>
      <c r="C4" s="161" t="s">
        <v>130</v>
      </c>
      <c r="D4" s="331">
        <f>SUM!A7</f>
        <v>41395</v>
      </c>
      <c r="E4" s="26">
        <f>SUM!E7</f>
        <v>0.49111499465878228</v>
      </c>
      <c r="F4" s="26">
        <f>-SUM!K7</f>
        <v>0.45866424462100347</v>
      </c>
      <c r="G4" s="4"/>
      <c r="H4" s="4"/>
    </row>
    <row r="5" spans="1:8">
      <c r="A5" s="98" t="s">
        <v>11</v>
      </c>
      <c r="B5" s="161" t="s">
        <v>32</v>
      </c>
      <c r="C5" s="161" t="s">
        <v>130</v>
      </c>
      <c r="D5" s="331">
        <f>SUM!A8</f>
        <v>41403</v>
      </c>
      <c r="E5" s="26">
        <f>SUM!E8</f>
        <v>0.80294626222345133</v>
      </c>
      <c r="F5" s="26">
        <f>-SUM!K8</f>
        <v>0.40500103328676246</v>
      </c>
      <c r="G5" s="4"/>
      <c r="H5" s="4"/>
    </row>
    <row r="6" spans="1:8">
      <c r="A6" s="98" t="s">
        <v>11</v>
      </c>
      <c r="B6" s="161" t="s">
        <v>32</v>
      </c>
      <c r="C6" s="161" t="s">
        <v>130</v>
      </c>
      <c r="D6" s="331">
        <f>SUM!A9</f>
        <v>41409</v>
      </c>
      <c r="E6" s="26">
        <f>SUM!E9</f>
        <v>0.16685402432629934</v>
      </c>
      <c r="F6" s="26">
        <f>-SUM!K9</f>
        <v>0.53729691236994748</v>
      </c>
      <c r="G6" s="4"/>
      <c r="H6" s="4"/>
    </row>
    <row r="7" spans="1:8">
      <c r="A7" s="98" t="s">
        <v>11</v>
      </c>
      <c r="B7" s="161" t="s">
        <v>32</v>
      </c>
      <c r="C7" s="161" t="s">
        <v>130</v>
      </c>
      <c r="D7" s="331">
        <f>SUM!A10</f>
        <v>41416</v>
      </c>
      <c r="E7" s="26">
        <f>SUM!E10</f>
        <v>-6.9223640816187301E-2</v>
      </c>
      <c r="F7" s="26">
        <f>-SUM!K10</f>
        <v>0.90632029951847193</v>
      </c>
      <c r="G7" s="4"/>
      <c r="H7" s="4"/>
    </row>
    <row r="8" spans="1:8">
      <c r="A8" s="98" t="s">
        <v>11</v>
      </c>
      <c r="B8" s="161" t="s">
        <v>32</v>
      </c>
      <c r="C8" s="161" t="s">
        <v>130</v>
      </c>
      <c r="D8" s="331">
        <f>SUM!A11</f>
        <v>41423</v>
      </c>
      <c r="E8" s="26">
        <f>SUM!E11</f>
        <v>0.68616390327435217</v>
      </c>
      <c r="F8" s="26">
        <f>-SUM!K11</f>
        <v>0.57922275627513042</v>
      </c>
      <c r="G8" s="4"/>
      <c r="H8" s="4"/>
    </row>
    <row r="9" spans="1:8">
      <c r="A9" s="98" t="s">
        <v>11</v>
      </c>
      <c r="B9" s="161" t="s">
        <v>32</v>
      </c>
      <c r="C9" s="161" t="s">
        <v>130</v>
      </c>
      <c r="D9" s="331">
        <f>SUM!A12</f>
        <v>41430</v>
      </c>
      <c r="E9" s="26">
        <f>SUM!E12</f>
        <v>0.37451132429646283</v>
      </c>
      <c r="F9" s="26">
        <f>-SUM!K12</f>
        <v>0.74881753281790286</v>
      </c>
      <c r="G9" s="4"/>
      <c r="H9" s="4"/>
    </row>
    <row r="10" spans="1:8">
      <c r="A10" s="98" t="s">
        <v>11</v>
      </c>
      <c r="B10" s="161" t="s">
        <v>32</v>
      </c>
      <c r="C10" s="161" t="s">
        <v>130</v>
      </c>
      <c r="D10" s="331">
        <f>SUM!A13</f>
        <v>41437</v>
      </c>
      <c r="E10" s="26">
        <f>SUM!E13</f>
        <v>0.90420991755702984</v>
      </c>
      <c r="F10" s="26">
        <f>-SUM!K13</f>
        <v>1.0229195482778572</v>
      </c>
      <c r="G10" s="4"/>
      <c r="H10" s="4"/>
    </row>
    <row r="11" spans="1:8">
      <c r="A11" s="98" t="s">
        <v>11</v>
      </c>
      <c r="B11" s="161" t="s">
        <v>32</v>
      </c>
      <c r="C11" s="161" t="s">
        <v>130</v>
      </c>
      <c r="D11" s="331">
        <f>SUM!A14</f>
        <v>41444</v>
      </c>
      <c r="E11" s="26">
        <f>SUM!E14</f>
        <v>0.99977979385000093</v>
      </c>
      <c r="F11" s="26">
        <f>-SUM!K14</f>
        <v>0.44289431508670335</v>
      </c>
      <c r="G11" s="4"/>
      <c r="H11" s="4"/>
    </row>
    <row r="12" spans="1:8">
      <c r="A12" s="98" t="s">
        <v>11</v>
      </c>
      <c r="B12" s="161" t="s">
        <v>32</v>
      </c>
      <c r="C12" s="161" t="s">
        <v>130</v>
      </c>
      <c r="D12" s="331">
        <f>SUM!A15</f>
        <v>41451</v>
      </c>
      <c r="E12" s="26">
        <f>SUM!E15</f>
        <v>1.1500686320532769</v>
      </c>
      <c r="F12" s="26">
        <f>-SUM!K15</f>
        <v>0.3961629446949696</v>
      </c>
      <c r="G12" s="4"/>
      <c r="H12" s="4"/>
    </row>
    <row r="13" spans="1:8">
      <c r="A13" s="98" t="s">
        <v>11</v>
      </c>
      <c r="B13" s="161" t="s">
        <v>32</v>
      </c>
      <c r="C13" s="161" t="s">
        <v>131</v>
      </c>
      <c r="D13" s="331">
        <f>SUM!A16</f>
        <v>41472</v>
      </c>
      <c r="E13" s="26">
        <f>SUM!E16</f>
        <v>0.77710152449046244</v>
      </c>
      <c r="F13" s="26">
        <f>-SUM!K16</f>
        <v>0.79072434310699347</v>
      </c>
      <c r="G13" s="4"/>
      <c r="H13" s="4"/>
    </row>
    <row r="14" spans="1:8">
      <c r="A14" s="98" t="s">
        <v>11</v>
      </c>
      <c r="B14" s="161" t="s">
        <v>32</v>
      </c>
      <c r="C14" s="161" t="s">
        <v>131</v>
      </c>
      <c r="D14" s="331">
        <f>SUM!A17</f>
        <v>41479</v>
      </c>
      <c r="E14" s="26">
        <f>SUM!E17</f>
        <v>4.5631404532839923</v>
      </c>
      <c r="F14" s="26">
        <f>-SUM!K17</f>
        <v>0.89330425330323038</v>
      </c>
      <c r="G14" s="4"/>
      <c r="H14" s="4"/>
    </row>
    <row r="15" spans="1:8">
      <c r="A15" s="98" t="s">
        <v>11</v>
      </c>
      <c r="B15" s="161" t="s">
        <v>32</v>
      </c>
      <c r="C15" s="161" t="s">
        <v>131</v>
      </c>
      <c r="D15" s="331">
        <f>SUM!A18</f>
        <v>41486</v>
      </c>
      <c r="E15" s="26">
        <f>SUM!E18</f>
        <v>2.5355616609064899</v>
      </c>
      <c r="F15" s="26">
        <f>-SUM!K18</f>
        <v>0.99525027097163765</v>
      </c>
      <c r="G15" s="4"/>
      <c r="H15" s="4"/>
    </row>
    <row r="16" spans="1:8">
      <c r="A16" s="98" t="s">
        <v>11</v>
      </c>
      <c r="B16" s="161" t="s">
        <v>32</v>
      </c>
      <c r="C16" s="161" t="s">
        <v>131</v>
      </c>
      <c r="D16" s="331">
        <f>SUM!A19</f>
        <v>41493</v>
      </c>
      <c r="E16" s="26">
        <f>SUM!E19</f>
        <v>1.403272585560577</v>
      </c>
      <c r="F16" s="26">
        <f>-SUM!K19</f>
        <v>0.48708806550446315</v>
      </c>
      <c r="G16" s="4"/>
      <c r="H16" s="4"/>
    </row>
    <row r="17" spans="1:8">
      <c r="A17" s="98" t="s">
        <v>11</v>
      </c>
      <c r="B17" s="161" t="s">
        <v>32</v>
      </c>
      <c r="C17" s="161" t="s">
        <v>131</v>
      </c>
      <c r="D17" s="331">
        <f>SUM!A20</f>
        <v>41500</v>
      </c>
      <c r="E17" s="26">
        <f>SUM!E20</f>
        <v>2.6256637727933128</v>
      </c>
      <c r="F17" s="26">
        <f>-SUM!K20</f>
        <v>1.1719092501677437</v>
      </c>
      <c r="G17" s="4"/>
      <c r="H17" s="4"/>
    </row>
    <row r="18" spans="1:8">
      <c r="A18" s="98" t="s">
        <v>11</v>
      </c>
      <c r="B18" s="161" t="s">
        <v>32</v>
      </c>
      <c r="C18" s="161" t="s">
        <v>131</v>
      </c>
      <c r="D18" s="331">
        <f>SUM!A21</f>
        <v>41507</v>
      </c>
      <c r="E18" s="26">
        <f>SUM!E21</f>
        <v>1.2773908914487588</v>
      </c>
      <c r="F18" s="26">
        <f>-SUM!K21</f>
        <v>0.80987199153548883</v>
      </c>
      <c r="G18" s="4"/>
      <c r="H18" s="4"/>
    </row>
    <row r="19" spans="1:8">
      <c r="A19" s="98" t="s">
        <v>11</v>
      </c>
      <c r="B19" s="161" t="s">
        <v>32</v>
      </c>
      <c r="C19" s="161" t="s">
        <v>131</v>
      </c>
      <c r="D19" s="331">
        <f>SUM!A22</f>
        <v>41521</v>
      </c>
      <c r="E19" s="26">
        <f>SUM!E22</f>
        <v>3.7781669563948128</v>
      </c>
      <c r="F19" s="26">
        <f>-SUM!K22</f>
        <v>4.8035623379261302E-2</v>
      </c>
      <c r="G19" s="4"/>
      <c r="H19" s="4"/>
    </row>
    <row r="20" spans="1:8">
      <c r="A20" s="98" t="s">
        <v>11</v>
      </c>
      <c r="B20" s="161" t="s">
        <v>32</v>
      </c>
      <c r="C20" s="161" t="s">
        <v>131</v>
      </c>
      <c r="D20" s="331">
        <f>SUM!A23</f>
        <v>41528</v>
      </c>
      <c r="E20" s="26">
        <f>SUM!E23</f>
        <v>4.7428051774394815</v>
      </c>
      <c r="F20" s="26">
        <f>-SUM!K23</f>
        <v>1.2389189305162938</v>
      </c>
      <c r="G20" s="4"/>
      <c r="H20" s="4"/>
    </row>
    <row r="21" spans="1:8">
      <c r="A21" s="98" t="s">
        <v>11</v>
      </c>
      <c r="B21" s="161" t="s">
        <v>32</v>
      </c>
      <c r="C21" s="161" t="s">
        <v>131</v>
      </c>
      <c r="D21" s="331">
        <f>SUM!A24</f>
        <v>41542</v>
      </c>
      <c r="E21" s="26">
        <f>SUM!E24</f>
        <v>2.5400985074682065</v>
      </c>
      <c r="F21" s="26">
        <f>-SUM!K24</f>
        <v>0.21680487383648925</v>
      </c>
      <c r="G21" s="4"/>
      <c r="H21" s="4"/>
    </row>
    <row r="22" spans="1:8">
      <c r="A22" s="330" t="s">
        <v>12</v>
      </c>
      <c r="B22" s="161" t="s">
        <v>32</v>
      </c>
      <c r="C22" s="161" t="s">
        <v>130</v>
      </c>
      <c r="D22" s="331">
        <f>SUM!A25</f>
        <v>41381</v>
      </c>
      <c r="E22" s="26">
        <f>SUM!E25</f>
        <v>1.2552631704646822</v>
      </c>
      <c r="F22" s="26">
        <f>-SUM!K25</f>
        <v>0.26733776755287486</v>
      </c>
      <c r="G22" s="4"/>
      <c r="H22" s="4"/>
    </row>
    <row r="23" spans="1:8">
      <c r="A23" s="330" t="s">
        <v>12</v>
      </c>
      <c r="B23" s="161" t="s">
        <v>32</v>
      </c>
      <c r="C23" s="161" t="s">
        <v>130</v>
      </c>
      <c r="D23" s="331">
        <f>SUM!A26</f>
        <v>41388</v>
      </c>
      <c r="E23" s="26">
        <f>SUM!E26</f>
        <v>0.54025045771601299</v>
      </c>
      <c r="F23" s="26">
        <f>-SUM!K26</f>
        <v>0.55198122197279786</v>
      </c>
      <c r="G23" s="4"/>
      <c r="H23" s="4"/>
    </row>
    <row r="24" spans="1:8">
      <c r="A24" s="330" t="s">
        <v>12</v>
      </c>
      <c r="B24" s="161" t="s">
        <v>32</v>
      </c>
      <c r="C24" s="161" t="s">
        <v>130</v>
      </c>
      <c r="D24" s="331">
        <f>SUM!A27</f>
        <v>41395</v>
      </c>
      <c r="E24" s="26">
        <f>SUM!E27</f>
        <v>0.54671325584261166</v>
      </c>
      <c r="F24" s="26">
        <f>-SUM!K27</f>
        <v>0.3660678615612028</v>
      </c>
      <c r="G24" s="4"/>
      <c r="H24" s="4"/>
    </row>
    <row r="25" spans="1:8">
      <c r="A25" s="330" t="s">
        <v>12</v>
      </c>
      <c r="B25" s="161" t="s">
        <v>32</v>
      </c>
      <c r="C25" s="161" t="s">
        <v>130</v>
      </c>
      <c r="D25" s="331">
        <f>SUM!A28</f>
        <v>41403</v>
      </c>
      <c r="E25" s="26">
        <f>SUM!E28</f>
        <v>0.63642732949753422</v>
      </c>
      <c r="F25" s="26">
        <f>-SUM!K28</f>
        <v>0.50688578806715701</v>
      </c>
      <c r="G25" s="4"/>
      <c r="H25" s="4"/>
    </row>
    <row r="26" spans="1:8">
      <c r="A26" s="330" t="s">
        <v>12</v>
      </c>
      <c r="B26" s="161" t="s">
        <v>32</v>
      </c>
      <c r="C26" s="161" t="s">
        <v>130</v>
      </c>
      <c r="D26" s="331">
        <f>SUM!A29</f>
        <v>41409</v>
      </c>
      <c r="E26" s="26">
        <f>SUM!E29</f>
        <v>0.45995728244983514</v>
      </c>
      <c r="F26" s="26">
        <f>-SUM!K29</f>
        <v>0.51912162449033228</v>
      </c>
      <c r="G26" s="4"/>
      <c r="H26" s="4"/>
    </row>
    <row r="27" spans="1:8">
      <c r="A27" s="330" t="s">
        <v>12</v>
      </c>
      <c r="B27" s="161" t="s">
        <v>32</v>
      </c>
      <c r="C27" s="161" t="s">
        <v>130</v>
      </c>
      <c r="D27" s="331">
        <f>SUM!A30</f>
        <v>41416</v>
      </c>
      <c r="E27" s="26">
        <f>SUM!E30</f>
        <v>0.43872100955301824</v>
      </c>
      <c r="F27" s="26">
        <f>-SUM!K30</f>
        <v>0.6702327712647852</v>
      </c>
      <c r="G27" s="4"/>
      <c r="H27" s="4"/>
    </row>
    <row r="28" spans="1:8">
      <c r="A28" s="330" t="s">
        <v>12</v>
      </c>
      <c r="B28" s="161" t="s">
        <v>32</v>
      </c>
      <c r="C28" s="161" t="s">
        <v>130</v>
      </c>
      <c r="D28" s="331">
        <f>SUM!A31</f>
        <v>41423</v>
      </c>
      <c r="E28" s="26">
        <f>SUM!E31</f>
        <v>0.68001767301017546</v>
      </c>
      <c r="F28" s="26">
        <f>-SUM!K31</f>
        <v>0.34551417388581512</v>
      </c>
      <c r="G28" s="4"/>
      <c r="H28" s="4"/>
    </row>
    <row r="29" spans="1:8">
      <c r="A29" s="330" t="s">
        <v>12</v>
      </c>
      <c r="B29" s="161" t="s">
        <v>32</v>
      </c>
      <c r="C29" s="161" t="s">
        <v>130</v>
      </c>
      <c r="D29" s="331">
        <f>SUM!A32</f>
        <v>41430</v>
      </c>
      <c r="E29" s="26">
        <f>SUM!E32</f>
        <v>0.23016988420390341</v>
      </c>
      <c r="F29" s="26">
        <f>-SUM!K32</f>
        <v>0.57736839678710272</v>
      </c>
      <c r="G29" s="4"/>
      <c r="H29" s="4"/>
    </row>
    <row r="30" spans="1:8">
      <c r="A30" s="330" t="s">
        <v>12</v>
      </c>
      <c r="B30" s="161" t="s">
        <v>32</v>
      </c>
      <c r="C30" s="161" t="s">
        <v>130</v>
      </c>
      <c r="D30" s="331">
        <f>SUM!A33</f>
        <v>41437</v>
      </c>
      <c r="E30" s="26">
        <f>SUM!E33</f>
        <v>0.43526399860407311</v>
      </c>
      <c r="F30" s="26">
        <f>-SUM!K33</f>
        <v>0.69273626213056338</v>
      </c>
      <c r="G30" s="4"/>
      <c r="H30" s="4"/>
    </row>
    <row r="31" spans="1:8">
      <c r="A31" s="330" t="s">
        <v>12</v>
      </c>
      <c r="B31" s="161" t="s">
        <v>32</v>
      </c>
      <c r="C31" s="161" t="s">
        <v>130</v>
      </c>
      <c r="D31" s="331">
        <f>SUM!A34</f>
        <v>41444</v>
      </c>
      <c r="E31" s="26">
        <f>SUM!E34</f>
        <v>0.43526399860407311</v>
      </c>
      <c r="F31" s="26">
        <f>-SUM!K34</f>
        <v>0.69273626213056338</v>
      </c>
      <c r="G31" s="4"/>
      <c r="H31" s="4"/>
    </row>
    <row r="32" spans="1:8">
      <c r="A32" s="330" t="s">
        <v>12</v>
      </c>
      <c r="B32" s="161" t="s">
        <v>32</v>
      </c>
      <c r="C32" s="161" t="s">
        <v>130</v>
      </c>
      <c r="D32" s="331">
        <f>SUM!A35</f>
        <v>41451</v>
      </c>
      <c r="E32" s="26">
        <f>SUM!E35</f>
        <v>0.85296118369466634</v>
      </c>
      <c r="F32" s="26">
        <f>-SUM!K35</f>
        <v>0.75535167202132714</v>
      </c>
      <c r="G32" s="4"/>
      <c r="H32" s="4"/>
    </row>
    <row r="33" spans="1:8">
      <c r="A33" s="330" t="s">
        <v>12</v>
      </c>
      <c r="B33" s="161" t="s">
        <v>32</v>
      </c>
      <c r="C33" s="161" t="s">
        <v>131</v>
      </c>
      <c r="D33" s="331">
        <f>SUM!A36</f>
        <v>41472</v>
      </c>
      <c r="E33" s="26">
        <f>SUM!E36</f>
        <v>0.30029837902515494</v>
      </c>
      <c r="F33" s="26">
        <f>-SUM!K36</f>
        <v>0.55098451897337364</v>
      </c>
      <c r="G33" s="4"/>
      <c r="H33" s="4"/>
    </row>
    <row r="34" spans="1:8">
      <c r="A34" s="330" t="s">
        <v>12</v>
      </c>
      <c r="B34" s="161" t="s">
        <v>32</v>
      </c>
      <c r="C34" s="161" t="s">
        <v>131</v>
      </c>
      <c r="D34" s="331">
        <f>SUM!A37</f>
        <v>41479</v>
      </c>
      <c r="E34" s="26">
        <f>SUM!E37</f>
        <v>5.355802082780027</v>
      </c>
      <c r="F34" s="26">
        <f>-SUM!K37</f>
        <v>0.59265094167727916</v>
      </c>
      <c r="G34" s="4"/>
      <c r="H34" s="4"/>
    </row>
    <row r="35" spans="1:8">
      <c r="A35" s="330" t="s">
        <v>12</v>
      </c>
      <c r="B35" s="161" t="s">
        <v>32</v>
      </c>
      <c r="C35" s="161" t="s">
        <v>131</v>
      </c>
      <c r="D35" s="331">
        <f>SUM!A38</f>
        <v>41486</v>
      </c>
      <c r="E35" s="26">
        <f>SUM!E38</f>
        <v>2.0343302160534833</v>
      </c>
      <c r="F35" s="26">
        <f>-SUM!K38</f>
        <v>0.74334637330564057</v>
      </c>
      <c r="G35" s="4"/>
      <c r="H35" s="4"/>
    </row>
    <row r="36" spans="1:8">
      <c r="A36" s="330" t="s">
        <v>12</v>
      </c>
      <c r="B36" s="161" t="s">
        <v>32</v>
      </c>
      <c r="C36" s="161" t="s">
        <v>131</v>
      </c>
      <c r="D36" s="331">
        <f>SUM!A39</f>
        <v>41493</v>
      </c>
      <c r="E36" s="26">
        <f>SUM!E39</f>
        <v>1.5934319657347344</v>
      </c>
      <c r="F36" s="26">
        <f>-SUM!K39</f>
        <v>0.31477402079329553</v>
      </c>
      <c r="G36" s="4"/>
      <c r="H36" s="4"/>
    </row>
    <row r="37" spans="1:8">
      <c r="A37" s="330" t="s">
        <v>12</v>
      </c>
      <c r="B37" s="161" t="s">
        <v>32</v>
      </c>
      <c r="C37" s="161" t="s">
        <v>131</v>
      </c>
      <c r="D37" s="331">
        <f>SUM!A40</f>
        <v>41500</v>
      </c>
      <c r="E37" s="26">
        <f>SUM!E40</f>
        <v>2.6770338825283235</v>
      </c>
      <c r="F37" s="26">
        <f>-SUM!K40</f>
        <v>0.39045574845537634</v>
      </c>
      <c r="G37" s="4"/>
      <c r="H37" s="4"/>
    </row>
    <row r="38" spans="1:8">
      <c r="A38" s="330" t="s">
        <v>12</v>
      </c>
      <c r="B38" s="161" t="s">
        <v>32</v>
      </c>
      <c r="C38" s="161" t="s">
        <v>131</v>
      </c>
      <c r="D38" s="331">
        <f>SUM!A41</f>
        <v>41507</v>
      </c>
      <c r="E38" s="26">
        <f>SUM!E41</f>
        <v>1.1520677262079853</v>
      </c>
      <c r="F38" s="26">
        <f>-SUM!K41</f>
        <v>1.4778761779784417</v>
      </c>
      <c r="G38" s="4"/>
      <c r="H38" s="4"/>
    </row>
    <row r="39" spans="1:8">
      <c r="A39" s="330" t="s">
        <v>12</v>
      </c>
      <c r="B39" s="161" t="s">
        <v>32</v>
      </c>
      <c r="C39" s="161" t="s">
        <v>131</v>
      </c>
      <c r="D39" s="331">
        <f>SUM!A42</f>
        <v>41521</v>
      </c>
      <c r="E39" s="26">
        <f>SUM!E42</f>
        <v>2.9547094686638053</v>
      </c>
      <c r="F39" s="26">
        <f>-SUM!K42</f>
        <v>0.99360680727874384</v>
      </c>
      <c r="G39" s="4"/>
      <c r="H39" s="4"/>
    </row>
    <row r="40" spans="1:8">
      <c r="A40" s="330" t="s">
        <v>12</v>
      </c>
      <c r="B40" s="161" t="s">
        <v>32</v>
      </c>
      <c r="C40" s="161" t="s">
        <v>131</v>
      </c>
      <c r="D40" s="331">
        <f>SUM!A43</f>
        <v>41528</v>
      </c>
      <c r="E40" s="26">
        <f>SUM!E43</f>
        <v>2.1996851965087587</v>
      </c>
      <c r="F40" s="26">
        <f>-SUM!K43</f>
        <v>0.25757005031328578</v>
      </c>
      <c r="G40" s="4"/>
      <c r="H40" s="4"/>
    </row>
    <row r="41" spans="1:8">
      <c r="A41" s="330" t="s">
        <v>12</v>
      </c>
      <c r="B41" s="161" t="s">
        <v>32</v>
      </c>
      <c r="C41" s="161" t="s">
        <v>131</v>
      </c>
      <c r="D41" s="331">
        <f>SUM!A44</f>
        <v>41542</v>
      </c>
      <c r="E41" s="26">
        <f>SUM!E44</f>
        <v>2.9192190157233147</v>
      </c>
      <c r="F41" s="26">
        <f>-SUM!K44</f>
        <v>0.26861367100600425</v>
      </c>
      <c r="G41" s="4"/>
      <c r="H41" s="4"/>
    </row>
    <row r="42" spans="1:8">
      <c r="A42" s="330" t="s">
        <v>11</v>
      </c>
      <c r="B42" s="161" t="s">
        <v>260</v>
      </c>
      <c r="C42" s="161" t="s">
        <v>130</v>
      </c>
      <c r="D42" s="331">
        <f>'SP01'!A4</f>
        <v>41377</v>
      </c>
      <c r="E42" s="26">
        <f>'SP01'!J4/1.5</f>
        <v>2.4476384232500101</v>
      </c>
      <c r="F42" s="26">
        <f>'SP01'!K4/1.5*-1</f>
        <v>3.8861186218027086</v>
      </c>
      <c r="G42" s="4"/>
    </row>
    <row r="43" spans="1:8">
      <c r="A43" s="330" t="s">
        <v>11</v>
      </c>
      <c r="B43" s="161" t="s">
        <v>260</v>
      </c>
      <c r="C43" s="161" t="s">
        <v>130</v>
      </c>
      <c r="D43" s="331">
        <f>'SP01'!A5</f>
        <v>41378</v>
      </c>
      <c r="E43" s="26">
        <f>'SP01'!J5/1.5</f>
        <v>1.9718949634204606</v>
      </c>
      <c r="F43" s="26">
        <f>'SP01'!K5/1.5*-1</f>
        <v>1.2318596523715661</v>
      </c>
    </row>
    <row r="44" spans="1:8">
      <c r="A44" s="330" t="s">
        <v>11</v>
      </c>
      <c r="B44" s="161" t="s">
        <v>260</v>
      </c>
      <c r="C44" s="161" t="s">
        <v>130</v>
      </c>
      <c r="D44" s="331">
        <f>'SP01'!A6</f>
        <v>41379</v>
      </c>
      <c r="E44" s="26">
        <f>'SP01'!J6/1.5</f>
        <v>3.2216210363880058</v>
      </c>
      <c r="F44" s="26">
        <f>'SP01'!K6/1.5*-1</f>
        <v>3.1630738553805604</v>
      </c>
    </row>
    <row r="45" spans="1:8">
      <c r="A45" s="330" t="s">
        <v>11</v>
      </c>
      <c r="B45" s="161" t="s">
        <v>260</v>
      </c>
      <c r="C45" s="161" t="s">
        <v>130</v>
      </c>
      <c r="D45" s="331">
        <f>'SP01'!A7</f>
        <v>41380</v>
      </c>
      <c r="E45" s="26">
        <f>'SP01'!J7/1.5</f>
        <v>5.0137059566216555</v>
      </c>
      <c r="F45" s="26">
        <f>'SP01'!K7/1.5*-1</f>
        <v>2.2241392461181273</v>
      </c>
    </row>
    <row r="46" spans="1:8">
      <c r="A46" s="330" t="s">
        <v>11</v>
      </c>
      <c r="B46" s="161" t="s">
        <v>260</v>
      </c>
      <c r="C46" s="161" t="s">
        <v>130</v>
      </c>
      <c r="D46" s="331">
        <f>'SP01'!A8</f>
        <v>41381</v>
      </c>
      <c r="E46" s="26">
        <f>'SP01'!J8/1.5</f>
        <v>2.8555995981212718</v>
      </c>
      <c r="F46" s="26">
        <f>'SP01'!K8/1.5*-1</f>
        <v>5.6850522077296022</v>
      </c>
    </row>
    <row r="47" spans="1:8">
      <c r="A47" s="330" t="s">
        <v>11</v>
      </c>
      <c r="B47" s="161" t="s">
        <v>260</v>
      </c>
      <c r="C47" s="161" t="s">
        <v>130</v>
      </c>
      <c r="D47" s="331">
        <f>'SP01'!A9</f>
        <v>41382</v>
      </c>
      <c r="E47" s="26">
        <f>'SP01'!J9/1.5</f>
        <v>3.5412336775944033</v>
      </c>
      <c r="F47" s="26">
        <f>'SP01'!K9/1.5*-1</f>
        <v>3.7020647725689968</v>
      </c>
    </row>
    <row r="48" spans="1:8">
      <c r="A48" s="330" t="s">
        <v>11</v>
      </c>
      <c r="B48" s="161" t="s">
        <v>260</v>
      </c>
      <c r="C48" s="161" t="s">
        <v>130</v>
      </c>
      <c r="D48" s="331">
        <f>'SP01'!A10</f>
        <v>41383</v>
      </c>
      <c r="E48" s="26">
        <f>'SP01'!J10/1.5</f>
        <v>1.3398976164882328</v>
      </c>
      <c r="F48" s="26">
        <f>'SP01'!K10/1.5*-1</f>
        <v>1.2689703791212366</v>
      </c>
    </row>
    <row r="49" spans="1:6">
      <c r="A49" s="330" t="s">
        <v>11</v>
      </c>
      <c r="B49" s="161" t="s">
        <v>260</v>
      </c>
      <c r="C49" s="161" t="s">
        <v>130</v>
      </c>
      <c r="D49" s="331">
        <f>'SP01'!A11</f>
        <v>41384</v>
      </c>
      <c r="E49" s="26">
        <f>'SP01'!J11/1.5</f>
        <v>2.9710268827976889</v>
      </c>
      <c r="F49" s="26">
        <f>'SP01'!K11/1.5*-1</f>
        <v>2.1359228076381767</v>
      </c>
    </row>
    <row r="50" spans="1:6">
      <c r="A50" s="330" t="s">
        <v>11</v>
      </c>
      <c r="B50" s="161" t="s">
        <v>260</v>
      </c>
      <c r="C50" s="161" t="s">
        <v>130</v>
      </c>
      <c r="D50" s="331">
        <f>'SP01'!A12</f>
        <v>41385</v>
      </c>
      <c r="E50" s="26">
        <f>'SP01'!J12/1.5</f>
        <v>3.1384441885351735</v>
      </c>
      <c r="F50" s="26">
        <f>'SP01'!K12/1.5*-1</f>
        <v>2.6455344638753266</v>
      </c>
    </row>
    <row r="51" spans="1:6">
      <c r="A51" s="330" t="s">
        <v>11</v>
      </c>
      <c r="B51" s="161" t="s">
        <v>260</v>
      </c>
      <c r="C51" s="161" t="s">
        <v>130</v>
      </c>
      <c r="D51" s="331">
        <f>'SP01'!A13</f>
        <v>41386</v>
      </c>
      <c r="E51" s="26">
        <f>'SP01'!J13/1.5</f>
        <v>2.6641361507340302</v>
      </c>
      <c r="F51" s="26">
        <f>'SP01'!K13/1.5*-1</f>
        <v>1.7837190691024141</v>
      </c>
    </row>
    <row r="52" spans="1:6">
      <c r="A52" s="330" t="s">
        <v>11</v>
      </c>
      <c r="B52" s="161" t="s">
        <v>260</v>
      </c>
      <c r="C52" s="161" t="s">
        <v>130</v>
      </c>
      <c r="D52" s="331">
        <f>'SP01'!A14</f>
        <v>41387</v>
      </c>
      <c r="E52" s="26">
        <f>'SP01'!J14/1.5</f>
        <v>1.8689744722973429</v>
      </c>
      <c r="F52" s="26">
        <f>'SP01'!K14/1.5*-1</f>
        <v>1.6226520923699892</v>
      </c>
    </row>
    <row r="53" spans="1:6">
      <c r="A53" s="330" t="s">
        <v>11</v>
      </c>
      <c r="B53" s="161" t="s">
        <v>260</v>
      </c>
      <c r="C53" s="161" t="s">
        <v>130</v>
      </c>
      <c r="D53" s="331">
        <f>'SP01'!A15</f>
        <v>41388</v>
      </c>
      <c r="E53" s="26">
        <f>'SP01'!J15/1.5</f>
        <v>-0.72125314683767983</v>
      </c>
      <c r="F53" s="26">
        <f>'SP01'!K15/1.5*-1</f>
        <v>1.3357432402621703</v>
      </c>
    </row>
    <row r="54" spans="1:6">
      <c r="A54" s="330" t="s">
        <v>11</v>
      </c>
      <c r="B54" s="161" t="s">
        <v>260</v>
      </c>
      <c r="C54" s="161" t="s">
        <v>130</v>
      </c>
      <c r="D54" s="331">
        <f>'SP01'!A16</f>
        <v>41389</v>
      </c>
      <c r="E54" s="26">
        <f>'SP01'!J16/1.5</f>
        <v>2.3804158842953793</v>
      </c>
      <c r="F54" s="26">
        <f>'SP01'!K16/1.5*-1</f>
        <v>1.4693179081711056</v>
      </c>
    </row>
    <row r="55" spans="1:6">
      <c r="A55" s="330" t="s">
        <v>11</v>
      </c>
      <c r="B55" s="161" t="s">
        <v>260</v>
      </c>
      <c r="C55" s="161" t="s">
        <v>130</v>
      </c>
      <c r="D55" s="331">
        <f>'SP01'!A17</f>
        <v>41390</v>
      </c>
      <c r="E55" s="26">
        <f>'SP01'!J17/1.5</f>
        <v>1.0037910076934857</v>
      </c>
      <c r="F55" s="26">
        <f>'SP01'!K17/1.5*-1</f>
        <v>1.6604288812427532</v>
      </c>
    </row>
    <row r="56" spans="1:6">
      <c r="A56" s="330" t="s">
        <v>11</v>
      </c>
      <c r="B56" s="161" t="s">
        <v>260</v>
      </c>
      <c r="C56" s="161" t="s">
        <v>130</v>
      </c>
      <c r="D56" s="331">
        <f>'SP01'!A18</f>
        <v>41391</v>
      </c>
      <c r="E56" s="26">
        <f>'SP01'!J18/1.5</f>
        <v>3.0178448900115264</v>
      </c>
      <c r="F56" s="26">
        <f>'SP01'!K18/1.5*-1</f>
        <v>2.0439901524863489</v>
      </c>
    </row>
    <row r="57" spans="1:6">
      <c r="A57" s="330" t="s">
        <v>11</v>
      </c>
      <c r="B57" s="161" t="s">
        <v>260</v>
      </c>
      <c r="C57" s="161" t="s">
        <v>130</v>
      </c>
      <c r="D57" s="331">
        <f>'SP01'!A19</f>
        <v>41392</v>
      </c>
      <c r="E57" s="26">
        <f>'SP01'!J19/1.5</f>
        <v>0.22717428267266296</v>
      </c>
      <c r="F57" s="26">
        <f>'SP01'!K19/1.5*-1</f>
        <v>0.81108811007405013</v>
      </c>
    </row>
    <row r="58" spans="1:6">
      <c r="A58" s="330" t="s">
        <v>11</v>
      </c>
      <c r="B58" s="161" t="s">
        <v>260</v>
      </c>
      <c r="C58" s="161" t="s">
        <v>130</v>
      </c>
      <c r="D58" s="331">
        <f>'SP01'!A20</f>
        <v>41393</v>
      </c>
      <c r="E58" s="26">
        <f>'SP01'!J20/1.5</f>
        <v>2.9022996941928208E-2</v>
      </c>
      <c r="F58" s="26">
        <f>'SP01'!K20/1.5*-1</f>
        <v>0.10104877101979236</v>
      </c>
    </row>
    <row r="59" spans="1:6">
      <c r="A59" s="330" t="s">
        <v>11</v>
      </c>
      <c r="B59" s="161" t="s">
        <v>260</v>
      </c>
      <c r="C59" s="161" t="s">
        <v>130</v>
      </c>
      <c r="D59" s="331">
        <f>'SP01'!A21</f>
        <v>41394</v>
      </c>
      <c r="E59" s="26">
        <f>'SP01'!J21/1.5</f>
        <v>0.79418318523693754</v>
      </c>
      <c r="F59" s="26">
        <f>'SP01'!K21/1.5*-1</f>
        <v>3.2322198457808984</v>
      </c>
    </row>
    <row r="60" spans="1:6">
      <c r="A60" s="330" t="s">
        <v>11</v>
      </c>
      <c r="B60" s="161" t="s">
        <v>260</v>
      </c>
      <c r="C60" s="161" t="s">
        <v>130</v>
      </c>
      <c r="D60" s="331">
        <f>'SP01'!A22</f>
        <v>41395</v>
      </c>
      <c r="E60" s="26">
        <f>'SP01'!J22/1.5</f>
        <v>1.1749453687251619</v>
      </c>
      <c r="F60" s="26">
        <f>'SP01'!K22/1.5*-1</f>
        <v>2.6024359276890894</v>
      </c>
    </row>
    <row r="61" spans="1:6">
      <c r="A61" s="330" t="s">
        <v>11</v>
      </c>
      <c r="B61" s="161" t="s">
        <v>260</v>
      </c>
      <c r="C61" s="161" t="s">
        <v>130</v>
      </c>
      <c r="D61" s="331">
        <f>'SP01'!A23</f>
        <v>41396</v>
      </c>
      <c r="E61" s="26">
        <f>'SP01'!J23/1.5</f>
        <v>3.1676801202116533</v>
      </c>
      <c r="F61" s="26">
        <f>'SP01'!K23/1.5*-1</f>
        <v>2.3824167994466365</v>
      </c>
    </row>
    <row r="62" spans="1:6">
      <c r="A62" s="330" t="s">
        <v>11</v>
      </c>
      <c r="B62" s="161" t="s">
        <v>260</v>
      </c>
      <c r="C62" s="161" t="s">
        <v>130</v>
      </c>
      <c r="D62" s="331">
        <f>'SP01'!A24</f>
        <v>41397</v>
      </c>
      <c r="E62" s="26">
        <f>'SP01'!J24/1.5</f>
        <v>1.794592345365718</v>
      </c>
      <c r="F62" s="26">
        <f>'SP01'!K24/1.5*-1</f>
        <v>1.1630627585708269</v>
      </c>
    </row>
    <row r="63" spans="1:6">
      <c r="A63" s="330" t="s">
        <v>11</v>
      </c>
      <c r="B63" s="161" t="s">
        <v>260</v>
      </c>
      <c r="C63" s="161" t="s">
        <v>130</v>
      </c>
      <c r="D63" s="331">
        <f>'SP01'!A25</f>
        <v>41398</v>
      </c>
      <c r="E63" s="26">
        <f>'SP01'!J25/1.5</f>
        <v>1.9093353664487667</v>
      </c>
      <c r="F63" s="26">
        <f>'SP01'!K25/1.5*-1</f>
        <v>4.2818756628141861</v>
      </c>
    </row>
    <row r="64" spans="1:6">
      <c r="A64" s="330" t="s">
        <v>11</v>
      </c>
      <c r="B64" s="161" t="s">
        <v>260</v>
      </c>
      <c r="C64" s="161" t="s">
        <v>130</v>
      </c>
      <c r="D64" s="331">
        <f>'SP01'!A26</f>
        <v>41399</v>
      </c>
      <c r="E64" s="26">
        <f>'SP01'!J26/1.5</f>
        <v>3.2739833197971744</v>
      </c>
      <c r="F64" s="26">
        <f>'SP01'!K26/1.5*-1</f>
        <v>1.8261894664980769</v>
      </c>
    </row>
    <row r="65" spans="1:6">
      <c r="A65" s="330" t="s">
        <v>11</v>
      </c>
      <c r="B65" s="161" t="s">
        <v>260</v>
      </c>
      <c r="C65" s="161" t="s">
        <v>130</v>
      </c>
      <c r="D65" s="331">
        <f>'SP01'!A27</f>
        <v>41400</v>
      </c>
      <c r="E65" s="26">
        <f>'SP01'!J27/1.5</f>
        <v>1.0302914597330017</v>
      </c>
      <c r="F65" s="26">
        <f>'SP01'!K27/1.5*-1</f>
        <v>2.1223624896669455</v>
      </c>
    </row>
    <row r="66" spans="1:6">
      <c r="A66" s="330" t="s">
        <v>11</v>
      </c>
      <c r="B66" s="161" t="s">
        <v>260</v>
      </c>
      <c r="C66" s="161" t="s">
        <v>130</v>
      </c>
      <c r="D66" s="331">
        <f>'SP01'!A28</f>
        <v>41401</v>
      </c>
      <c r="E66" s="26">
        <f>'SP01'!J28/1.5</f>
        <v>3.460975541731742</v>
      </c>
      <c r="F66" s="26">
        <f>'SP01'!K28/1.5*-1</f>
        <v>3.4527677459952559</v>
      </c>
    </row>
    <row r="67" spans="1:6">
      <c r="A67" s="330" t="s">
        <v>11</v>
      </c>
      <c r="B67" s="161" t="s">
        <v>260</v>
      </c>
      <c r="C67" s="161" t="s">
        <v>130</v>
      </c>
      <c r="D67" s="331">
        <f>'SP01'!A29</f>
        <v>41402</v>
      </c>
      <c r="E67" s="26">
        <f>'SP01'!J29/1.5</f>
        <v>3.2675837301495445</v>
      </c>
      <c r="F67" s="26">
        <f>'SP01'!K29/1.5*-1</f>
        <v>3.2045165245388962</v>
      </c>
    </row>
    <row r="68" spans="1:6">
      <c r="A68" s="330" t="s">
        <v>11</v>
      </c>
      <c r="B68" s="161" t="s">
        <v>260</v>
      </c>
      <c r="C68" s="161" t="s">
        <v>130</v>
      </c>
      <c r="D68" s="331">
        <f>'SP01'!A30</f>
        <v>41403</v>
      </c>
      <c r="E68" s="26">
        <f>'SP01'!J30/1.5</f>
        <v>4.6685201872772959</v>
      </c>
      <c r="F68" s="26">
        <f>'SP01'!K30/1.5*-1</f>
        <v>7.3216253974949517</v>
      </c>
    </row>
    <row r="69" spans="1:6">
      <c r="A69" s="330" t="s">
        <v>11</v>
      </c>
      <c r="B69" s="161" t="s">
        <v>260</v>
      </c>
      <c r="C69" s="161" t="s">
        <v>130</v>
      </c>
      <c r="D69" s="331">
        <f>'SP01'!A31</f>
        <v>41404</v>
      </c>
      <c r="E69" s="26">
        <f>'SP01'!J31/1.5</f>
        <v>3.0102741614876742</v>
      </c>
      <c r="F69" s="26">
        <f>'SP01'!K31/1.5*-1</f>
        <v>3.6119234091862098</v>
      </c>
    </row>
    <row r="70" spans="1:6">
      <c r="A70" s="330" t="s">
        <v>11</v>
      </c>
      <c r="B70" s="161" t="s">
        <v>260</v>
      </c>
      <c r="C70" s="161" t="s">
        <v>130</v>
      </c>
      <c r="D70" s="331">
        <f>'SP01'!A32</f>
        <v>41405</v>
      </c>
      <c r="E70" s="26">
        <f>'SP01'!J32/1.5</f>
        <v>3.7166407244297104</v>
      </c>
      <c r="F70" s="26">
        <f>'SP01'!K32/1.5*-1</f>
        <v>3.3079231086127314</v>
      </c>
    </row>
    <row r="71" spans="1:6">
      <c r="A71" s="330" t="s">
        <v>11</v>
      </c>
      <c r="B71" s="161" t="s">
        <v>260</v>
      </c>
      <c r="C71" s="161" t="s">
        <v>130</v>
      </c>
      <c r="D71" s="331">
        <f>'SP01'!A33</f>
        <v>41406</v>
      </c>
      <c r="E71" s="26">
        <f>'SP01'!J33/1.5</f>
        <v>5.0429058284689292</v>
      </c>
      <c r="F71" s="26">
        <f>'SP01'!K33/1.5*-1</f>
        <v>4.5002552817226329</v>
      </c>
    </row>
    <row r="72" spans="1:6">
      <c r="A72" s="330" t="s">
        <v>11</v>
      </c>
      <c r="B72" s="161" t="s">
        <v>260</v>
      </c>
      <c r="C72" s="161" t="s">
        <v>130</v>
      </c>
      <c r="D72" s="331">
        <f>'SP01'!A34</f>
        <v>41407</v>
      </c>
      <c r="E72" s="26">
        <f>'SP01'!J34/1.5</f>
        <v>2.4411947975764186</v>
      </c>
      <c r="F72" s="26">
        <f>'SP01'!K34/1.5*-1</f>
        <v>2.8348590542699958</v>
      </c>
    </row>
    <row r="73" spans="1:6">
      <c r="A73" s="330" t="s">
        <v>11</v>
      </c>
      <c r="B73" s="161" t="s">
        <v>260</v>
      </c>
      <c r="C73" s="161" t="s">
        <v>130</v>
      </c>
      <c r="D73" s="331">
        <f>'SP01'!A35</f>
        <v>41408</v>
      </c>
      <c r="E73" s="26">
        <f>'SP01'!J35/1.5</f>
        <v>2.3731802677727951</v>
      </c>
      <c r="F73" s="26">
        <f>'SP01'!K35/1.5*-1</f>
        <v>1.1251616256959609</v>
      </c>
    </row>
    <row r="74" spans="1:6">
      <c r="A74" s="330" t="s">
        <v>11</v>
      </c>
      <c r="B74" s="161" t="s">
        <v>260</v>
      </c>
      <c r="C74" s="161" t="s">
        <v>130</v>
      </c>
      <c r="D74" s="331">
        <f>'SP01'!A36</f>
        <v>41409</v>
      </c>
      <c r="E74" s="26">
        <f>'SP01'!J36/1.5</f>
        <v>1.5171343592141977</v>
      </c>
      <c r="F74" s="26">
        <f>'SP01'!K36/1.5*-1</f>
        <v>3.7953490535110945</v>
      </c>
    </row>
    <row r="75" spans="1:6">
      <c r="A75" s="330" t="s">
        <v>11</v>
      </c>
      <c r="B75" s="161" t="s">
        <v>260</v>
      </c>
      <c r="C75" s="161" t="s">
        <v>130</v>
      </c>
      <c r="D75" s="331">
        <f>'SP01'!A37</f>
        <v>41410</v>
      </c>
      <c r="E75" s="26">
        <f>'SP01'!J37/1.5</f>
        <v>4.0175500098713615</v>
      </c>
      <c r="F75" s="26">
        <f>'SP01'!K37/1.5*-1</f>
        <v>3.695711200181186</v>
      </c>
    </row>
    <row r="76" spans="1:6">
      <c r="A76" s="330" t="s">
        <v>11</v>
      </c>
      <c r="B76" s="161" t="s">
        <v>260</v>
      </c>
      <c r="C76" s="161" t="s">
        <v>130</v>
      </c>
      <c r="D76" s="331">
        <f>'SP01'!A38</f>
        <v>41411</v>
      </c>
      <c r="E76" s="26">
        <f>'SP01'!J38/1.5</f>
        <v>4.3011370022497131</v>
      </c>
      <c r="F76" s="26">
        <f>'SP01'!K38/1.5*-1</f>
        <v>8.6025826718219509</v>
      </c>
    </row>
    <row r="77" spans="1:6">
      <c r="A77" s="330" t="s">
        <v>11</v>
      </c>
      <c r="B77" s="161" t="s">
        <v>260</v>
      </c>
      <c r="C77" s="161" t="s">
        <v>130</v>
      </c>
      <c r="D77" s="331">
        <f>'SP01'!A39</f>
        <v>41412</v>
      </c>
      <c r="E77" s="26">
        <f>'SP01'!J39/1.5</f>
        <v>8.6018294499143924</v>
      </c>
      <c r="F77" s="26">
        <f>'SP01'!K39/1.5*-1</f>
        <v>9.6599068402696968</v>
      </c>
    </row>
    <row r="78" spans="1:6">
      <c r="A78" s="330" t="s">
        <v>11</v>
      </c>
      <c r="B78" s="161" t="s">
        <v>260</v>
      </c>
      <c r="C78" s="161" t="s">
        <v>130</v>
      </c>
      <c r="D78" s="331">
        <f>'SP01'!A40</f>
        <v>41413</v>
      </c>
      <c r="E78" s="26">
        <f>'SP01'!J40/1.5</f>
        <v>6.4302015177821588</v>
      </c>
      <c r="F78" s="26">
        <f>'SP01'!K40/1.5*-1</f>
        <v>7.6309756657618673</v>
      </c>
    </row>
    <row r="79" spans="1:6">
      <c r="A79" s="330" t="s">
        <v>11</v>
      </c>
      <c r="B79" s="161" t="s">
        <v>260</v>
      </c>
      <c r="C79" s="161" t="s">
        <v>130</v>
      </c>
      <c r="D79" s="331">
        <f>'SP01'!A41</f>
        <v>41414</v>
      </c>
      <c r="E79" s="26">
        <f>'SP01'!J41/1.5</f>
        <v>7.0843270389802884</v>
      </c>
      <c r="F79" s="26">
        <f>'SP01'!K41/1.5*-1</f>
        <v>11.075333741878763</v>
      </c>
    </row>
    <row r="80" spans="1:6">
      <c r="A80" s="330" t="s">
        <v>11</v>
      </c>
      <c r="B80" s="161" t="s">
        <v>260</v>
      </c>
      <c r="C80" s="161" t="s">
        <v>130</v>
      </c>
      <c r="D80" s="331">
        <f>'SP01'!A42</f>
        <v>41415</v>
      </c>
      <c r="E80" s="26">
        <f>'SP01'!J42/1.5</f>
        <v>7.6995119965770904</v>
      </c>
      <c r="F80" s="26">
        <f>'SP01'!K42/1.5*-1</f>
        <v>12.320353812907898</v>
      </c>
    </row>
    <row r="81" spans="1:6">
      <c r="A81" s="330" t="s">
        <v>11</v>
      </c>
      <c r="B81" s="161" t="s">
        <v>260</v>
      </c>
      <c r="C81" s="161" t="s">
        <v>130</v>
      </c>
      <c r="D81" s="331">
        <f>'SP01'!A43</f>
        <v>41416</v>
      </c>
      <c r="E81" s="26">
        <f>'SP01'!J43/1.5</f>
        <v>11.918059699231456</v>
      </c>
      <c r="F81" s="26">
        <f>'SP01'!K43/1.5*-1</f>
        <v>9.2054821321292533</v>
      </c>
    </row>
    <row r="82" spans="1:6">
      <c r="A82" s="330" t="s">
        <v>11</v>
      </c>
      <c r="B82" s="161" t="s">
        <v>260</v>
      </c>
      <c r="C82" s="161" t="s">
        <v>130</v>
      </c>
      <c r="D82" s="331">
        <f>'SP01'!A44</f>
        <v>41417</v>
      </c>
      <c r="E82" s="26">
        <f>'SP01'!J44/1.5</f>
        <v>4.5919721010827734</v>
      </c>
      <c r="F82" s="26">
        <f>'SP01'!K44/1.5*-1</f>
        <v>5.0339047242312942</v>
      </c>
    </row>
    <row r="83" spans="1:6">
      <c r="A83" s="330" t="s">
        <v>11</v>
      </c>
      <c r="B83" s="161" t="s">
        <v>260</v>
      </c>
      <c r="C83" s="161" t="s">
        <v>130</v>
      </c>
      <c r="D83" s="331">
        <f>'SP01'!A45</f>
        <v>41418</v>
      </c>
      <c r="E83" s="26">
        <f>'SP01'!J45/1.5</f>
        <v>3.5289854191813017</v>
      </c>
      <c r="F83" s="26">
        <f>'SP01'!K45/1.5*-1</f>
        <v>4.5334260521374787</v>
      </c>
    </row>
    <row r="84" spans="1:6">
      <c r="A84" s="330" t="s">
        <v>11</v>
      </c>
      <c r="B84" s="161" t="s">
        <v>260</v>
      </c>
      <c r="C84" s="161" t="s">
        <v>130</v>
      </c>
      <c r="D84" s="331">
        <f>'SP01'!A46</f>
        <v>41419</v>
      </c>
      <c r="E84" s="26">
        <f>'SP01'!J46/1.5</f>
        <v>4.0689741663588928</v>
      </c>
      <c r="F84" s="26">
        <f>'SP01'!K46/1.5*-1</f>
        <v>8.1581108875131196</v>
      </c>
    </row>
    <row r="85" spans="1:6">
      <c r="A85" s="330" t="s">
        <v>11</v>
      </c>
      <c r="B85" s="161" t="s">
        <v>260</v>
      </c>
      <c r="C85" s="161" t="s">
        <v>130</v>
      </c>
      <c r="D85" s="331">
        <f>'SP01'!A47</f>
        <v>41420</v>
      </c>
      <c r="E85" s="26">
        <f>'SP01'!J47/1.5</f>
        <v>7.496748865028505</v>
      </c>
      <c r="F85" s="26">
        <f>'SP01'!K47/1.5*-1</f>
        <v>1.4619624921531671</v>
      </c>
    </row>
    <row r="86" spans="1:6">
      <c r="A86" s="330" t="s">
        <v>11</v>
      </c>
      <c r="B86" s="161" t="s">
        <v>260</v>
      </c>
      <c r="C86" s="161" t="s">
        <v>130</v>
      </c>
      <c r="D86" s="331">
        <f>'SP01'!A48</f>
        <v>41421</v>
      </c>
      <c r="E86" s="26">
        <f>'SP01'!J48/1.5</f>
        <v>1.2253345454591675</v>
      </c>
      <c r="F86" s="26">
        <f>'SP01'!K48/1.5*-1</f>
        <v>4.6365930519483545</v>
      </c>
    </row>
    <row r="87" spans="1:6">
      <c r="A87" s="330" t="s">
        <v>11</v>
      </c>
      <c r="B87" s="161" t="s">
        <v>260</v>
      </c>
      <c r="C87" s="161" t="s">
        <v>130</v>
      </c>
      <c r="D87" s="331">
        <f>'SP01'!A49</f>
        <v>41422</v>
      </c>
      <c r="E87" s="26">
        <f>'SP01'!J49/1.5</f>
        <v>5.6680139567127847</v>
      </c>
      <c r="F87" s="26">
        <f>'SP01'!K49/1.5*-1</f>
        <v>7.8242122363644375</v>
      </c>
    </row>
    <row r="88" spans="1:6">
      <c r="A88" s="330" t="s">
        <v>11</v>
      </c>
      <c r="B88" s="161" t="s">
        <v>260</v>
      </c>
      <c r="C88" s="161" t="s">
        <v>130</v>
      </c>
      <c r="D88" s="331">
        <f>'SP01'!A50</f>
        <v>41423</v>
      </c>
      <c r="E88" s="26">
        <f>'SP01'!J50/1.5</f>
        <v>7.4870443520426671</v>
      </c>
      <c r="F88" s="26">
        <f>'SP01'!K50/1.5*-1</f>
        <v>7.5192409645559062</v>
      </c>
    </row>
    <row r="89" spans="1:6">
      <c r="A89" s="330" t="s">
        <v>11</v>
      </c>
      <c r="B89" s="161" t="s">
        <v>260</v>
      </c>
      <c r="C89" s="161" t="s">
        <v>130</v>
      </c>
      <c r="D89" s="331">
        <f>'SP01'!A51</f>
        <v>41424</v>
      </c>
      <c r="E89" s="26">
        <f>'SP01'!J51/1.5</f>
        <v>5.1940009479903084</v>
      </c>
      <c r="F89" s="26">
        <f>'SP01'!K51/1.5*-1</f>
        <v>5.844701690724488</v>
      </c>
    </row>
    <row r="90" spans="1:6">
      <c r="A90" s="330" t="s">
        <v>11</v>
      </c>
      <c r="B90" s="161" t="s">
        <v>260</v>
      </c>
      <c r="C90" s="161" t="s">
        <v>130</v>
      </c>
      <c r="D90" s="331">
        <f>'SP01'!A52</f>
        <v>41425</v>
      </c>
      <c r="E90" s="26">
        <f>'SP01'!J52/1.5</f>
        <v>6.2321618914462462</v>
      </c>
      <c r="F90" s="26">
        <f>'SP01'!K52/1.5*-1</f>
        <v>8.8259021731837297</v>
      </c>
    </row>
    <row r="91" spans="1:6">
      <c r="A91" s="330" t="s">
        <v>11</v>
      </c>
      <c r="B91" s="161" t="s">
        <v>260</v>
      </c>
      <c r="C91" s="161" t="s">
        <v>130</v>
      </c>
      <c r="D91" s="331">
        <f>'SP01'!A53</f>
        <v>41426</v>
      </c>
      <c r="E91" s="26">
        <f>'SP01'!J53/1.5</f>
        <v>9.5661788078995311</v>
      </c>
      <c r="F91" s="26">
        <f>'SP01'!K53/1.5*-1</f>
        <v>12.014157663847554</v>
      </c>
    </row>
    <row r="92" spans="1:6">
      <c r="A92" s="330" t="s">
        <v>11</v>
      </c>
      <c r="B92" s="161" t="s">
        <v>260</v>
      </c>
      <c r="C92" s="161" t="s">
        <v>130</v>
      </c>
      <c r="D92" s="331">
        <f>'SP01'!A54</f>
        <v>41427</v>
      </c>
      <c r="E92" s="26">
        <f>'SP01'!J54/1.5</f>
        <v>6.0359915755926004</v>
      </c>
      <c r="F92" s="26">
        <f>'SP01'!K54/1.5*-1</f>
        <v>4.9801275660843514</v>
      </c>
    </row>
    <row r="93" spans="1:6">
      <c r="A93" s="330" t="s">
        <v>11</v>
      </c>
      <c r="B93" s="161" t="s">
        <v>260</v>
      </c>
      <c r="C93" s="161" t="s">
        <v>130</v>
      </c>
      <c r="D93" s="331">
        <f>'SP01'!A55</f>
        <v>41428</v>
      </c>
      <c r="E93" s="26">
        <f>'SP01'!J55/1.5</f>
        <v>7.3452046481929223</v>
      </c>
      <c r="F93" s="26">
        <f>'SP01'!K55/1.5*-1</f>
        <v>10.004796075471376</v>
      </c>
    </row>
    <row r="94" spans="1:6">
      <c r="A94" s="330" t="s">
        <v>11</v>
      </c>
      <c r="B94" s="161" t="s">
        <v>260</v>
      </c>
      <c r="C94" s="161" t="s">
        <v>130</v>
      </c>
      <c r="D94" s="331">
        <f>'SP01'!A56</f>
        <v>41429</v>
      </c>
      <c r="E94" s="26">
        <f>'SP01'!J56/1.5</f>
        <v>7.7623071231342635</v>
      </c>
      <c r="F94" s="26">
        <f>'SP01'!K56/1.5*-1</f>
        <v>7.4198778407384927</v>
      </c>
    </row>
    <row r="95" spans="1:6">
      <c r="A95" s="330" t="s">
        <v>11</v>
      </c>
      <c r="B95" s="161" t="s">
        <v>260</v>
      </c>
      <c r="C95" s="161" t="s">
        <v>130</v>
      </c>
      <c r="D95" s="331">
        <f>'SP01'!A57</f>
        <v>41430</v>
      </c>
      <c r="E95" s="26">
        <f>'SP01'!J57/1.5</f>
        <v>4.0236283648541722</v>
      </c>
      <c r="F95" s="26">
        <f>'SP01'!K57/1.5*-1</f>
        <v>8.2870461546679373</v>
      </c>
    </row>
    <row r="96" spans="1:6">
      <c r="A96" s="330" t="s">
        <v>11</v>
      </c>
      <c r="B96" s="161" t="s">
        <v>260</v>
      </c>
      <c r="C96" s="161" t="s">
        <v>130</v>
      </c>
      <c r="D96" s="331">
        <f>'SP01'!A58</f>
        <v>41431</v>
      </c>
      <c r="E96" s="26">
        <f>'SP01'!J58/1.5</f>
        <v>6.1616305387388115</v>
      </c>
      <c r="F96" s="26">
        <f>'SP01'!K58/1.5*-1</f>
        <v>3.8027271107619551</v>
      </c>
    </row>
    <row r="97" spans="1:6">
      <c r="A97" s="330" t="s">
        <v>11</v>
      </c>
      <c r="B97" s="161" t="s">
        <v>260</v>
      </c>
      <c r="C97" s="161" t="s">
        <v>130</v>
      </c>
      <c r="D97" s="331">
        <f>'SP01'!A59</f>
        <v>41432</v>
      </c>
      <c r="E97" s="26">
        <f>'SP01'!J59/1.5</f>
        <v>0.81346332868467874</v>
      </c>
      <c r="F97" s="26">
        <f>'SP01'!K59/1.5*-1</f>
        <v>4.7152111462223614</v>
      </c>
    </row>
    <row r="98" spans="1:6">
      <c r="A98" s="330" t="s">
        <v>11</v>
      </c>
      <c r="B98" s="161" t="s">
        <v>260</v>
      </c>
      <c r="C98" s="161" t="s">
        <v>130</v>
      </c>
      <c r="D98" s="331">
        <f>'SP01'!A60</f>
        <v>41433</v>
      </c>
      <c r="E98" s="26">
        <f>'SP01'!J60/1.5</f>
        <v>10.703347826110795</v>
      </c>
      <c r="F98" s="26">
        <f>'SP01'!K60/1.5*-1</f>
        <v>10.352040305715491</v>
      </c>
    </row>
    <row r="99" spans="1:6">
      <c r="A99" s="330" t="s">
        <v>11</v>
      </c>
      <c r="B99" s="161" t="s">
        <v>260</v>
      </c>
      <c r="C99" s="161" t="s">
        <v>130</v>
      </c>
      <c r="D99" s="331">
        <f>'SP01'!A61</f>
        <v>41434</v>
      </c>
      <c r="E99" s="26">
        <f>'SP01'!J61/1.5</f>
        <v>0.2533448059631726</v>
      </c>
      <c r="F99" s="26">
        <f>'SP01'!K61/1.5*-1</f>
        <v>1.563570195346174</v>
      </c>
    </row>
    <row r="100" spans="1:6">
      <c r="A100" s="330" t="s">
        <v>11</v>
      </c>
      <c r="B100" s="161" t="s">
        <v>260</v>
      </c>
      <c r="C100" s="161" t="s">
        <v>130</v>
      </c>
      <c r="D100" s="331">
        <f>'SP01'!A62</f>
        <v>41435</v>
      </c>
      <c r="E100" s="26">
        <f>'SP01'!J62/1.5</f>
        <v>5.7944457840680892</v>
      </c>
      <c r="F100" s="26">
        <f>'SP01'!K62/1.5*-1</f>
        <v>4.5837638555731361</v>
      </c>
    </row>
    <row r="101" spans="1:6">
      <c r="A101" s="330" t="s">
        <v>11</v>
      </c>
      <c r="B101" s="161" t="s">
        <v>260</v>
      </c>
      <c r="C101" s="161" t="s">
        <v>130</v>
      </c>
      <c r="D101" s="331">
        <f>'SP01'!A63</f>
        <v>41436</v>
      </c>
      <c r="E101" s="26">
        <f>'SP01'!J63/1.5</f>
        <v>5.5618831511320446</v>
      </c>
      <c r="F101" s="26">
        <f>'SP01'!K63/1.5*-1</f>
        <v>10.150902735833803</v>
      </c>
    </row>
    <row r="102" spans="1:6">
      <c r="A102" s="330" t="s">
        <v>11</v>
      </c>
      <c r="B102" s="161" t="s">
        <v>260</v>
      </c>
      <c r="C102" s="161" t="s">
        <v>130</v>
      </c>
      <c r="D102" s="331">
        <f>'SP01'!A64</f>
        <v>41437</v>
      </c>
      <c r="E102" s="26">
        <f>'SP01'!J64/1.5</f>
        <v>7.817776678421553</v>
      </c>
      <c r="F102" s="26">
        <f>'SP01'!K64/1.5*-1</f>
        <v>11.12953070597529</v>
      </c>
    </row>
    <row r="103" spans="1:6">
      <c r="A103" s="330" t="s">
        <v>11</v>
      </c>
      <c r="B103" s="161" t="s">
        <v>260</v>
      </c>
      <c r="C103" s="161" t="s">
        <v>130</v>
      </c>
      <c r="D103" s="331">
        <f>'SP01'!A65</f>
        <v>41438</v>
      </c>
      <c r="E103" s="26">
        <f>'SP01'!J65/1.5</f>
        <v>5.4650250351743965</v>
      </c>
      <c r="F103" s="26">
        <f>'SP01'!K65/1.5*-1</f>
        <v>3.4699147787393443</v>
      </c>
    </row>
    <row r="104" spans="1:6">
      <c r="A104" s="330" t="s">
        <v>11</v>
      </c>
      <c r="B104" s="161" t="s">
        <v>260</v>
      </c>
      <c r="C104" s="161" t="s">
        <v>130</v>
      </c>
      <c r="D104" s="331">
        <f>'SP01'!A66</f>
        <v>41439</v>
      </c>
      <c r="E104" s="26">
        <f>'SP01'!J66/1.5</f>
        <v>4.7118134028719956</v>
      </c>
      <c r="F104" s="26">
        <f>'SP01'!K66/1.5*-1</f>
        <v>6.0985884439636422</v>
      </c>
    </row>
    <row r="105" spans="1:6">
      <c r="A105" s="330" t="s">
        <v>11</v>
      </c>
      <c r="B105" s="161" t="s">
        <v>260</v>
      </c>
      <c r="C105" s="161" t="s">
        <v>130</v>
      </c>
      <c r="D105" s="331">
        <f>'SP01'!A67</f>
        <v>41440</v>
      </c>
      <c r="E105" s="26">
        <f>'SP01'!J67/1.5</f>
        <v>8.3133914332449432</v>
      </c>
      <c r="F105" s="26">
        <f>'SP01'!K67/1.5*-1</f>
        <v>10.944089939329649</v>
      </c>
    </row>
    <row r="106" spans="1:6">
      <c r="A106" s="330" t="s">
        <v>11</v>
      </c>
      <c r="B106" s="161" t="s">
        <v>260</v>
      </c>
      <c r="C106" s="161" t="s">
        <v>130</v>
      </c>
      <c r="D106" s="331">
        <f>'SP01'!A68</f>
        <v>41441</v>
      </c>
      <c r="E106" s="26">
        <f>'SP01'!J68/1.5</f>
        <v>4.5780964309039138</v>
      </c>
      <c r="F106" s="26">
        <f>'SP01'!K68/1.5*-1</f>
        <v>6.3325433356973511</v>
      </c>
    </row>
    <row r="107" spans="1:6">
      <c r="A107" s="330" t="s">
        <v>11</v>
      </c>
      <c r="B107" s="161" t="s">
        <v>260</v>
      </c>
      <c r="C107" s="161" t="s">
        <v>130</v>
      </c>
      <c r="D107" s="331">
        <f>'SP01'!A69</f>
        <v>41442</v>
      </c>
      <c r="E107" s="26">
        <f>'SP01'!J69/1.5</f>
        <v>4.9406855177574114</v>
      </c>
      <c r="F107" s="26">
        <f>'SP01'!K69/1.5*-1</f>
        <v>6.6228821504237354</v>
      </c>
    </row>
    <row r="108" spans="1:6">
      <c r="A108" s="330" t="s">
        <v>11</v>
      </c>
      <c r="B108" s="161" t="s">
        <v>260</v>
      </c>
      <c r="C108" s="161" t="s">
        <v>130</v>
      </c>
      <c r="D108" s="331">
        <f>'SP01'!A70</f>
        <v>41443</v>
      </c>
      <c r="E108" s="26">
        <f>'SP01'!J70/1.5</f>
        <v>2.3888772531857856</v>
      </c>
      <c r="F108" s="26">
        <f>'SP01'!K70/1.5*-1</f>
        <v>1.6465185519007968</v>
      </c>
    </row>
    <row r="109" spans="1:6">
      <c r="A109" s="330" t="s">
        <v>11</v>
      </c>
      <c r="B109" s="161" t="s">
        <v>260</v>
      </c>
      <c r="C109" s="161" t="s">
        <v>130</v>
      </c>
      <c r="D109" s="331">
        <f>'SP01'!A71</f>
        <v>41444</v>
      </c>
      <c r="E109" s="26">
        <f>'SP01'!J71/1.5</f>
        <v>7.1482800199895928</v>
      </c>
      <c r="F109" s="26">
        <f>'SP01'!K71/1.5*-1</f>
        <v>15.731965216523697</v>
      </c>
    </row>
    <row r="110" spans="1:6">
      <c r="A110" s="330" t="s">
        <v>11</v>
      </c>
      <c r="B110" s="161" t="s">
        <v>260</v>
      </c>
      <c r="C110" s="161" t="s">
        <v>130</v>
      </c>
      <c r="D110" s="331">
        <f>'SP01'!A72</f>
        <v>41445</v>
      </c>
      <c r="E110" s="26">
        <f>'SP01'!J72/1.5</f>
        <v>7.6961020166929162</v>
      </c>
      <c r="F110" s="26">
        <f>'SP01'!K72/1.5*-1</f>
        <v>6.7159341586469408</v>
      </c>
    </row>
    <row r="111" spans="1:6">
      <c r="A111" s="330" t="s">
        <v>11</v>
      </c>
      <c r="B111" s="161" t="s">
        <v>260</v>
      </c>
      <c r="C111" s="161" t="s">
        <v>130</v>
      </c>
      <c r="D111" s="331">
        <f>'SP01'!A73</f>
        <v>41446</v>
      </c>
      <c r="E111" s="26">
        <f>'SP01'!J73/1.5</f>
        <v>3.9762610650617627</v>
      </c>
      <c r="F111" s="26">
        <f>'SP01'!K73/1.5*-1</f>
        <v>1.8671643352604377</v>
      </c>
    </row>
    <row r="112" spans="1:6">
      <c r="A112" s="330" t="s">
        <v>11</v>
      </c>
      <c r="B112" s="161" t="s">
        <v>260</v>
      </c>
      <c r="C112" s="161" t="s">
        <v>130</v>
      </c>
      <c r="D112" s="331">
        <f>'SP01'!A74</f>
        <v>41447</v>
      </c>
      <c r="E112" s="26">
        <f>'SP01'!J74/1.5</f>
        <v>7.070976688060906</v>
      </c>
      <c r="F112" s="26">
        <f>'SP01'!K74/1.5*-1</f>
        <v>7.3311581873168734</v>
      </c>
    </row>
    <row r="113" spans="1:6">
      <c r="A113" s="330" t="s">
        <v>11</v>
      </c>
      <c r="B113" s="161" t="s">
        <v>260</v>
      </c>
      <c r="C113" s="161" t="s">
        <v>130</v>
      </c>
      <c r="D113" s="331">
        <f>'SP01'!A75</f>
        <v>41448</v>
      </c>
      <c r="E113" s="26">
        <f>'SP01'!J75/1.5</f>
        <v>-0.23088071420317899</v>
      </c>
      <c r="F113" s="26">
        <f>'SP01'!K75/1.5*-1</f>
        <v>0.3546335140764178</v>
      </c>
    </row>
    <row r="114" spans="1:6">
      <c r="A114" s="330" t="s">
        <v>11</v>
      </c>
      <c r="B114" s="161" t="s">
        <v>260</v>
      </c>
      <c r="C114" s="161" t="s">
        <v>130</v>
      </c>
      <c r="D114" s="331">
        <f>'SP01'!A76</f>
        <v>41449</v>
      </c>
      <c r="E114" s="26">
        <f>'SP01'!J76/1.5</f>
        <v>3.0406172541009586</v>
      </c>
      <c r="F114" s="26">
        <f>'SP01'!K76/1.5*-1</f>
        <v>5.0394991612204398</v>
      </c>
    </row>
    <row r="115" spans="1:6">
      <c r="A115" s="330" t="s">
        <v>11</v>
      </c>
      <c r="B115" s="161" t="s">
        <v>260</v>
      </c>
      <c r="C115" s="161" t="s">
        <v>130</v>
      </c>
      <c r="D115" s="331">
        <f>'SP01'!A77</f>
        <v>41450</v>
      </c>
      <c r="E115" s="26">
        <f>'SP01'!J77/1.5</f>
        <v>3.9353461842033224</v>
      </c>
      <c r="F115" s="26">
        <f>'SP01'!K77/1.5*-1</f>
        <v>3.6618694813511339</v>
      </c>
    </row>
    <row r="116" spans="1:6">
      <c r="A116" s="330" t="s">
        <v>11</v>
      </c>
      <c r="B116" s="161" t="s">
        <v>260</v>
      </c>
      <c r="C116" s="161" t="s">
        <v>130</v>
      </c>
      <c r="D116" s="331">
        <f>'SP01'!A78</f>
        <v>41451</v>
      </c>
      <c r="E116" s="26">
        <f>'SP01'!J78/1.5</f>
        <v>1.965618070053921</v>
      </c>
      <c r="F116" s="26">
        <f>'SP01'!K78/1.5*-1</f>
        <v>2.6668550685866226</v>
      </c>
    </row>
    <row r="117" spans="1:6">
      <c r="A117" s="330" t="s">
        <v>11</v>
      </c>
      <c r="B117" s="161" t="s">
        <v>260</v>
      </c>
      <c r="C117" s="161" t="s">
        <v>130</v>
      </c>
      <c r="D117" s="331">
        <f>'SP01'!A79</f>
        <v>41452</v>
      </c>
      <c r="E117" s="26">
        <f>'SP01'!J79/1.5</f>
        <v>3.0662119020339613</v>
      </c>
      <c r="F117" s="26">
        <f>'SP01'!K79/1.5*-1</f>
        <v>7.1587504600868952</v>
      </c>
    </row>
    <row r="118" spans="1:6">
      <c r="A118" s="330" t="s">
        <v>11</v>
      </c>
      <c r="B118" s="161" t="s">
        <v>260</v>
      </c>
      <c r="C118" s="161" t="s">
        <v>130</v>
      </c>
      <c r="D118" s="331">
        <f>'SP01'!A80</f>
        <v>41453</v>
      </c>
      <c r="E118" s="26">
        <f>'SP01'!J80/1.5</f>
        <v>3.9086704338892857</v>
      </c>
      <c r="F118" s="26">
        <f>'SP01'!K80/1.5*-1</f>
        <v>5.3538682969453122</v>
      </c>
    </row>
    <row r="119" spans="1:6">
      <c r="A119" s="330" t="s">
        <v>11</v>
      </c>
      <c r="B119" s="161" t="s">
        <v>260</v>
      </c>
      <c r="C119" s="161" t="s">
        <v>130</v>
      </c>
      <c r="D119" s="331">
        <f>'SP01'!A81</f>
        <v>41454</v>
      </c>
      <c r="E119" s="26">
        <f>'SP01'!J81/1.5</f>
        <v>4.2971777658683115</v>
      </c>
      <c r="F119" s="26">
        <f>'SP01'!K81/1.5*-1</f>
        <v>5.8478939361294406</v>
      </c>
    </row>
    <row r="120" spans="1:6">
      <c r="A120" s="330" t="s">
        <v>11</v>
      </c>
      <c r="B120" s="161" t="s">
        <v>260</v>
      </c>
      <c r="C120" s="161" t="s">
        <v>130</v>
      </c>
      <c r="D120" s="331">
        <f>'SP01'!A82</f>
        <v>41455</v>
      </c>
      <c r="E120" s="26">
        <f>'SP01'!J82/1.5</f>
        <v>3.1582456603278311</v>
      </c>
      <c r="F120" s="26">
        <f>'SP01'!K82/1.5*-1</f>
        <v>1.7607328021760873</v>
      </c>
    </row>
    <row r="121" spans="1:6">
      <c r="A121" s="330" t="s">
        <v>11</v>
      </c>
      <c r="B121" s="161" t="s">
        <v>260</v>
      </c>
      <c r="C121" s="161" t="s">
        <v>130</v>
      </c>
      <c r="D121" s="331">
        <f>'SP01'!A83</f>
        <v>41456</v>
      </c>
      <c r="E121" s="26">
        <f>'SP01'!J83/1.5</f>
        <v>1.6104773075247243</v>
      </c>
      <c r="F121" s="26">
        <f>'SP01'!K83/1.5*-1</f>
        <v>3.0077574008905317</v>
      </c>
    </row>
    <row r="122" spans="1:6">
      <c r="A122" s="330" t="s">
        <v>11</v>
      </c>
      <c r="B122" s="161" t="s">
        <v>260</v>
      </c>
      <c r="C122" s="161" t="s">
        <v>131</v>
      </c>
      <c r="D122" s="331">
        <f>'SP01'!A93</f>
        <v>41466</v>
      </c>
      <c r="E122" s="26">
        <f>'SP01'!J93/1.5</f>
        <v>0.67667023529821302</v>
      </c>
      <c r="F122" s="26">
        <f>'SP01'!K93/1.5*-1</f>
        <v>3.9372287525136418</v>
      </c>
    </row>
    <row r="123" spans="1:6">
      <c r="A123" s="330" t="s">
        <v>11</v>
      </c>
      <c r="B123" s="161" t="s">
        <v>260</v>
      </c>
      <c r="C123" s="161" t="s">
        <v>131</v>
      </c>
      <c r="D123" s="331">
        <f>'SP01'!A94</f>
        <v>41467</v>
      </c>
      <c r="E123" s="26">
        <f>'SP01'!J94/1.5</f>
        <v>5.9250535032995799</v>
      </c>
      <c r="F123" s="26">
        <f>'SP01'!K94/1.5*-1</f>
        <v>3.9448089162597104</v>
      </c>
    </row>
    <row r="124" spans="1:6">
      <c r="A124" s="330" t="s">
        <v>11</v>
      </c>
      <c r="B124" s="161" t="s">
        <v>260</v>
      </c>
      <c r="C124" s="161" t="s">
        <v>131</v>
      </c>
      <c r="D124" s="331">
        <f>'SP01'!A95</f>
        <v>41468</v>
      </c>
      <c r="E124" s="26">
        <f>'SP01'!J95/1.5</f>
        <v>0.69875314343097239</v>
      </c>
      <c r="F124" s="26">
        <f>'SP01'!K95/1.5*-1</f>
        <v>0.46732888283419288</v>
      </c>
    </row>
    <row r="125" spans="1:6">
      <c r="A125" s="330" t="s">
        <v>11</v>
      </c>
      <c r="B125" s="161" t="s">
        <v>260</v>
      </c>
      <c r="C125" s="161" t="s">
        <v>131</v>
      </c>
      <c r="D125" s="331">
        <f>'SP01'!A96</f>
        <v>41469</v>
      </c>
      <c r="E125" s="26">
        <f>'SP01'!J96/1.5</f>
        <v>1.484174192793658</v>
      </c>
      <c r="F125" s="26">
        <f>'SP01'!K96/1.5*-1</f>
        <v>4.3281372989083451</v>
      </c>
    </row>
    <row r="126" spans="1:6">
      <c r="A126" s="330" t="s">
        <v>11</v>
      </c>
      <c r="B126" s="161" t="s">
        <v>260</v>
      </c>
      <c r="C126" s="161" t="s">
        <v>131</v>
      </c>
      <c r="D126" s="331">
        <f>'SP01'!A97</f>
        <v>41470</v>
      </c>
      <c r="E126" s="26">
        <f>'SP01'!J97/1.5</f>
        <v>3.0637909275046593</v>
      </c>
      <c r="F126" s="26">
        <f>'SP01'!K97/1.5*-1</f>
        <v>3.5570882289572068</v>
      </c>
    </row>
    <row r="127" spans="1:6">
      <c r="A127" s="330" t="s">
        <v>11</v>
      </c>
      <c r="B127" s="161" t="s">
        <v>260</v>
      </c>
      <c r="C127" s="161" t="s">
        <v>131</v>
      </c>
      <c r="D127" s="331">
        <f>'SP01'!A98</f>
        <v>41471</v>
      </c>
      <c r="E127" s="26">
        <f>'SP01'!J98/1.5</f>
        <v>1.6662070145854975</v>
      </c>
      <c r="F127" s="26">
        <f>'SP01'!K98/1.5*-1</f>
        <v>1.9664901363353271</v>
      </c>
    </row>
    <row r="128" spans="1:6">
      <c r="A128" s="330" t="s">
        <v>11</v>
      </c>
      <c r="B128" s="161" t="s">
        <v>260</v>
      </c>
      <c r="C128" s="161" t="s">
        <v>131</v>
      </c>
      <c r="D128" s="331">
        <f>'SP01'!A99</f>
        <v>41472</v>
      </c>
      <c r="E128" s="26">
        <f>'SP01'!J99/1.5</f>
        <v>3.0305666636423179</v>
      </c>
      <c r="F128" s="26">
        <f>'SP01'!K99/1.5*-1</f>
        <v>10.51193986881165</v>
      </c>
    </row>
    <row r="129" spans="1:6">
      <c r="A129" s="330" t="s">
        <v>11</v>
      </c>
      <c r="B129" s="161" t="s">
        <v>260</v>
      </c>
      <c r="C129" s="161" t="s">
        <v>131</v>
      </c>
      <c r="D129" s="331">
        <f>'SP01'!A100</f>
        <v>41473</v>
      </c>
      <c r="E129" s="26">
        <f>'SP01'!J100/1.5</f>
        <v>7.9021465666037018</v>
      </c>
      <c r="F129" s="26">
        <f>'SP01'!K100/1.5*-1</f>
        <v>4.3849939088983056</v>
      </c>
    </row>
    <row r="130" spans="1:6">
      <c r="A130" s="330" t="s">
        <v>11</v>
      </c>
      <c r="B130" s="161" t="s">
        <v>260</v>
      </c>
      <c r="C130" s="161" t="s">
        <v>131</v>
      </c>
      <c r="D130" s="331">
        <f>'SP01'!A101</f>
        <v>41474</v>
      </c>
      <c r="E130" s="26">
        <f>'SP01'!J101/1.5</f>
        <v>-0.17967217445727335</v>
      </c>
      <c r="F130" s="26">
        <f>'SP01'!K101/1.5*-1</f>
        <v>0.811423771904623</v>
      </c>
    </row>
    <row r="131" spans="1:6">
      <c r="A131" s="330" t="s">
        <v>11</v>
      </c>
      <c r="B131" s="161" t="s">
        <v>260</v>
      </c>
      <c r="C131" s="161" t="s">
        <v>131</v>
      </c>
      <c r="D131" s="331">
        <f>'SP01'!A102</f>
        <v>41475</v>
      </c>
      <c r="E131" s="26">
        <f>'SP01'!J102/1.5</f>
        <v>0.34192206833267802</v>
      </c>
      <c r="F131" s="26">
        <f>'SP01'!K102/1.5*-1</f>
        <v>1.0587282479890794</v>
      </c>
    </row>
    <row r="132" spans="1:6">
      <c r="A132" s="330" t="s">
        <v>11</v>
      </c>
      <c r="B132" s="161" t="s">
        <v>260</v>
      </c>
      <c r="C132" s="161" t="s">
        <v>131</v>
      </c>
      <c r="D132" s="331">
        <f>'SP01'!A103</f>
        <v>41476</v>
      </c>
      <c r="E132" s="26">
        <f>'SP01'!J103/1.5</f>
        <v>0.76840325677097487</v>
      </c>
      <c r="F132" s="26">
        <f>'SP01'!K103/1.5*-1</f>
        <v>1.7794763251999146</v>
      </c>
    </row>
    <row r="133" spans="1:6">
      <c r="A133" s="330" t="s">
        <v>11</v>
      </c>
      <c r="B133" s="161" t="s">
        <v>260</v>
      </c>
      <c r="C133" s="161" t="s">
        <v>131</v>
      </c>
      <c r="D133" s="331">
        <f>'SP01'!A104</f>
        <v>41477</v>
      </c>
      <c r="E133" s="26">
        <f>'SP01'!J104/1.5</f>
        <v>1.2579285133509075</v>
      </c>
      <c r="F133" s="26">
        <f>'SP01'!K104/1.5*-1</f>
        <v>0.95370511885951037</v>
      </c>
    </row>
    <row r="134" spans="1:6">
      <c r="A134" s="330" t="s">
        <v>11</v>
      </c>
      <c r="B134" s="161" t="s">
        <v>260</v>
      </c>
      <c r="C134" s="161" t="s">
        <v>131</v>
      </c>
      <c r="D134" s="331">
        <f>'SP01'!A105</f>
        <v>41478</v>
      </c>
      <c r="E134" s="26">
        <f>'SP01'!J105/1.5</f>
        <v>1.9396136318916399</v>
      </c>
      <c r="F134" s="26">
        <f>'SP01'!K105/1.5*-1</f>
        <v>2.4304092250790186</v>
      </c>
    </row>
    <row r="135" spans="1:6">
      <c r="A135" s="330" t="s">
        <v>11</v>
      </c>
      <c r="B135" s="161" t="s">
        <v>260</v>
      </c>
      <c r="C135" s="161" t="s">
        <v>131</v>
      </c>
      <c r="D135" s="331">
        <f>'SP01'!A106</f>
        <v>41479</v>
      </c>
      <c r="E135" s="26">
        <f>'SP01'!J106/1.5</f>
        <v>3.1120018925489763</v>
      </c>
      <c r="F135" s="26">
        <f>'SP01'!K106/1.5*-1</f>
        <v>3.2806766506516296</v>
      </c>
    </row>
    <row r="136" spans="1:6">
      <c r="A136" s="330" t="s">
        <v>11</v>
      </c>
      <c r="B136" s="161" t="s">
        <v>260</v>
      </c>
      <c r="C136" s="161" t="s">
        <v>131</v>
      </c>
      <c r="D136" s="331">
        <f>'SP01'!A107</f>
        <v>41480</v>
      </c>
      <c r="E136" s="26">
        <f>'SP01'!J107/1.5</f>
        <v>4.2417875007153638</v>
      </c>
      <c r="F136" s="26">
        <f>'SP01'!K107/1.5*-1</f>
        <v>2.8733100421454405</v>
      </c>
    </row>
    <row r="137" spans="1:6">
      <c r="A137" s="330" t="s">
        <v>11</v>
      </c>
      <c r="B137" s="161" t="s">
        <v>260</v>
      </c>
      <c r="C137" s="161" t="s">
        <v>131</v>
      </c>
      <c r="D137" s="331">
        <f>'SP01'!A108</f>
        <v>41481</v>
      </c>
      <c r="E137" s="26">
        <f>'SP01'!J108/1.5</f>
        <v>2.2343277775825277</v>
      </c>
      <c r="F137" s="26">
        <f>'SP01'!K108/1.5*-1</f>
        <v>3.7114453480648373</v>
      </c>
    </row>
    <row r="138" spans="1:6">
      <c r="A138" s="330" t="s">
        <v>11</v>
      </c>
      <c r="B138" s="161" t="s">
        <v>260</v>
      </c>
      <c r="C138" s="161" t="s">
        <v>131</v>
      </c>
      <c r="D138" s="331">
        <f>'SP01'!A109</f>
        <v>41482</v>
      </c>
      <c r="E138" s="26">
        <f>'SP01'!J109/1.5</f>
        <v>0.64192988799213035</v>
      </c>
      <c r="F138" s="26">
        <f>'SP01'!K109/1.5*-1</f>
        <v>1.9404500561356379</v>
      </c>
    </row>
    <row r="139" spans="1:6">
      <c r="A139" s="330" t="s">
        <v>11</v>
      </c>
      <c r="B139" s="161" t="s">
        <v>260</v>
      </c>
      <c r="C139" s="161" t="s">
        <v>131</v>
      </c>
      <c r="D139" s="331">
        <f>'SP01'!A110</f>
        <v>41483</v>
      </c>
      <c r="E139" s="26">
        <f>'SP01'!J110/1.5</f>
        <v>2.5249925906649411</v>
      </c>
      <c r="F139" s="26">
        <f>'SP01'!K110/1.5*-1</f>
        <v>2.1325075458221252</v>
      </c>
    </row>
    <row r="140" spans="1:6">
      <c r="A140" s="330" t="s">
        <v>11</v>
      </c>
      <c r="B140" s="161" t="s">
        <v>260</v>
      </c>
      <c r="C140" s="161" t="s">
        <v>131</v>
      </c>
      <c r="D140" s="331">
        <f>'SP01'!A111</f>
        <v>41484</v>
      </c>
      <c r="E140" s="26">
        <f>'SP01'!J111/1.5</f>
        <v>1.971817721179461</v>
      </c>
      <c r="F140" s="26">
        <f>'SP01'!K111/1.5*-1</f>
        <v>0.97776965138253591</v>
      </c>
    </row>
    <row r="141" spans="1:6">
      <c r="A141" s="330" t="s">
        <v>11</v>
      </c>
      <c r="B141" s="161" t="s">
        <v>260</v>
      </c>
      <c r="C141" s="161" t="s">
        <v>131</v>
      </c>
      <c r="D141" s="331">
        <f>'SP01'!A112</f>
        <v>41485</v>
      </c>
      <c r="E141" s="26">
        <f>'SP01'!J112/1.5</f>
        <v>2.2287035041259413</v>
      </c>
      <c r="F141" s="26">
        <f>'SP01'!K112/1.5*-1</f>
        <v>6.171447517817799</v>
      </c>
    </row>
    <row r="142" spans="1:6">
      <c r="A142" s="330" t="s">
        <v>11</v>
      </c>
      <c r="B142" s="161" t="s">
        <v>260</v>
      </c>
      <c r="C142" s="161" t="s">
        <v>131</v>
      </c>
      <c r="D142" s="331">
        <f>'SP01'!A113</f>
        <v>41486</v>
      </c>
      <c r="E142" s="26">
        <f>'SP01'!J113/1.5</f>
        <v>4.0399498227329023</v>
      </c>
      <c r="F142" s="26">
        <f>'SP01'!K113/1.5*-1</f>
        <v>3.134023591625676</v>
      </c>
    </row>
    <row r="143" spans="1:6">
      <c r="A143" s="330" t="s">
        <v>11</v>
      </c>
      <c r="B143" s="161" t="s">
        <v>260</v>
      </c>
      <c r="C143" s="161" t="s">
        <v>131</v>
      </c>
      <c r="D143" s="331">
        <f>'SP01'!A114</f>
        <v>41487</v>
      </c>
      <c r="E143" s="26">
        <f>'SP01'!J114/1.5</f>
        <v>0.85645053173889008</v>
      </c>
      <c r="F143" s="26">
        <f>'SP01'!K114/1.5*-1</f>
        <v>2.8980691302183939</v>
      </c>
    </row>
    <row r="144" spans="1:6">
      <c r="A144" s="330" t="s">
        <v>11</v>
      </c>
      <c r="B144" s="161" t="s">
        <v>260</v>
      </c>
      <c r="C144" s="161" t="s">
        <v>131</v>
      </c>
      <c r="D144" s="331">
        <f>'SP01'!A115</f>
        <v>41488</v>
      </c>
      <c r="E144" s="26">
        <f>'SP01'!J115/1.5</f>
        <v>6.3565612823811071</v>
      </c>
      <c r="F144" s="26">
        <f>'SP01'!K115/1.5*-1</f>
        <v>5.1649679467449126</v>
      </c>
    </row>
    <row r="145" spans="1:6">
      <c r="A145" s="330" t="s">
        <v>11</v>
      </c>
      <c r="B145" s="161" t="s">
        <v>260</v>
      </c>
      <c r="C145" s="161" t="s">
        <v>131</v>
      </c>
      <c r="D145" s="331">
        <f>'SP01'!A116</f>
        <v>41489</v>
      </c>
      <c r="E145" s="26">
        <f>'SP01'!J116/1.5</f>
        <v>2.506019805635066</v>
      </c>
      <c r="F145" s="26">
        <f>'SP01'!K116/1.5*-1</f>
        <v>3.637898282665232</v>
      </c>
    </row>
    <row r="146" spans="1:6">
      <c r="A146" s="330" t="s">
        <v>11</v>
      </c>
      <c r="B146" s="161" t="s">
        <v>260</v>
      </c>
      <c r="C146" s="161" t="s">
        <v>131</v>
      </c>
      <c r="D146" s="331">
        <f>'SP01'!A117</f>
        <v>41490</v>
      </c>
      <c r="E146" s="26">
        <f>'SP01'!J117/1.5</f>
        <v>0.85419451675546398</v>
      </c>
      <c r="F146" s="26">
        <f>'SP01'!K117/1.5*-1</f>
        <v>2.2295468989089495</v>
      </c>
    </row>
    <row r="147" spans="1:6">
      <c r="A147" s="330" t="s">
        <v>11</v>
      </c>
      <c r="B147" s="161" t="s">
        <v>260</v>
      </c>
      <c r="C147" s="161" t="s">
        <v>131</v>
      </c>
      <c r="D147" s="331">
        <f>'SP01'!A118</f>
        <v>41491</v>
      </c>
      <c r="E147" s="26">
        <f>'SP01'!J118/1.5</f>
        <v>1.9441148702828279</v>
      </c>
      <c r="F147" s="26">
        <f>'SP01'!K118/1.5*-1</f>
        <v>1.1307154130885995</v>
      </c>
    </row>
    <row r="148" spans="1:6">
      <c r="A148" s="330" t="s">
        <v>11</v>
      </c>
      <c r="B148" s="161" t="s">
        <v>260</v>
      </c>
      <c r="C148" s="161" t="s">
        <v>131</v>
      </c>
      <c r="D148" s="331">
        <f>'SP01'!A119</f>
        <v>41492</v>
      </c>
      <c r="E148" s="26">
        <f>'SP01'!J119/1.5</f>
        <v>-0.84843493748396348</v>
      </c>
      <c r="F148" s="26">
        <f>'SP01'!K119/1.5*-1</f>
        <v>1.5376183797442755</v>
      </c>
    </row>
    <row r="149" spans="1:6">
      <c r="A149" s="330" t="s">
        <v>11</v>
      </c>
      <c r="B149" s="161" t="s">
        <v>260</v>
      </c>
      <c r="C149" s="161" t="s">
        <v>131</v>
      </c>
      <c r="D149" s="331">
        <f>'SP01'!A120</f>
        <v>41493</v>
      </c>
      <c r="E149" s="26">
        <f>'SP01'!J120/1.5</f>
        <v>4.4352549246628827</v>
      </c>
      <c r="F149" s="26">
        <f>'SP01'!K120/1.5*-1</f>
        <v>1.8459383079574925</v>
      </c>
    </row>
    <row r="150" spans="1:6">
      <c r="A150" s="330" t="s">
        <v>11</v>
      </c>
      <c r="B150" s="161" t="s">
        <v>260</v>
      </c>
      <c r="C150" s="161" t="s">
        <v>131</v>
      </c>
      <c r="D150" s="331">
        <f>'SP01'!A121</f>
        <v>41494</v>
      </c>
      <c r="E150" s="26">
        <f>'SP01'!J121/1.5</f>
        <v>1.2875744156641937</v>
      </c>
      <c r="F150" s="26">
        <f>'SP01'!K121/1.5*-1</f>
        <v>1.9490698191006184</v>
      </c>
    </row>
    <row r="151" spans="1:6">
      <c r="A151" s="330" t="s">
        <v>11</v>
      </c>
      <c r="B151" s="161" t="s">
        <v>260</v>
      </c>
      <c r="C151" s="161" t="s">
        <v>131</v>
      </c>
      <c r="D151" s="331">
        <f>'SP01'!A122</f>
        <v>41495</v>
      </c>
      <c r="E151" s="26">
        <f>'SP01'!J122/1.5</f>
        <v>0.30918350017664664</v>
      </c>
      <c r="F151" s="26">
        <f>'SP01'!K122/1.5*-1</f>
        <v>0.14694133214705443</v>
      </c>
    </row>
    <row r="152" spans="1:6">
      <c r="A152" s="330" t="s">
        <v>11</v>
      </c>
      <c r="B152" s="161" t="s">
        <v>260</v>
      </c>
      <c r="C152" s="161" t="s">
        <v>131</v>
      </c>
      <c r="D152" s="331">
        <f>'SP01'!A123</f>
        <v>41496</v>
      </c>
      <c r="E152" s="26">
        <f>'SP01'!J123/1.5</f>
        <v>2.1464967473469589</v>
      </c>
      <c r="F152" s="26">
        <f>'SP01'!K123/1.5*-1</f>
        <v>1.7037438815830581</v>
      </c>
    </row>
    <row r="153" spans="1:6">
      <c r="A153" s="330" t="s">
        <v>11</v>
      </c>
      <c r="B153" s="161" t="s">
        <v>260</v>
      </c>
      <c r="C153" s="161" t="s">
        <v>131</v>
      </c>
      <c r="D153" s="331">
        <f>'SP01'!A124</f>
        <v>41497</v>
      </c>
      <c r="E153" s="26">
        <f>'SP01'!J124/1.5</f>
        <v>1.4710580484859015</v>
      </c>
      <c r="F153" s="26">
        <f>'SP01'!K124/1.5*-1</f>
        <v>3.8817865337253958</v>
      </c>
    </row>
    <row r="154" spans="1:6">
      <c r="A154" s="330" t="s">
        <v>11</v>
      </c>
      <c r="B154" s="161" t="s">
        <v>260</v>
      </c>
      <c r="C154" s="161" t="s">
        <v>131</v>
      </c>
      <c r="D154" s="331">
        <f>'SP01'!A125</f>
        <v>41498</v>
      </c>
      <c r="E154" s="26">
        <f>'SP01'!J125/1.5</f>
        <v>2.1107467089765146</v>
      </c>
      <c r="F154" s="26">
        <f>'SP01'!K125/1.5*-1</f>
        <v>1.0412395047139071</v>
      </c>
    </row>
    <row r="155" spans="1:6">
      <c r="A155" s="330" t="s">
        <v>11</v>
      </c>
      <c r="B155" s="161" t="s">
        <v>260</v>
      </c>
      <c r="C155" s="161" t="s">
        <v>131</v>
      </c>
      <c r="D155" s="331">
        <f>'SP01'!A126</f>
        <v>41499</v>
      </c>
      <c r="E155" s="26">
        <f>'SP01'!J126/1.5</f>
        <v>0.82977021232336601</v>
      </c>
      <c r="F155" s="26">
        <f>'SP01'!K126/1.5*-1</f>
        <v>7.7928383494459945</v>
      </c>
    </row>
    <row r="156" spans="1:6">
      <c r="A156" s="330" t="s">
        <v>11</v>
      </c>
      <c r="B156" s="161" t="s">
        <v>260</v>
      </c>
      <c r="C156" s="161" t="s">
        <v>131</v>
      </c>
      <c r="D156" s="331">
        <f>'SP01'!A127</f>
        <v>41500</v>
      </c>
      <c r="E156" s="26">
        <f>'SP01'!J127/1.5</f>
        <v>6.6638573988507401</v>
      </c>
      <c r="F156" s="26">
        <f>'SP01'!K127/1.5*-1</f>
        <v>9.7795219255968657</v>
      </c>
    </row>
    <row r="157" spans="1:6">
      <c r="A157" s="330" t="s">
        <v>11</v>
      </c>
      <c r="B157" s="161" t="s">
        <v>260</v>
      </c>
      <c r="C157" s="161" t="s">
        <v>131</v>
      </c>
      <c r="D157" s="331">
        <f>'SP01'!A128</f>
        <v>41501</v>
      </c>
      <c r="E157" s="26">
        <f>'SP01'!J128/1.5</f>
        <v>7.6404923470330717</v>
      </c>
      <c r="F157" s="26">
        <f>'SP01'!K128/1.5*-1</f>
        <v>11.08688760050129</v>
      </c>
    </row>
    <row r="158" spans="1:6">
      <c r="A158" s="330" t="s">
        <v>11</v>
      </c>
      <c r="B158" s="161" t="s">
        <v>260</v>
      </c>
      <c r="C158" s="161" t="s">
        <v>131</v>
      </c>
      <c r="D158" s="331">
        <f>'SP01'!A129</f>
        <v>41502</v>
      </c>
      <c r="E158" s="26">
        <f>'SP01'!J129/1.5</f>
        <v>7.5806524076955926</v>
      </c>
      <c r="F158" s="26">
        <f>'SP01'!K129/1.5*-1</f>
        <v>7.6067623924405199</v>
      </c>
    </row>
    <row r="159" spans="1:6">
      <c r="A159" s="330" t="s">
        <v>11</v>
      </c>
      <c r="B159" s="161" t="s">
        <v>260</v>
      </c>
      <c r="C159" s="161" t="s">
        <v>131</v>
      </c>
      <c r="D159" s="331">
        <f>'SP01'!A130</f>
        <v>41503</v>
      </c>
      <c r="E159" s="26">
        <f>'SP01'!J130/1.5</f>
        <v>6.5420374265454475</v>
      </c>
      <c r="F159" s="26">
        <f>'SP01'!K130/1.5*-1</f>
        <v>1.6249880955489864</v>
      </c>
    </row>
    <row r="160" spans="1:6">
      <c r="A160" s="330" t="s">
        <v>11</v>
      </c>
      <c r="B160" s="161" t="s">
        <v>260</v>
      </c>
      <c r="C160" s="161" t="s">
        <v>131</v>
      </c>
      <c r="D160" s="331">
        <f>'SP01'!A131</f>
        <v>41504</v>
      </c>
      <c r="E160" s="26">
        <f>'SP01'!J131/1.5</f>
        <v>2.8853443457070611</v>
      </c>
      <c r="F160" s="26">
        <f>'SP01'!K131/1.5*-1</f>
        <v>0.84235311199403151</v>
      </c>
    </row>
    <row r="161" spans="1:6">
      <c r="A161" s="330" t="s">
        <v>11</v>
      </c>
      <c r="B161" s="161" t="s">
        <v>260</v>
      </c>
      <c r="C161" s="161" t="s">
        <v>131</v>
      </c>
      <c r="D161" s="331">
        <f>'SP01'!A132</f>
        <v>41505</v>
      </c>
      <c r="E161" s="26">
        <f>'SP01'!J132/1.5</f>
        <v>4.4854434730092381</v>
      </c>
      <c r="F161" s="26">
        <f>'SP01'!K132/1.5*-1</f>
        <v>4.1488414280434691</v>
      </c>
    </row>
    <row r="162" spans="1:6">
      <c r="A162" s="330" t="s">
        <v>11</v>
      </c>
      <c r="B162" s="161" t="s">
        <v>260</v>
      </c>
      <c r="C162" s="161" t="s">
        <v>131</v>
      </c>
      <c r="D162" s="331">
        <f>'SP01'!A133</f>
        <v>41506</v>
      </c>
      <c r="E162" s="26">
        <f>'SP01'!J133/1.5</f>
        <v>2.0904471526749826</v>
      </c>
      <c r="F162" s="26">
        <f>'SP01'!K133/1.5*-1</f>
        <v>2.4966302222691934</v>
      </c>
    </row>
    <row r="163" spans="1:6">
      <c r="A163" s="330" t="s">
        <v>11</v>
      </c>
      <c r="B163" s="161" t="s">
        <v>260</v>
      </c>
      <c r="C163" s="161" t="s">
        <v>131</v>
      </c>
      <c r="D163" s="331">
        <f>'SP01'!A134</f>
        <v>41507</v>
      </c>
      <c r="E163" s="26">
        <f>'SP01'!J134/1.5</f>
        <v>4.674321818748604</v>
      </c>
      <c r="F163" s="26">
        <f>'SP01'!K134/1.5*-1</f>
        <v>5.3113063201021173</v>
      </c>
    </row>
    <row r="164" spans="1:6">
      <c r="A164" s="330" t="s">
        <v>11</v>
      </c>
      <c r="B164" s="161" t="s">
        <v>260</v>
      </c>
      <c r="C164" s="161" t="s">
        <v>131</v>
      </c>
      <c r="D164" s="331">
        <f>'SP01'!A135</f>
        <v>41508</v>
      </c>
      <c r="E164" s="26">
        <f>'SP01'!J135/1.5</f>
        <v>3.7346273061936279</v>
      </c>
      <c r="F164" s="26">
        <f>'SP01'!K135/1.5*-1</f>
        <v>4.6516455868160493</v>
      </c>
    </row>
    <row r="165" spans="1:6">
      <c r="A165" s="330" t="s">
        <v>11</v>
      </c>
      <c r="B165" s="161" t="s">
        <v>260</v>
      </c>
      <c r="C165" s="161" t="s">
        <v>131</v>
      </c>
      <c r="D165" s="331">
        <f>'SP01'!A136</f>
        <v>41509</v>
      </c>
      <c r="E165" s="26">
        <f>'SP01'!J136/1.5</f>
        <v>0.66414862423062004</v>
      </c>
      <c r="F165" s="26">
        <f>'SP01'!K136/1.5*-1</f>
        <v>1.499679325705962</v>
      </c>
    </row>
    <row r="166" spans="1:6">
      <c r="A166" s="330" t="s">
        <v>11</v>
      </c>
      <c r="B166" s="161" t="s">
        <v>260</v>
      </c>
      <c r="C166" s="161" t="s">
        <v>131</v>
      </c>
      <c r="D166" s="331">
        <f>'SP01'!A137</f>
        <v>41510</v>
      </c>
      <c r="E166" s="26">
        <f>'SP01'!J137/1.5</f>
        <v>0.70757682501713681</v>
      </c>
      <c r="F166" s="26">
        <f>'SP01'!K137/1.5*-1</f>
        <v>2.3014582982155103</v>
      </c>
    </row>
    <row r="167" spans="1:6">
      <c r="A167" s="330" t="s">
        <v>11</v>
      </c>
      <c r="B167" s="161" t="s">
        <v>260</v>
      </c>
      <c r="C167" s="161" t="s">
        <v>131</v>
      </c>
      <c r="D167" s="331">
        <f>'SP01'!A138</f>
        <v>41511</v>
      </c>
      <c r="E167" s="26">
        <f>'SP01'!J138/1.5</f>
        <v>7.5428027070347285</v>
      </c>
      <c r="F167" s="26">
        <f>'SP01'!K138/1.5*-1</f>
        <v>7.1682740803974703</v>
      </c>
    </row>
    <row r="168" spans="1:6">
      <c r="A168" s="330" t="s">
        <v>11</v>
      </c>
      <c r="B168" s="161" t="s">
        <v>260</v>
      </c>
      <c r="C168" s="161" t="s">
        <v>131</v>
      </c>
      <c r="D168" s="331">
        <f>'SP01'!A139</f>
        <v>41512</v>
      </c>
      <c r="E168" s="26">
        <f>'SP01'!J139/1.5</f>
        <v>5.5081396773987015</v>
      </c>
      <c r="F168" s="26">
        <f>'SP01'!K139/1.5*-1</f>
        <v>6.3213436017631741</v>
      </c>
    </row>
    <row r="169" spans="1:6">
      <c r="A169" s="330" t="s">
        <v>11</v>
      </c>
      <c r="B169" s="161" t="s">
        <v>260</v>
      </c>
      <c r="C169" s="161" t="s">
        <v>131</v>
      </c>
      <c r="D169" s="331">
        <f>'SP01'!A140</f>
        <v>41513</v>
      </c>
      <c r="E169" s="26">
        <f>'SP01'!J140/1.5</f>
        <v>4.6099159134981109</v>
      </c>
      <c r="F169" s="26">
        <f>'SP01'!K140/1.5*-1</f>
        <v>5.1279118175615466</v>
      </c>
    </row>
    <row r="170" spans="1:6">
      <c r="A170" s="330" t="s">
        <v>11</v>
      </c>
      <c r="B170" s="161" t="s">
        <v>260</v>
      </c>
      <c r="C170" s="161" t="s">
        <v>131</v>
      </c>
      <c r="D170" s="331">
        <f>'SP01'!A141</f>
        <v>41514</v>
      </c>
      <c r="E170" s="26">
        <f>'SP01'!J141/1.5</f>
        <v>4.2611750149382255</v>
      </c>
      <c r="F170" s="26">
        <f>'SP01'!K141/1.5*-1</f>
        <v>8.142208751097634</v>
      </c>
    </row>
    <row r="171" spans="1:6">
      <c r="A171" s="330" t="s">
        <v>11</v>
      </c>
      <c r="B171" s="161" t="s">
        <v>260</v>
      </c>
      <c r="C171" s="161" t="s">
        <v>131</v>
      </c>
      <c r="D171" s="331">
        <f>'SP01'!A142</f>
        <v>41515</v>
      </c>
      <c r="E171" s="26">
        <f>'SP01'!J142/1.5</f>
        <v>8.4779411226329771</v>
      </c>
      <c r="F171" s="26">
        <f>'SP01'!K142/1.5*-1</f>
        <v>8.3294151826339391</v>
      </c>
    </row>
    <row r="172" spans="1:6">
      <c r="A172" s="330" t="s">
        <v>11</v>
      </c>
      <c r="B172" s="161" t="s">
        <v>260</v>
      </c>
      <c r="C172" s="161" t="s">
        <v>131</v>
      </c>
      <c r="D172" s="331">
        <f>'SP01'!A143</f>
        <v>41516</v>
      </c>
      <c r="E172" s="26">
        <f>'SP01'!J143/1.5</f>
        <v>7.0978142086139151</v>
      </c>
      <c r="F172" s="26">
        <f>'SP01'!K143/1.5*-1</f>
        <v>8.171905215692485</v>
      </c>
    </row>
    <row r="173" spans="1:6">
      <c r="A173" s="330" t="s">
        <v>11</v>
      </c>
      <c r="B173" s="161" t="s">
        <v>260</v>
      </c>
      <c r="C173" s="161" t="s">
        <v>131</v>
      </c>
      <c r="D173" s="331">
        <f>'SP01'!A144</f>
        <v>41517</v>
      </c>
      <c r="E173" s="26">
        <f>'SP01'!J144/1.5</f>
        <v>2.9077038317543931</v>
      </c>
      <c r="F173" s="26">
        <f>'SP01'!K144/1.5*-1</f>
        <v>2.3861423712160117</v>
      </c>
    </row>
    <row r="174" spans="1:6">
      <c r="A174" s="330" t="s">
        <v>11</v>
      </c>
      <c r="B174" s="161" t="s">
        <v>260</v>
      </c>
      <c r="C174" s="161" t="s">
        <v>131</v>
      </c>
      <c r="D174" s="331">
        <f>'SP01'!A145</f>
        <v>41518</v>
      </c>
      <c r="E174" s="26">
        <f>'SP01'!J145/1.5</f>
        <v>5.1131767066241549</v>
      </c>
      <c r="F174" s="26">
        <f>'SP01'!K145/1.5*-1</f>
        <v>2.4809821542030184</v>
      </c>
    </row>
    <row r="175" spans="1:6">
      <c r="A175" s="330" t="s">
        <v>11</v>
      </c>
      <c r="B175" s="161" t="s">
        <v>260</v>
      </c>
      <c r="C175" s="161" t="s">
        <v>131</v>
      </c>
      <c r="D175" s="331">
        <f>'SP01'!A146</f>
        <v>41519</v>
      </c>
      <c r="E175" s="26">
        <f>'SP01'!J146/1.5</f>
        <v>5.2898692344258729</v>
      </c>
      <c r="F175" s="26">
        <f>'SP01'!K146/1.5*-1</f>
        <v>6.3289275603899746</v>
      </c>
    </row>
    <row r="176" spans="1:6">
      <c r="A176" s="330" t="s">
        <v>11</v>
      </c>
      <c r="B176" s="161" t="s">
        <v>260</v>
      </c>
      <c r="C176" s="161" t="s">
        <v>131</v>
      </c>
      <c r="D176" s="331">
        <f>'SP01'!A147</f>
        <v>41520</v>
      </c>
      <c r="E176" s="26">
        <f>'SP01'!J147/1.5</f>
        <v>5.2677205693492235</v>
      </c>
      <c r="F176" s="26">
        <f>'SP01'!K147/1.5*-1</f>
        <v>4.5762568209652192</v>
      </c>
    </row>
    <row r="177" spans="1:6">
      <c r="A177" s="330" t="s">
        <v>11</v>
      </c>
      <c r="B177" s="161" t="s">
        <v>260</v>
      </c>
      <c r="C177" s="161" t="s">
        <v>131</v>
      </c>
      <c r="D177" s="331">
        <f>'SP01'!A148</f>
        <v>41521</v>
      </c>
      <c r="E177" s="26">
        <f>'SP01'!J148/1.5</f>
        <v>5.3509638138963398</v>
      </c>
      <c r="F177" s="26">
        <f>'SP01'!K148/1.5*-1</f>
        <v>1.4734304276346257</v>
      </c>
    </row>
    <row r="178" spans="1:6">
      <c r="A178" s="330" t="s">
        <v>11</v>
      </c>
      <c r="B178" s="161" t="s">
        <v>260</v>
      </c>
      <c r="C178" s="161" t="s">
        <v>131</v>
      </c>
      <c r="D178" s="331">
        <f>'SP01'!A149</f>
        <v>41522</v>
      </c>
      <c r="E178" s="26">
        <f>'SP01'!J149/1.5</f>
        <v>1.0852315459793378</v>
      </c>
      <c r="F178" s="26">
        <f>'SP01'!K149/1.5*-1</f>
        <v>3.144773824855136</v>
      </c>
    </row>
    <row r="179" spans="1:6">
      <c r="A179" s="330" t="s">
        <v>11</v>
      </c>
      <c r="B179" s="161" t="s">
        <v>260</v>
      </c>
      <c r="C179" s="161" t="s">
        <v>131</v>
      </c>
      <c r="D179" s="331">
        <f>'SP01'!A150</f>
        <v>41523</v>
      </c>
      <c r="E179" s="26">
        <f>'SP01'!J150/1.5</f>
        <v>2.8954066758948915</v>
      </c>
      <c r="F179" s="26">
        <f>'SP01'!K150/1.5*-1</f>
        <v>3.3968321959461441</v>
      </c>
    </row>
    <row r="180" spans="1:6">
      <c r="A180" s="330" t="s">
        <v>11</v>
      </c>
      <c r="B180" s="161" t="s">
        <v>260</v>
      </c>
      <c r="C180" s="161" t="s">
        <v>131</v>
      </c>
      <c r="D180" s="331">
        <f>'SP01'!A151</f>
        <v>41524</v>
      </c>
      <c r="E180" s="26">
        <f>'SP01'!J151/1.5</f>
        <v>3.609177122219462</v>
      </c>
      <c r="F180" s="26">
        <f>'SP01'!K151/1.5*-1</f>
        <v>3.478622722535254</v>
      </c>
    </row>
    <row r="181" spans="1:6">
      <c r="A181" s="330" t="s">
        <v>11</v>
      </c>
      <c r="B181" s="161" t="s">
        <v>260</v>
      </c>
      <c r="C181" s="161" t="s">
        <v>131</v>
      </c>
      <c r="D181" s="331">
        <f>'SP01'!A152</f>
        <v>41525</v>
      </c>
      <c r="E181" s="26">
        <f>'SP01'!J152/1.5</f>
        <v>2.4424184314431434</v>
      </c>
      <c r="F181" s="26">
        <f>'SP01'!K152/1.5*-1</f>
        <v>5.1972487539925405</v>
      </c>
    </row>
    <row r="182" spans="1:6">
      <c r="A182" s="330" t="s">
        <v>11</v>
      </c>
      <c r="B182" s="161" t="s">
        <v>260</v>
      </c>
      <c r="C182" s="161" t="s">
        <v>131</v>
      </c>
      <c r="D182" s="331">
        <f>'SP01'!A153</f>
        <v>41526</v>
      </c>
      <c r="E182" s="26">
        <f>'SP01'!J153/1.5</f>
        <v>4.1288705311689151</v>
      </c>
      <c r="F182" s="26">
        <f>'SP01'!K153/1.5*-1</f>
        <v>13.512964336724879</v>
      </c>
    </row>
    <row r="183" spans="1:6">
      <c r="A183" s="330" t="s">
        <v>11</v>
      </c>
      <c r="B183" s="161" t="s">
        <v>260</v>
      </c>
      <c r="C183" s="161" t="s">
        <v>131</v>
      </c>
      <c r="D183" s="331">
        <f>'SP01'!A154</f>
        <v>41527</v>
      </c>
      <c r="E183" s="26">
        <f>'SP01'!J154/1.5</f>
        <v>9.5224161058333063</v>
      </c>
      <c r="F183" s="26">
        <f>'SP01'!K154/1.5*-1</f>
        <v>5.1667238876830348</v>
      </c>
    </row>
    <row r="184" spans="1:6">
      <c r="A184" s="330" t="s">
        <v>11</v>
      </c>
      <c r="B184" s="161" t="s">
        <v>260</v>
      </c>
      <c r="C184" s="161" t="s">
        <v>131</v>
      </c>
      <c r="D184" s="331">
        <f>'SP01'!A155</f>
        <v>41528</v>
      </c>
      <c r="E184" s="26">
        <f>'SP01'!J155/1.5</f>
        <v>3.6763728315618138</v>
      </c>
      <c r="F184" s="26">
        <f>'SP01'!K155/1.5*-1</f>
        <v>9.2492343311964156</v>
      </c>
    </row>
    <row r="185" spans="1:6">
      <c r="A185" s="330" t="s">
        <v>11</v>
      </c>
      <c r="B185" s="161" t="s">
        <v>260</v>
      </c>
      <c r="C185" s="161" t="s">
        <v>131</v>
      </c>
      <c r="D185" s="331">
        <f>'SP01'!A156</f>
        <v>41529</v>
      </c>
      <c r="E185" s="26">
        <f>'SP01'!J156/1.5</f>
        <v>7.2175486887547047</v>
      </c>
      <c r="F185" s="26">
        <f>'SP01'!K156/1.5*-1</f>
        <v>15.472417264882173</v>
      </c>
    </row>
    <row r="186" spans="1:6">
      <c r="A186" s="330" t="s">
        <v>11</v>
      </c>
      <c r="B186" s="161" t="s">
        <v>260</v>
      </c>
      <c r="C186" s="161" t="s">
        <v>131</v>
      </c>
      <c r="D186" s="331">
        <f>'SP01'!A157</f>
        <v>41530</v>
      </c>
      <c r="E186" s="26">
        <f>'SP01'!J157/1.5</f>
        <v>11.719771591665037</v>
      </c>
      <c r="F186" s="26">
        <f>'SP01'!K157/1.5*-1</f>
        <v>13.320089068671811</v>
      </c>
    </row>
    <row r="187" spans="1:6">
      <c r="A187" s="330" t="s">
        <v>11</v>
      </c>
      <c r="B187" s="161" t="s">
        <v>260</v>
      </c>
      <c r="C187" s="161" t="s">
        <v>131</v>
      </c>
      <c r="D187" s="331">
        <f>'SP01'!A158</f>
        <v>41531</v>
      </c>
      <c r="E187" s="26">
        <f>'SP01'!J158/1.5</f>
        <v>9.3491478538734114</v>
      </c>
      <c r="F187" s="26">
        <f>'SP01'!K158/1.5*-1</f>
        <v>2.9618211430690375</v>
      </c>
    </row>
    <row r="188" spans="1:6">
      <c r="A188" s="330" t="s">
        <v>11</v>
      </c>
      <c r="B188" s="161" t="s">
        <v>260</v>
      </c>
      <c r="C188" s="161" t="s">
        <v>131</v>
      </c>
      <c r="D188" s="331">
        <f>'SP01'!A159</f>
        <v>41532</v>
      </c>
      <c r="E188" s="26">
        <f>'SP01'!J159/1.5</f>
        <v>6.5755905402952264</v>
      </c>
      <c r="F188" s="26">
        <f>'SP01'!K159/1.5*-1</f>
        <v>3.8949696554633522</v>
      </c>
    </row>
    <row r="189" spans="1:6">
      <c r="A189" s="330" t="s">
        <v>11</v>
      </c>
      <c r="B189" s="161" t="s">
        <v>260</v>
      </c>
      <c r="C189" s="161" t="s">
        <v>131</v>
      </c>
      <c r="D189" s="331">
        <f>'SP01'!A160</f>
        <v>41533</v>
      </c>
      <c r="E189" s="26">
        <f>'SP01'!J160/1.5</f>
        <v>2.6638182718336405</v>
      </c>
      <c r="F189" s="26">
        <f>'SP01'!K160/1.5*-1</f>
        <v>5.674645208745944</v>
      </c>
    </row>
    <row r="190" spans="1:6">
      <c r="A190" s="330" t="s">
        <v>11</v>
      </c>
      <c r="B190" s="161" t="s">
        <v>260</v>
      </c>
      <c r="C190" s="161" t="s">
        <v>131</v>
      </c>
      <c r="D190" s="331">
        <f>'SP01'!A161</f>
        <v>41534</v>
      </c>
      <c r="E190" s="26">
        <f>'SP01'!J161/1.5</f>
        <v>9.5713087331727369</v>
      </c>
      <c r="F190" s="26">
        <f>'SP01'!K161/1.5*-1</f>
        <v>6.1084116027780828</v>
      </c>
    </row>
    <row r="191" spans="1:6">
      <c r="A191" s="330" t="s">
        <v>11</v>
      </c>
      <c r="B191" s="161" t="s">
        <v>260</v>
      </c>
      <c r="C191" s="161" t="s">
        <v>131</v>
      </c>
      <c r="D191" s="331">
        <f>'SP01'!A162</f>
        <v>41535</v>
      </c>
      <c r="E191" s="26">
        <f>'SP01'!J162/1.5</f>
        <v>1.515491245044539</v>
      </c>
      <c r="F191" s="26">
        <f>'SP01'!K162/1.5*-1</f>
        <v>2.9056884714157118</v>
      </c>
    </row>
    <row r="192" spans="1:6">
      <c r="A192" s="330" t="s">
        <v>11</v>
      </c>
      <c r="B192" s="161" t="s">
        <v>260</v>
      </c>
      <c r="C192" s="161" t="s">
        <v>131</v>
      </c>
      <c r="D192" s="331">
        <f>'SP01'!A163</f>
        <v>41536</v>
      </c>
      <c r="E192" s="26">
        <f>'SP01'!J163/1.5</f>
        <v>3.3110524742889988</v>
      </c>
      <c r="F192" s="26">
        <f>'SP01'!K163/1.5*-1</f>
        <v>4.4727374859870279</v>
      </c>
    </row>
    <row r="193" spans="1:6">
      <c r="A193" s="330" t="s">
        <v>11</v>
      </c>
      <c r="B193" s="161" t="s">
        <v>260</v>
      </c>
      <c r="C193" s="161" t="s">
        <v>131</v>
      </c>
      <c r="D193" s="331">
        <f>'SP01'!A164</f>
        <v>41537</v>
      </c>
      <c r="E193" s="26">
        <f>'SP01'!J164/1.5</f>
        <v>4.2836836277736934</v>
      </c>
      <c r="F193" s="26">
        <f>'SP01'!K164/1.5*-1</f>
        <v>7.0538653663500979</v>
      </c>
    </row>
    <row r="194" spans="1:6">
      <c r="A194" s="330" t="s">
        <v>11</v>
      </c>
      <c r="B194" s="161" t="s">
        <v>260</v>
      </c>
      <c r="C194" s="161" t="s">
        <v>131</v>
      </c>
      <c r="D194" s="331">
        <f>'SP01'!A165</f>
        <v>41538</v>
      </c>
      <c r="E194" s="26">
        <f>'SP01'!J165/1.5</f>
        <v>2.4301471561811847</v>
      </c>
      <c r="F194" s="26">
        <f>'SP01'!K165/1.5*-1</f>
        <v>2.5494331099223144</v>
      </c>
    </row>
    <row r="195" spans="1:6">
      <c r="A195" s="330" t="s">
        <v>11</v>
      </c>
      <c r="B195" s="161" t="s">
        <v>260</v>
      </c>
      <c r="C195" s="161" t="s">
        <v>131</v>
      </c>
      <c r="D195" s="331">
        <f>'SP01'!A166</f>
        <v>41539</v>
      </c>
      <c r="E195" s="26">
        <f>'SP01'!J166/1.5</f>
        <v>4.5442353278827623</v>
      </c>
      <c r="F195" s="26">
        <f>'SP01'!K166/1.5*-1</f>
        <v>4.3877080752357838</v>
      </c>
    </row>
    <row r="196" spans="1:6">
      <c r="A196" s="330" t="s">
        <v>11</v>
      </c>
      <c r="B196" s="161" t="s">
        <v>260</v>
      </c>
      <c r="C196" s="161" t="s">
        <v>131</v>
      </c>
      <c r="D196" s="331">
        <f>'SP01'!A167</f>
        <v>41540</v>
      </c>
      <c r="E196" s="26">
        <f>'SP01'!J167/1.5</f>
        <v>5.5775269874136804</v>
      </c>
      <c r="F196" s="26">
        <f>'SP01'!K167/1.5*-1</f>
        <v>6.5327281002375921</v>
      </c>
    </row>
    <row r="197" spans="1:6">
      <c r="A197" s="330" t="s">
        <v>11</v>
      </c>
      <c r="B197" s="161" t="s">
        <v>260</v>
      </c>
      <c r="C197" s="161" t="s">
        <v>131</v>
      </c>
      <c r="D197" s="331">
        <f>'SP01'!A168</f>
        <v>41541</v>
      </c>
      <c r="E197" s="26">
        <f>'SP01'!J168/1.5</f>
        <v>4.3717370321161422</v>
      </c>
      <c r="F197" s="26">
        <f>'SP01'!K168/1.5*-1</f>
        <v>7.10518624542157</v>
      </c>
    </row>
    <row r="198" spans="1:6">
      <c r="A198" s="330" t="s">
        <v>11</v>
      </c>
      <c r="B198" s="161" t="s">
        <v>260</v>
      </c>
      <c r="C198" s="161" t="s">
        <v>131</v>
      </c>
      <c r="D198" s="331">
        <f>'SP01'!A169</f>
        <v>41542</v>
      </c>
      <c r="E198" s="26">
        <f>'SP01'!J169/1.5</f>
        <v>8.7616844003124701</v>
      </c>
      <c r="F198" s="26">
        <f>'SP01'!K169/1.5*-1</f>
        <v>5.9599863016374606</v>
      </c>
    </row>
    <row r="199" spans="1:6">
      <c r="A199" s="330" t="s">
        <v>11</v>
      </c>
      <c r="B199" s="161" t="s">
        <v>260</v>
      </c>
      <c r="C199" s="161" t="s">
        <v>131</v>
      </c>
      <c r="D199" s="331">
        <f>'SP01'!A170</f>
        <v>41543</v>
      </c>
      <c r="E199" s="26">
        <f>'SP01'!J170/1.5</f>
        <v>7.2610375471598694</v>
      </c>
      <c r="F199" s="26">
        <f>'SP01'!K170/1.5*-1</f>
        <v>7.8794834409574817</v>
      </c>
    </row>
    <row r="200" spans="1:6">
      <c r="A200" s="330" t="s">
        <v>11</v>
      </c>
      <c r="B200" s="161" t="s">
        <v>260</v>
      </c>
      <c r="C200" s="161" t="s">
        <v>131</v>
      </c>
      <c r="D200" s="331">
        <f>'SP01'!A171</f>
        <v>41544</v>
      </c>
      <c r="E200" s="26">
        <f>'SP01'!J171/1.5</f>
        <v>7.3920629372413869</v>
      </c>
      <c r="F200" s="26">
        <f>'SP01'!K171/1.5*-1</f>
        <v>6.9832223234702626</v>
      </c>
    </row>
    <row r="201" spans="1:6">
      <c r="A201" s="330" t="s">
        <v>11</v>
      </c>
      <c r="B201" s="161" t="s">
        <v>260</v>
      </c>
      <c r="C201" s="161" t="s">
        <v>131</v>
      </c>
      <c r="D201" s="331">
        <f>'SP01'!A172</f>
        <v>41545</v>
      </c>
      <c r="E201" s="26">
        <f>'SP01'!J172/1.5</f>
        <v>8.780789588573418</v>
      </c>
      <c r="F201" s="26">
        <f>'SP01'!K172/1.5*-1</f>
        <v>7.8682008579294118</v>
      </c>
    </row>
    <row r="202" spans="1:6">
      <c r="A202" s="330" t="s">
        <v>11</v>
      </c>
      <c r="B202" s="161" t="s">
        <v>260</v>
      </c>
      <c r="C202" s="161" t="s">
        <v>131</v>
      </c>
      <c r="D202" s="331">
        <f>'SP01'!A173</f>
        <v>41546</v>
      </c>
      <c r="E202" s="26">
        <f>'SP01'!J173/1.5</f>
        <v>2.8372138218326914</v>
      </c>
      <c r="F202" s="26">
        <f>'SP01'!K173/1.5*-1</f>
        <v>3.9071075532892769</v>
      </c>
    </row>
    <row r="203" spans="1:6">
      <c r="A203" s="330" t="s">
        <v>11</v>
      </c>
      <c r="B203" s="161" t="s">
        <v>260</v>
      </c>
      <c r="C203" s="161" t="s">
        <v>131</v>
      </c>
      <c r="D203" s="331">
        <f>'SP01'!A174</f>
        <v>41547</v>
      </c>
      <c r="E203" s="26">
        <f>'SP01'!J174/1.5</f>
        <v>4.2624042262370638</v>
      </c>
      <c r="F203" s="26">
        <f>'SP01'!K174/1.5*-1</f>
        <v>2.7626625045485116</v>
      </c>
    </row>
    <row r="204" spans="1:6">
      <c r="A204" s="330" t="s">
        <v>11</v>
      </c>
      <c r="B204" s="161" t="s">
        <v>260</v>
      </c>
      <c r="C204" s="161" t="s">
        <v>131</v>
      </c>
      <c r="D204" s="331">
        <f>'SP01'!A175</f>
        <v>41548</v>
      </c>
      <c r="E204" s="26">
        <f>'SP01'!J175/1.5</f>
        <v>4.7805157790595034</v>
      </c>
      <c r="F204" s="26">
        <f>'SP01'!K175/1.5*-1</f>
        <v>6.2819988830795639</v>
      </c>
    </row>
    <row r="205" spans="1:6">
      <c r="A205" s="330" t="s">
        <v>11</v>
      </c>
      <c r="B205" s="161" t="s">
        <v>260</v>
      </c>
      <c r="C205" s="161" t="s">
        <v>131</v>
      </c>
      <c r="D205" s="331">
        <f>'SP01'!A176</f>
        <v>41549</v>
      </c>
      <c r="E205" s="26">
        <f>'SP01'!J176/1.5</f>
        <v>4.7603754393958164</v>
      </c>
      <c r="F205" s="26">
        <f>'SP01'!K176/1.5*-1</f>
        <v>1.5344842976156332</v>
      </c>
    </row>
    <row r="206" spans="1:6">
      <c r="A206" s="330" t="s">
        <v>12</v>
      </c>
      <c r="B206" s="161" t="s">
        <v>260</v>
      </c>
      <c r="C206" s="161" t="s">
        <v>130</v>
      </c>
      <c r="D206" s="331">
        <f>'SP02'!A4</f>
        <v>41377</v>
      </c>
      <c r="E206" s="26">
        <f>'SP02'!J4/5.9</f>
        <v>0.83173728813557557</v>
      </c>
      <c r="F206" s="26">
        <f>'SP02'!K4/5.9*-1</f>
        <v>0.68418386145907584</v>
      </c>
    </row>
    <row r="207" spans="1:6">
      <c r="A207" s="330" t="s">
        <v>12</v>
      </c>
      <c r="B207" s="161" t="s">
        <v>260</v>
      </c>
      <c r="C207" s="161" t="s">
        <v>130</v>
      </c>
      <c r="D207" s="331">
        <f>'SP02'!A5</f>
        <v>41378</v>
      </c>
      <c r="E207" s="26">
        <f>'SP02'!J5/5.9</f>
        <v>-1.3785593220339005</v>
      </c>
      <c r="F207" s="26">
        <f>'SP02'!K5/5.9*-1</f>
        <v>-0.23180729550478199</v>
      </c>
    </row>
    <row r="208" spans="1:6">
      <c r="A208" s="330" t="s">
        <v>12</v>
      </c>
      <c r="B208" s="161" t="s">
        <v>260</v>
      </c>
      <c r="C208" s="161" t="s">
        <v>130</v>
      </c>
      <c r="D208" s="331">
        <f>'SP02'!A6</f>
        <v>41379</v>
      </c>
      <c r="E208" s="26">
        <f>'SP02'!J6/5.9</f>
        <v>0.75300847457627496</v>
      </c>
      <c r="F208" s="26">
        <f>'SP02'!K6/5.9*-1</f>
        <v>0.31291451731760855</v>
      </c>
    </row>
    <row r="209" spans="1:6">
      <c r="A209" s="330" t="s">
        <v>12</v>
      </c>
      <c r="B209" s="161" t="s">
        <v>260</v>
      </c>
      <c r="C209" s="161" t="s">
        <v>130</v>
      </c>
      <c r="D209" s="331">
        <f>'SP02'!A7</f>
        <v>41380</v>
      </c>
      <c r="E209" s="26">
        <f>'SP02'!J7/5.9</f>
        <v>0.89771186440677642</v>
      </c>
      <c r="F209" s="26">
        <f>'SP02'!K7/5.9*-1</f>
        <v>0.55227523949891444</v>
      </c>
    </row>
    <row r="210" spans="1:6">
      <c r="A210" s="330" t="s">
        <v>12</v>
      </c>
      <c r="B210" s="161" t="s">
        <v>260</v>
      </c>
      <c r="C210" s="161" t="s">
        <v>130</v>
      </c>
      <c r="D210" s="331">
        <f>'SP02'!A8</f>
        <v>41381</v>
      </c>
      <c r="E210" s="26">
        <f>'SP02'!J8/5.9</f>
        <v>0.6873370273794227</v>
      </c>
      <c r="F210" s="26">
        <f>'SP02'!K8/5.9*-1</f>
        <v>0.64392334360556713</v>
      </c>
    </row>
    <row r="211" spans="1:6">
      <c r="A211" s="330" t="s">
        <v>12</v>
      </c>
      <c r="B211" s="161" t="s">
        <v>260</v>
      </c>
      <c r="C211" s="161" t="s">
        <v>130</v>
      </c>
      <c r="D211" s="331">
        <f>'SP02'!A9</f>
        <v>41382</v>
      </c>
      <c r="E211" s="26">
        <f>'SP02'!J9/5.9</f>
        <v>4.669165580182482E-2</v>
      </c>
      <c r="F211" s="26">
        <f>'SP02'!K9/5.9*-1</f>
        <v>0.58392719568565177</v>
      </c>
    </row>
    <row r="212" spans="1:6">
      <c r="A212" s="330" t="s">
        <v>12</v>
      </c>
      <c r="B212" s="161" t="s">
        <v>260</v>
      </c>
      <c r="C212" s="161" t="s">
        <v>130</v>
      </c>
      <c r="D212" s="331">
        <f>'SP02'!A10</f>
        <v>41383</v>
      </c>
      <c r="E212" s="26">
        <f>'SP02'!J10/5.9</f>
        <v>4.7343546284204986E-2</v>
      </c>
      <c r="F212" s="26">
        <f>'SP02'!K10/5.9*-1</f>
        <v>0.4185766563944277</v>
      </c>
    </row>
    <row r="213" spans="1:6">
      <c r="A213" s="330" t="s">
        <v>12</v>
      </c>
      <c r="B213" s="161" t="s">
        <v>260</v>
      </c>
      <c r="C213" s="161" t="s">
        <v>130</v>
      </c>
      <c r="D213" s="331">
        <f>'SP02'!A11</f>
        <v>41384</v>
      </c>
      <c r="E213" s="26">
        <f>'SP02'!J11/5.9</f>
        <v>2.2668269230769194</v>
      </c>
      <c r="F213" s="26">
        <f>'SP02'!K11/5.9*-1</f>
        <v>1.5661113251155636</v>
      </c>
    </row>
    <row r="214" spans="1:6">
      <c r="A214" s="330" t="s">
        <v>12</v>
      </c>
      <c r="B214" s="161" t="s">
        <v>260</v>
      </c>
      <c r="C214" s="161" t="s">
        <v>130</v>
      </c>
      <c r="D214" s="331">
        <f>'SP02'!A12</f>
        <v>41385</v>
      </c>
      <c r="E214" s="26">
        <f>'SP02'!J12/5.9</f>
        <v>2.2325211864406778</v>
      </c>
      <c r="F214" s="26">
        <f>'SP02'!K12/5.9*-1</f>
        <v>1.354728428351303</v>
      </c>
    </row>
    <row r="215" spans="1:6">
      <c r="A215" s="330" t="s">
        <v>12</v>
      </c>
      <c r="B215" s="161" t="s">
        <v>260</v>
      </c>
      <c r="C215" s="161" t="s">
        <v>130</v>
      </c>
      <c r="D215" s="331">
        <f>'SP02'!A13</f>
        <v>41386</v>
      </c>
      <c r="E215" s="26">
        <f>'SP02'!J13/5.9</f>
        <v>0.91329856584093516</v>
      </c>
      <c r="F215" s="26">
        <f>'SP02'!K13/5.9*-1</f>
        <v>1.2141756548536351</v>
      </c>
    </row>
    <row r="216" spans="1:6">
      <c r="A216" s="330" t="s">
        <v>12</v>
      </c>
      <c r="B216" s="161" t="s">
        <v>260</v>
      </c>
      <c r="C216" s="161" t="s">
        <v>130</v>
      </c>
      <c r="D216" s="331">
        <f>'SP02'!A14</f>
        <v>41387</v>
      </c>
      <c r="E216" s="26">
        <f>'SP02'!J14/5.9</f>
        <v>1.13253748370274</v>
      </c>
      <c r="F216" s="26">
        <f>'SP02'!K14/5.9*-1</f>
        <v>0.92459553158704744</v>
      </c>
    </row>
    <row r="217" spans="1:6">
      <c r="A217" s="330" t="s">
        <v>12</v>
      </c>
      <c r="B217" s="161" t="s">
        <v>260</v>
      </c>
      <c r="C217" s="161" t="s">
        <v>130</v>
      </c>
      <c r="D217" s="331">
        <f>'SP02'!A15</f>
        <v>41388</v>
      </c>
      <c r="E217" s="26">
        <f>'SP02'!J15/5.9</f>
        <v>-0.54371740547588876</v>
      </c>
      <c r="F217" s="26">
        <f>'SP02'!K15/5.9*-1</f>
        <v>0.78394645608627622</v>
      </c>
    </row>
    <row r="218" spans="1:6">
      <c r="A218" s="330" t="s">
        <v>12</v>
      </c>
      <c r="B218" s="161" t="s">
        <v>260</v>
      </c>
      <c r="C218" s="161" t="s">
        <v>130</v>
      </c>
      <c r="D218" s="331">
        <f>'SP02'!A16</f>
        <v>41389</v>
      </c>
      <c r="E218" s="26">
        <f>'SP02'!J16/5.9</f>
        <v>0.96602020860495341</v>
      </c>
      <c r="F218" s="26">
        <f>'SP02'!K16/5.9*-1</f>
        <v>0.25765600924500315</v>
      </c>
    </row>
    <row r="219" spans="1:6">
      <c r="A219" s="330" t="s">
        <v>12</v>
      </c>
      <c r="B219" s="161" t="s">
        <v>260</v>
      </c>
      <c r="C219" s="161" t="s">
        <v>130</v>
      </c>
      <c r="D219" s="331">
        <f>'SP02'!A17</f>
        <v>41390</v>
      </c>
      <c r="E219" s="26">
        <f>'SP02'!J17/5.9</f>
        <v>0.5255052151238695</v>
      </c>
      <c r="F219" s="26">
        <f>'SP02'!K17/5.9*-1</f>
        <v>0.7071456086286636</v>
      </c>
    </row>
    <row r="220" spans="1:6">
      <c r="A220" s="330" t="s">
        <v>12</v>
      </c>
      <c r="B220" s="161" t="s">
        <v>260</v>
      </c>
      <c r="C220" s="161" t="s">
        <v>130</v>
      </c>
      <c r="D220" s="331">
        <f>'SP02'!A18</f>
        <v>41391</v>
      </c>
      <c r="E220" s="26">
        <f>'SP02'!J18/5.9</f>
        <v>-0.33979791395045633</v>
      </c>
      <c r="F220" s="26">
        <f>'SP02'!K18/5.9*-1</f>
        <v>8.7167070217918002E-2</v>
      </c>
    </row>
    <row r="221" spans="1:6">
      <c r="A221" s="330" t="s">
        <v>12</v>
      </c>
      <c r="B221" s="161" t="s">
        <v>260</v>
      </c>
      <c r="C221" s="161" t="s">
        <v>130</v>
      </c>
      <c r="D221" s="331">
        <f>'SP02'!A19</f>
        <v>41392</v>
      </c>
      <c r="E221" s="26">
        <f>'SP02'!J19/5.9</f>
        <v>-0.30685028248587887</v>
      </c>
      <c r="F221" s="26">
        <f>'SP02'!K19/5.9*-1</f>
        <v>0.21660613397901748</v>
      </c>
    </row>
    <row r="222" spans="1:6">
      <c r="A222" s="330" t="s">
        <v>12</v>
      </c>
      <c r="B222" s="161" t="s">
        <v>260</v>
      </c>
      <c r="C222" s="161" t="s">
        <v>130</v>
      </c>
      <c r="D222" s="331">
        <f>'SP02'!A20</f>
        <v>41393</v>
      </c>
      <c r="E222" s="26">
        <f>'SP02'!J20/5.9</f>
        <v>-5.2495291902062098E-2</v>
      </c>
      <c r="F222" s="26">
        <f>'SP02'!K20/5.9*-1</f>
        <v>0.20071630347053415</v>
      </c>
    </row>
    <row r="223" spans="1:6">
      <c r="A223" s="330" t="s">
        <v>12</v>
      </c>
      <c r="B223" s="161" t="s">
        <v>260</v>
      </c>
      <c r="C223" s="161" t="s">
        <v>130</v>
      </c>
      <c r="D223" s="331">
        <f>'SP02'!A21</f>
        <v>41394</v>
      </c>
      <c r="E223" s="26">
        <f>'SP02'!J21/5.9</f>
        <v>-0.40297394852479079</v>
      </c>
      <c r="F223" s="26">
        <f>'SP02'!K21/5.9*-1</f>
        <v>0.58540153349476265</v>
      </c>
    </row>
    <row r="224" spans="1:6">
      <c r="A224" s="330" t="s">
        <v>12</v>
      </c>
      <c r="B224" s="161" t="s">
        <v>260</v>
      </c>
      <c r="C224" s="161" t="s">
        <v>130</v>
      </c>
      <c r="D224" s="331">
        <f>'SP02'!A22</f>
        <v>41395</v>
      </c>
      <c r="E224" s="26">
        <f>'SP02'!J22/5.9</f>
        <v>-9.3338041431273416E-2</v>
      </c>
      <c r="F224" s="26">
        <f>'SP02'!K22/5.9*-1</f>
        <v>0.59821428571428614</v>
      </c>
    </row>
    <row r="225" spans="1:6">
      <c r="A225" s="330" t="s">
        <v>12</v>
      </c>
      <c r="B225" s="161" t="s">
        <v>260</v>
      </c>
      <c r="C225" s="161" t="s">
        <v>130</v>
      </c>
      <c r="D225" s="331">
        <f>'SP02'!A23</f>
        <v>41396</v>
      </c>
      <c r="E225" s="26">
        <f>'SP02'!J23/5.9</f>
        <v>0.87464689265537077</v>
      </c>
      <c r="F225" s="26">
        <f>'SP02'!K23/5.9*-1</f>
        <v>0.7851594027441382</v>
      </c>
    </row>
    <row r="226" spans="1:6">
      <c r="A226" s="330" t="s">
        <v>12</v>
      </c>
      <c r="B226" s="161" t="s">
        <v>260</v>
      </c>
      <c r="C226" s="161" t="s">
        <v>130</v>
      </c>
      <c r="D226" s="331">
        <f>'SP02'!A24</f>
        <v>41397</v>
      </c>
      <c r="E226" s="26">
        <f>'SP02'!J24/5.9</f>
        <v>0.72744036409289525</v>
      </c>
      <c r="F226" s="26">
        <f>'SP02'!K24/5.9*-1</f>
        <v>0.84856739305889961</v>
      </c>
    </row>
    <row r="227" spans="1:6">
      <c r="A227" s="330" t="s">
        <v>12</v>
      </c>
      <c r="B227" s="161" t="s">
        <v>260</v>
      </c>
      <c r="C227" s="161" t="s">
        <v>130</v>
      </c>
      <c r="D227" s="331">
        <f>'SP02'!A25</f>
        <v>41398</v>
      </c>
      <c r="E227" s="26">
        <f>'SP02'!J25/5.9</f>
        <v>1.5632062146892594</v>
      </c>
      <c r="F227" s="26">
        <f>'SP02'!K25/5.9*-1</f>
        <v>0.79444108151735349</v>
      </c>
    </row>
    <row r="228" spans="1:6">
      <c r="A228" s="330" t="s">
        <v>12</v>
      </c>
      <c r="B228" s="161" t="s">
        <v>260</v>
      </c>
      <c r="C228" s="161" t="s">
        <v>130</v>
      </c>
      <c r="D228" s="331">
        <f>'SP02'!A26</f>
        <v>41399</v>
      </c>
      <c r="E228" s="26">
        <f>'SP02'!J26/5.9</f>
        <v>0.31595260514752405</v>
      </c>
      <c r="F228" s="26">
        <f>'SP02'!K26/5.9*-1</f>
        <v>0.6071933010492272</v>
      </c>
    </row>
    <row r="229" spans="1:6">
      <c r="A229" s="330" t="s">
        <v>12</v>
      </c>
      <c r="B229" s="161" t="s">
        <v>260</v>
      </c>
      <c r="C229" s="161" t="s">
        <v>130</v>
      </c>
      <c r="D229" s="331">
        <f>'SP02'!A27</f>
        <v>41400</v>
      </c>
      <c r="E229" s="26">
        <f>'SP02'!J27/5.9</f>
        <v>0.29951349654738524</v>
      </c>
      <c r="F229" s="26">
        <f>'SP02'!K27/5.9*-1</f>
        <v>0.94249394673122022</v>
      </c>
    </row>
    <row r="230" spans="1:6">
      <c r="A230" s="330" t="s">
        <v>12</v>
      </c>
      <c r="B230" s="161" t="s">
        <v>260</v>
      </c>
      <c r="C230" s="161" t="s">
        <v>130</v>
      </c>
      <c r="D230" s="331">
        <f>'SP02'!A28</f>
        <v>41401</v>
      </c>
      <c r="E230" s="26">
        <f>'SP02'!J28/5.9</f>
        <v>0.3708019460137974</v>
      </c>
      <c r="F230" s="26">
        <f>'SP02'!K28/5.9*-1</f>
        <v>-2.0782889426960743E-2</v>
      </c>
    </row>
    <row r="231" spans="1:6">
      <c r="A231" s="330" t="s">
        <v>12</v>
      </c>
      <c r="B231" s="161" t="s">
        <v>260</v>
      </c>
      <c r="C231" s="161" t="s">
        <v>130</v>
      </c>
      <c r="D231" s="331">
        <f>'SP02'!A29</f>
        <v>41402</v>
      </c>
      <c r="E231" s="26">
        <f>'SP02'!J29/5.9</f>
        <v>-8.5922787193971357E-3</v>
      </c>
      <c r="F231" s="26">
        <f>'SP02'!K29/5.9*-1</f>
        <v>-0.98819612590797545</v>
      </c>
    </row>
    <row r="232" spans="1:6">
      <c r="A232" s="330" t="s">
        <v>12</v>
      </c>
      <c r="B232" s="161" t="s">
        <v>260</v>
      </c>
      <c r="C232" s="161" t="s">
        <v>130</v>
      </c>
      <c r="D232" s="331">
        <f>'SP02'!A30</f>
        <v>41403</v>
      </c>
      <c r="E232" s="26">
        <f>'SP02'!J30/5.9</f>
        <v>-0.43122253609541572</v>
      </c>
      <c r="F232" s="26">
        <f>'SP02'!K30/5.9*-1</f>
        <v>0.40042372881354266</v>
      </c>
    </row>
    <row r="233" spans="1:6">
      <c r="A233" s="330" t="s">
        <v>12</v>
      </c>
      <c r="B233" s="161" t="s">
        <v>260</v>
      </c>
      <c r="C233" s="161" t="s">
        <v>130</v>
      </c>
      <c r="D233" s="331">
        <f>'SP02'!A31</f>
        <v>41404</v>
      </c>
      <c r="E233" s="26">
        <f>'SP02'!J31/5.9</f>
        <v>0.32325015693659792</v>
      </c>
      <c r="F233" s="26">
        <f>'SP02'!K31/5.9*-1</f>
        <v>1.7455609362389011</v>
      </c>
    </row>
    <row r="234" spans="1:6">
      <c r="A234" s="330" t="s">
        <v>12</v>
      </c>
      <c r="B234" s="161" t="s">
        <v>260</v>
      </c>
      <c r="C234" s="161" t="s">
        <v>130</v>
      </c>
      <c r="D234" s="331">
        <f>'SP02'!A32</f>
        <v>41405</v>
      </c>
      <c r="E234" s="26">
        <f>'SP02'!J32/5.9</f>
        <v>1.1956214689265523</v>
      </c>
      <c r="F234" s="26">
        <f>'SP02'!K32/5.9*-1</f>
        <v>0.8004943502824986</v>
      </c>
    </row>
    <row r="235" spans="1:6">
      <c r="A235" s="330" t="s">
        <v>12</v>
      </c>
      <c r="B235" s="161" t="s">
        <v>260</v>
      </c>
      <c r="C235" s="161" t="s">
        <v>130</v>
      </c>
      <c r="D235" s="331">
        <f>'SP02'!A33</f>
        <v>41406</v>
      </c>
      <c r="E235" s="26">
        <f>'SP02'!J33/5.9</f>
        <v>0.89571563088513717</v>
      </c>
      <c r="F235" s="26">
        <f>'SP02'!K33/5.9*-1</f>
        <v>0.84503631961261849</v>
      </c>
    </row>
    <row r="236" spans="1:6">
      <c r="A236" s="330" t="s">
        <v>12</v>
      </c>
      <c r="B236" s="161" t="s">
        <v>260</v>
      </c>
      <c r="C236" s="161" t="s">
        <v>130</v>
      </c>
      <c r="D236" s="331">
        <f>'SP02'!A34</f>
        <v>41407</v>
      </c>
      <c r="E236" s="26">
        <f>'SP02'!J34/5.9</f>
        <v>0.76020087884495335</v>
      </c>
      <c r="F236" s="26">
        <f>'SP02'!K34/5.9*-1</f>
        <v>5.2209443099254134E-2</v>
      </c>
    </row>
    <row r="237" spans="1:6">
      <c r="A237" s="330" t="s">
        <v>12</v>
      </c>
      <c r="B237" s="161" t="s">
        <v>260</v>
      </c>
      <c r="C237" s="161" t="s">
        <v>130</v>
      </c>
      <c r="D237" s="331">
        <f>'SP02'!A35</f>
        <v>41408</v>
      </c>
      <c r="E237" s="26">
        <f>'SP02'!J35/5.9</f>
        <v>0.48261927181416769</v>
      </c>
      <c r="F237" s="26">
        <f>'SP02'!K35/5.9*-1</f>
        <v>0.18533091202580398</v>
      </c>
    </row>
    <row r="238" spans="1:6">
      <c r="A238" s="330" t="s">
        <v>12</v>
      </c>
      <c r="B238" s="161" t="s">
        <v>260</v>
      </c>
      <c r="C238" s="161" t="s">
        <v>130</v>
      </c>
      <c r="D238" s="331">
        <f>'SP02'!A36</f>
        <v>41409</v>
      </c>
      <c r="E238" s="26">
        <f>'SP02'!J36/5.9</f>
        <v>8.6825172630253938E-2</v>
      </c>
      <c r="F238" s="26">
        <f>'SP02'!K36/5.9*-1</f>
        <v>0.80548829701372127</v>
      </c>
    </row>
    <row r="239" spans="1:6">
      <c r="A239" s="330" t="s">
        <v>12</v>
      </c>
      <c r="B239" s="161" t="s">
        <v>260</v>
      </c>
      <c r="C239" s="161" t="s">
        <v>130</v>
      </c>
      <c r="D239" s="331">
        <f>'SP02'!A37</f>
        <v>41410</v>
      </c>
      <c r="E239" s="26">
        <f>'SP02'!J37/5.9</f>
        <v>-0.18632297551789218</v>
      </c>
      <c r="F239" s="26">
        <f>'SP02'!K37/5.9*-1</f>
        <v>0.30669895076675863</v>
      </c>
    </row>
    <row r="240" spans="1:6">
      <c r="A240" s="330" t="s">
        <v>12</v>
      </c>
      <c r="B240" s="161" t="s">
        <v>260</v>
      </c>
      <c r="C240" s="161" t="s">
        <v>130</v>
      </c>
      <c r="D240" s="331">
        <f>'SP02'!A38</f>
        <v>41411</v>
      </c>
      <c r="E240" s="26">
        <f>'SP02'!J38/5.9</f>
        <v>-3.8057124921526478E-2</v>
      </c>
      <c r="F240" s="26">
        <f>'SP02'!K38/5.9*-1</f>
        <v>0.59675141242937413</v>
      </c>
    </row>
    <row r="241" spans="1:6">
      <c r="A241" s="330" t="s">
        <v>12</v>
      </c>
      <c r="B241" s="161" t="s">
        <v>260</v>
      </c>
      <c r="C241" s="161" t="s">
        <v>130</v>
      </c>
      <c r="D241" s="331">
        <f>'SP02'!A39</f>
        <v>41412</v>
      </c>
      <c r="E241" s="26">
        <f>'SP02'!J39/5.9</f>
        <v>0.27416823603263762</v>
      </c>
      <c r="F241" s="26">
        <f>'SP02'!K39/5.9*-1</f>
        <v>0.62278046811943422</v>
      </c>
    </row>
    <row r="242" spans="1:6">
      <c r="A242" s="330" t="s">
        <v>12</v>
      </c>
      <c r="B242" s="161" t="s">
        <v>260</v>
      </c>
      <c r="C242" s="161" t="s">
        <v>130</v>
      </c>
      <c r="D242" s="331">
        <f>'SP02'!A40</f>
        <v>41413</v>
      </c>
      <c r="E242" s="26">
        <f>'SP02'!J40/5.9</f>
        <v>0.19515065913370341</v>
      </c>
      <c r="F242" s="26">
        <f>'SP02'!K40/5.9*-1</f>
        <v>0.65128127522196377</v>
      </c>
    </row>
    <row r="243" spans="1:6">
      <c r="A243" s="330" t="s">
        <v>12</v>
      </c>
      <c r="B243" s="161" t="s">
        <v>260</v>
      </c>
      <c r="C243" s="161" t="s">
        <v>130</v>
      </c>
      <c r="D243" s="331">
        <f>'SP02'!A41</f>
        <v>41414</v>
      </c>
      <c r="E243" s="26">
        <f>'SP02'!J41/5.9</f>
        <v>0.64222379158819543</v>
      </c>
      <c r="F243" s="26">
        <f>'SP02'!K41/5.9*-1</f>
        <v>0.62646287328491179</v>
      </c>
    </row>
    <row r="244" spans="1:6">
      <c r="A244" s="330" t="s">
        <v>12</v>
      </c>
      <c r="B244" s="161" t="s">
        <v>260</v>
      </c>
      <c r="C244" s="161" t="s">
        <v>130</v>
      </c>
      <c r="D244" s="331">
        <f>'SP02'!A42</f>
        <v>41415</v>
      </c>
      <c r="E244" s="26">
        <f>'SP02'!J42/5.9</f>
        <v>0.52597300690523219</v>
      </c>
      <c r="F244" s="26">
        <f>'SP02'!K42/5.9*-1</f>
        <v>0.94441081517354253</v>
      </c>
    </row>
    <row r="245" spans="1:6">
      <c r="A245" s="330" t="s">
        <v>12</v>
      </c>
      <c r="B245" s="161" t="s">
        <v>260</v>
      </c>
      <c r="C245" s="161" t="s">
        <v>130</v>
      </c>
      <c r="D245" s="331">
        <f>'SP02'!A43</f>
        <v>41416</v>
      </c>
      <c r="E245" s="26">
        <f>'SP02'!J43/5.9</f>
        <v>0.42565128688009224</v>
      </c>
      <c r="F245" s="26">
        <f>'SP02'!K43/5.9*-1</f>
        <v>0.32955004035512153</v>
      </c>
    </row>
    <row r="246" spans="1:6">
      <c r="A246" s="330" t="s">
        <v>12</v>
      </c>
      <c r="B246" s="161" t="s">
        <v>260</v>
      </c>
      <c r="C246" s="161" t="s">
        <v>130</v>
      </c>
      <c r="D246" s="331">
        <f>'SP02'!A44</f>
        <v>41417</v>
      </c>
      <c r="E246" s="26">
        <f>'SP02'!J44/5.9</f>
        <v>4.7669491525419334E-2</v>
      </c>
      <c r="F246" s="26">
        <f>'SP02'!K44/5.9*-1</f>
        <v>0.53299031476997216</v>
      </c>
    </row>
    <row r="247" spans="1:6">
      <c r="A247" s="330" t="s">
        <v>12</v>
      </c>
      <c r="B247" s="161" t="s">
        <v>260</v>
      </c>
      <c r="C247" s="161" t="s">
        <v>130</v>
      </c>
      <c r="D247" s="331">
        <f>'SP02'!A45</f>
        <v>41418</v>
      </c>
      <c r="E247" s="26">
        <f>'SP02'!J45/5.9</f>
        <v>0.24917608286252385</v>
      </c>
      <c r="F247" s="26">
        <f>'SP02'!K45/5.9*-1</f>
        <v>0.88024616626309415</v>
      </c>
    </row>
    <row r="248" spans="1:6">
      <c r="A248" s="330" t="s">
        <v>12</v>
      </c>
      <c r="B248" s="161" t="s">
        <v>260</v>
      </c>
      <c r="C248" s="161" t="s">
        <v>130</v>
      </c>
      <c r="D248" s="331">
        <f>'SP02'!A46</f>
        <v>41419</v>
      </c>
      <c r="E248" s="26">
        <f>'SP02'!J46/5.9</f>
        <v>0.82556497175141286</v>
      </c>
      <c r="F248" s="26">
        <f>'SP02'!K46/5.9*-1</f>
        <v>0.29383575464086553</v>
      </c>
    </row>
    <row r="249" spans="1:6">
      <c r="A249" s="330" t="s">
        <v>12</v>
      </c>
      <c r="B249" s="161" t="s">
        <v>260</v>
      </c>
      <c r="C249" s="161" t="s">
        <v>130</v>
      </c>
      <c r="D249" s="331">
        <f>'SP02'!A47</f>
        <v>41420</v>
      </c>
      <c r="E249" s="26">
        <f>'SP02'!J47/5.9</f>
        <v>0.1663135593220374</v>
      </c>
      <c r="F249" s="26">
        <f>'SP02'!K47/5.9*-1</f>
        <v>-0.1283292978208313</v>
      </c>
    </row>
    <row r="250" spans="1:6">
      <c r="A250" s="330" t="s">
        <v>12</v>
      </c>
      <c r="B250" s="161" t="s">
        <v>260</v>
      </c>
      <c r="C250" s="161" t="s">
        <v>130</v>
      </c>
      <c r="D250" s="331">
        <f>'SP02'!A48</f>
        <v>41421</v>
      </c>
      <c r="E250" s="26">
        <f>'SP02'!J48/5.9</f>
        <v>0.59153327055870664</v>
      </c>
      <c r="F250" s="26">
        <f>'SP02'!K48/5.9*-1</f>
        <v>1.6075968523002704</v>
      </c>
    </row>
    <row r="251" spans="1:6">
      <c r="A251" s="330" t="s">
        <v>12</v>
      </c>
      <c r="B251" s="161" t="s">
        <v>260</v>
      </c>
      <c r="C251" s="161" t="s">
        <v>130</v>
      </c>
      <c r="D251" s="331">
        <f>'SP02'!A49</f>
        <v>41422</v>
      </c>
      <c r="E251" s="26">
        <f>'SP02'!J49/5.9</f>
        <v>0.54712021343377504</v>
      </c>
      <c r="F251" s="26">
        <f>'SP02'!K49/5.9*-1</f>
        <v>1.2944410815173535</v>
      </c>
    </row>
    <row r="252" spans="1:6">
      <c r="A252" s="330" t="s">
        <v>12</v>
      </c>
      <c r="B252" s="161" t="s">
        <v>260</v>
      </c>
      <c r="C252" s="161" t="s">
        <v>130</v>
      </c>
      <c r="D252" s="331">
        <f>'SP02'!A50</f>
        <v>41423</v>
      </c>
      <c r="E252" s="26">
        <f>'SP02'!J50/5.9</f>
        <v>0.83749215317011594</v>
      </c>
      <c r="F252" s="26">
        <f>'SP02'!K50/5.9*-1</f>
        <v>1.2205407586763366</v>
      </c>
    </row>
    <row r="253" spans="1:6">
      <c r="A253" s="330" t="s">
        <v>12</v>
      </c>
      <c r="B253" s="161" t="s">
        <v>260</v>
      </c>
      <c r="C253" s="161" t="s">
        <v>130</v>
      </c>
      <c r="D253" s="331">
        <f>'SP02'!A51</f>
        <v>41424</v>
      </c>
      <c r="E253" s="26">
        <f>'SP02'!J51/5.9</f>
        <v>0.9943110483364781</v>
      </c>
      <c r="F253" s="26">
        <f>'SP02'!K51/5.9*-1</f>
        <v>0.94652945924133847</v>
      </c>
    </row>
    <row r="254" spans="1:6">
      <c r="A254" s="330" t="s">
        <v>12</v>
      </c>
      <c r="B254" s="161" t="s">
        <v>260</v>
      </c>
      <c r="C254" s="161" t="s">
        <v>130</v>
      </c>
      <c r="D254" s="331">
        <f>'SP02'!A52</f>
        <v>41425</v>
      </c>
      <c r="E254" s="26">
        <f>'SP02'!J52/5.9</f>
        <v>0.705743879472708</v>
      </c>
      <c r="F254" s="26">
        <f>'SP02'!K52/5.9*-1</f>
        <v>0.81900726392252865</v>
      </c>
    </row>
    <row r="255" spans="1:6">
      <c r="A255" s="330" t="s">
        <v>12</v>
      </c>
      <c r="B255" s="161" t="s">
        <v>260</v>
      </c>
      <c r="C255" s="161" t="s">
        <v>130</v>
      </c>
      <c r="D255" s="331">
        <f>'SP02'!A53</f>
        <v>41426</v>
      </c>
      <c r="E255" s="26">
        <f>'SP02'!J53/5.9</f>
        <v>1.2580037664783352</v>
      </c>
      <c r="F255" s="26">
        <f>'SP02'!K53/5.9*-1</f>
        <v>1.0927158999192854</v>
      </c>
    </row>
    <row r="256" spans="1:6">
      <c r="A256" s="330" t="s">
        <v>12</v>
      </c>
      <c r="B256" s="161" t="s">
        <v>260</v>
      </c>
      <c r="C256" s="161" t="s">
        <v>130</v>
      </c>
      <c r="D256" s="331">
        <f>'SP02'!A54</f>
        <v>41427</v>
      </c>
      <c r="E256" s="26">
        <f>'SP02'!J54/5.9</f>
        <v>0.25003923414939694</v>
      </c>
      <c r="F256" s="26">
        <f>'SP02'!K54/5.9*-1</f>
        <v>0.62530266343824403</v>
      </c>
    </row>
    <row r="257" spans="1:6">
      <c r="A257" s="330" t="s">
        <v>12</v>
      </c>
      <c r="B257" s="161" t="s">
        <v>260</v>
      </c>
      <c r="C257" s="161" t="s">
        <v>130</v>
      </c>
      <c r="D257" s="331">
        <f>'SP02'!A55</f>
        <v>41428</v>
      </c>
      <c r="E257" s="26">
        <f>'SP02'!J55/5.9</f>
        <v>0.44456214689266205</v>
      </c>
      <c r="F257" s="26">
        <f>'SP02'!K55/5.9*-1</f>
        <v>0.79459241323648988</v>
      </c>
    </row>
    <row r="258" spans="1:6">
      <c r="A258" s="330" t="s">
        <v>12</v>
      </c>
      <c r="B258" s="161" t="s">
        <v>260</v>
      </c>
      <c r="C258" s="161" t="s">
        <v>130</v>
      </c>
      <c r="D258" s="331">
        <f>'SP02'!A56</f>
        <v>41429</v>
      </c>
      <c r="E258" s="26">
        <f>'SP02'!J56/5.9</f>
        <v>-0.30261299435027755</v>
      </c>
      <c r="F258" s="26">
        <f>'SP02'!K56/5.9*-1</f>
        <v>-6.2247780468126082E-2</v>
      </c>
    </row>
    <row r="259" spans="1:6">
      <c r="A259" s="330" t="s">
        <v>12</v>
      </c>
      <c r="B259" s="161" t="s">
        <v>260</v>
      </c>
      <c r="C259" s="161" t="s">
        <v>130</v>
      </c>
      <c r="D259" s="331">
        <f>'SP02'!A57</f>
        <v>41430</v>
      </c>
      <c r="E259" s="26">
        <f>'SP02'!J57/5.9</f>
        <v>0.17121782799747765</v>
      </c>
      <c r="F259" s="26">
        <f>'SP02'!K57/5.9*-1</f>
        <v>0.59478410008071481</v>
      </c>
    </row>
    <row r="260" spans="1:6">
      <c r="A260" s="330" t="s">
        <v>12</v>
      </c>
      <c r="B260" s="161" t="s">
        <v>260</v>
      </c>
      <c r="C260" s="161" t="s">
        <v>130</v>
      </c>
      <c r="D260" s="331">
        <f>'SP02'!A58</f>
        <v>41431</v>
      </c>
      <c r="E260" s="26">
        <f>'SP02'!J58/5.9</f>
        <v>0.6616446955430092</v>
      </c>
      <c r="F260" s="26">
        <f>'SP02'!K58/5.9*-1</f>
        <v>0.14184826472961201</v>
      </c>
    </row>
    <row r="261" spans="1:6">
      <c r="A261" s="330" t="s">
        <v>12</v>
      </c>
      <c r="B261" s="161" t="s">
        <v>260</v>
      </c>
      <c r="C261" s="161" t="s">
        <v>130</v>
      </c>
      <c r="D261" s="331">
        <f>'SP02'!A59</f>
        <v>41432</v>
      </c>
      <c r="E261" s="26">
        <f>'SP02'!J59/5.9</f>
        <v>0.239822941888615</v>
      </c>
      <c r="F261" s="26">
        <f>'SP02'!K59/5.9*-1</f>
        <v>1.0347987288135614</v>
      </c>
    </row>
    <row r="262" spans="1:6">
      <c r="A262" s="330" t="s">
        <v>12</v>
      </c>
      <c r="B262" s="161" t="s">
        <v>260</v>
      </c>
      <c r="C262" s="161" t="s">
        <v>130</v>
      </c>
      <c r="D262" s="331">
        <f>'SP02'!A60</f>
        <v>41433</v>
      </c>
      <c r="E262" s="26">
        <f>'SP02'!J60/5.9</f>
        <v>0.49031476997578277</v>
      </c>
      <c r="F262" s="26">
        <f>'SP02'!K60/5.9*-1</f>
        <v>0.51212923728812698</v>
      </c>
    </row>
    <row r="263" spans="1:6">
      <c r="A263" s="330" t="s">
        <v>12</v>
      </c>
      <c r="B263" s="161" t="s">
        <v>260</v>
      </c>
      <c r="C263" s="161" t="s">
        <v>130</v>
      </c>
      <c r="D263" s="331">
        <f>'SP02'!A61</f>
        <v>41434</v>
      </c>
      <c r="E263" s="26">
        <f>'SP02'!J61/5.9</f>
        <v>-0.15485018159805827</v>
      </c>
      <c r="F263" s="26">
        <f>'SP02'!K61/5.9*-1</f>
        <v>0.52192796610171976</v>
      </c>
    </row>
    <row r="264" spans="1:6">
      <c r="A264" s="330" t="s">
        <v>12</v>
      </c>
      <c r="B264" s="161" t="s">
        <v>260</v>
      </c>
      <c r="C264" s="161" t="s">
        <v>130</v>
      </c>
      <c r="D264" s="331">
        <f>'SP02'!A62</f>
        <v>41435</v>
      </c>
      <c r="E264" s="26">
        <f>'SP02'!J62/5.9</f>
        <v>0.98573698547216504</v>
      </c>
      <c r="F264" s="26">
        <f>'SP02'!K62/5.9*-1</f>
        <v>0.32971398305083999</v>
      </c>
    </row>
    <row r="265" spans="1:6">
      <c r="A265" s="330" t="s">
        <v>12</v>
      </c>
      <c r="B265" s="161" t="s">
        <v>260</v>
      </c>
      <c r="C265" s="161" t="s">
        <v>130</v>
      </c>
      <c r="D265" s="331">
        <f>'SP02'!A63</f>
        <v>41436</v>
      </c>
      <c r="E265" s="26">
        <f>'SP02'!J63/5.9</f>
        <v>0.93322487893462036</v>
      </c>
      <c r="F265" s="26">
        <f>'SP02'!K63/5.9*-1</f>
        <v>0.83220338983049957</v>
      </c>
    </row>
    <row r="266" spans="1:6">
      <c r="A266" s="330" t="s">
        <v>12</v>
      </c>
      <c r="B266" s="161" t="s">
        <v>260</v>
      </c>
      <c r="C266" s="161" t="s">
        <v>130</v>
      </c>
      <c r="D266" s="331">
        <f>'SP02'!A64</f>
        <v>41437</v>
      </c>
      <c r="E266" s="26">
        <f>'SP02'!J64/5.9</f>
        <v>0.47919188861984191</v>
      </c>
      <c r="F266" s="26">
        <f>'SP02'!K64/5.9*-1</f>
        <v>0.95391949152540334</v>
      </c>
    </row>
    <row r="267" spans="1:6">
      <c r="A267" s="330" t="s">
        <v>12</v>
      </c>
      <c r="B267" s="161" t="s">
        <v>260</v>
      </c>
      <c r="C267" s="161" t="s">
        <v>130</v>
      </c>
      <c r="D267" s="331">
        <f>'SP02'!A65</f>
        <v>41438</v>
      </c>
      <c r="E267" s="26">
        <f>'SP02'!J65/5.9</f>
        <v>0.37825363196124934</v>
      </c>
      <c r="F267" s="26">
        <f>'SP02'!K65/5.9*-1</f>
        <v>1.2664724576271256</v>
      </c>
    </row>
    <row r="268" spans="1:6">
      <c r="A268" s="330" t="s">
        <v>12</v>
      </c>
      <c r="B268" s="161" t="s">
        <v>260</v>
      </c>
      <c r="C268" s="161" t="s">
        <v>130</v>
      </c>
      <c r="D268" s="331">
        <f>'SP02'!A66</f>
        <v>41439</v>
      </c>
      <c r="E268" s="26">
        <f>'SP02'!J66/5.9</f>
        <v>0.71682052058111767</v>
      </c>
      <c r="F268" s="26">
        <f>'SP02'!K66/5.9*-1</f>
        <v>0.66631355932203207</v>
      </c>
    </row>
    <row r="269" spans="1:6">
      <c r="A269" s="330" t="s">
        <v>12</v>
      </c>
      <c r="B269" s="161" t="s">
        <v>260</v>
      </c>
      <c r="C269" s="161" t="s">
        <v>130</v>
      </c>
      <c r="D269" s="331">
        <f>'SP02'!A67</f>
        <v>41440</v>
      </c>
      <c r="E269" s="26">
        <f>'SP02'!J67/5.9</f>
        <v>1.9470338983050848</v>
      </c>
      <c r="F269" s="26">
        <f>'SP02'!K67/5.9*-1</f>
        <v>2.1864936440678155</v>
      </c>
    </row>
    <row r="270" spans="1:6">
      <c r="A270" s="330" t="s">
        <v>12</v>
      </c>
      <c r="B270" s="161" t="s">
        <v>260</v>
      </c>
      <c r="C270" s="161" t="s">
        <v>130</v>
      </c>
      <c r="D270" s="331">
        <f>'SP02'!A68</f>
        <v>41441</v>
      </c>
      <c r="E270" s="26">
        <f>'SP02'!J68/5.9</f>
        <v>0.31874243341404279</v>
      </c>
      <c r="F270" s="26">
        <f>'SP02'!K68/5.9*-1</f>
        <v>0.71197033898303375</v>
      </c>
    </row>
    <row r="271" spans="1:6">
      <c r="A271" s="330" t="s">
        <v>12</v>
      </c>
      <c r="B271" s="161" t="s">
        <v>260</v>
      </c>
      <c r="C271" s="161" t="s">
        <v>130</v>
      </c>
      <c r="D271" s="331">
        <f>'SP02'!A69</f>
        <v>41442</v>
      </c>
      <c r="E271" s="26">
        <f>'SP02'!J69/5.9</f>
        <v>0.45645429782082675</v>
      </c>
      <c r="F271" s="26">
        <f>'SP02'!K69/5.9*-1</f>
        <v>0.87224576271187582</v>
      </c>
    </row>
    <row r="272" spans="1:6">
      <c r="A272" s="330" t="s">
        <v>12</v>
      </c>
      <c r="B272" s="161" t="s">
        <v>260</v>
      </c>
      <c r="C272" s="161" t="s">
        <v>130</v>
      </c>
      <c r="D272" s="331">
        <f>'SP02'!A70</f>
        <v>41443</v>
      </c>
      <c r="E272" s="26">
        <f>'SP02'!J70/5.9</f>
        <v>0.70740012106538064</v>
      </c>
      <c r="F272" s="26">
        <f>'SP02'!K70/5.9*-1</f>
        <v>1.1579449152542511</v>
      </c>
    </row>
    <row r="273" spans="1:6">
      <c r="A273" s="330" t="s">
        <v>12</v>
      </c>
      <c r="B273" s="161" t="s">
        <v>260</v>
      </c>
      <c r="C273" s="161" t="s">
        <v>130</v>
      </c>
      <c r="D273" s="331">
        <f>'SP02'!A71</f>
        <v>41444</v>
      </c>
      <c r="E273" s="26">
        <f>'SP02'!J71/5.9</f>
        <v>2.2764830508474576</v>
      </c>
      <c r="F273" s="26">
        <f>'SP02'!K71/5.9*-1</f>
        <v>2.6479343220338776</v>
      </c>
    </row>
    <row r="274" spans="1:6">
      <c r="A274" s="330" t="s">
        <v>12</v>
      </c>
      <c r="B274" s="161" t="s">
        <v>260</v>
      </c>
      <c r="C274" s="161" t="s">
        <v>130</v>
      </c>
      <c r="D274" s="331">
        <f>'SP02'!A72</f>
        <v>41445</v>
      </c>
      <c r="E274" s="26">
        <f>'SP02'!J72/5.9</f>
        <v>1.6881053268764967</v>
      </c>
      <c r="F274" s="26">
        <f>'SP02'!K72/5.9*-1</f>
        <v>2.9008474576270946</v>
      </c>
    </row>
    <row r="275" spans="1:6">
      <c r="A275" s="330" t="s">
        <v>12</v>
      </c>
      <c r="B275" s="161" t="s">
        <v>260</v>
      </c>
      <c r="C275" s="161" t="s">
        <v>130</v>
      </c>
      <c r="D275" s="331">
        <f>'SP02'!A73</f>
        <v>41446</v>
      </c>
      <c r="E275" s="26">
        <f>'SP02'!J73/5.9</f>
        <v>1.583459443099263</v>
      </c>
      <c r="F275" s="26">
        <f>'SP02'!K73/5.9*-1</f>
        <v>1.3225105932203411</v>
      </c>
    </row>
    <row r="276" spans="1:6">
      <c r="A276" s="330" t="s">
        <v>12</v>
      </c>
      <c r="B276" s="161" t="s">
        <v>260</v>
      </c>
      <c r="C276" s="161" t="s">
        <v>130</v>
      </c>
      <c r="D276" s="331">
        <f>'SP02'!A74</f>
        <v>41447</v>
      </c>
      <c r="E276" s="26">
        <f>'SP02'!J74/5.9</f>
        <v>1.2455357142857149</v>
      </c>
      <c r="F276" s="26">
        <f>'SP02'!K74/5.9*-1</f>
        <v>1.2653072033898132</v>
      </c>
    </row>
    <row r="277" spans="1:6">
      <c r="A277" s="330" t="s">
        <v>12</v>
      </c>
      <c r="B277" s="161" t="s">
        <v>260</v>
      </c>
      <c r="C277" s="161" t="s">
        <v>130</v>
      </c>
      <c r="D277" s="331">
        <f>'SP02'!A75</f>
        <v>41448</v>
      </c>
      <c r="E277" s="26">
        <f>'SP02'!J75/5.9</f>
        <v>-0.16324909200968871</v>
      </c>
      <c r="F277" s="26">
        <f>'SP02'!K75/5.9*-1</f>
        <v>0.49745762711865799</v>
      </c>
    </row>
    <row r="278" spans="1:6">
      <c r="A278" s="330" t="s">
        <v>12</v>
      </c>
      <c r="B278" s="161" t="s">
        <v>260</v>
      </c>
      <c r="C278" s="161" t="s">
        <v>130</v>
      </c>
      <c r="D278" s="331">
        <f>'SP02'!A76</f>
        <v>41449</v>
      </c>
      <c r="E278" s="26">
        <f>'SP02'!J76/5.9</f>
        <v>0.8171156174334161</v>
      </c>
      <c r="F278" s="26">
        <f>'SP02'!K76/5.9*-1</f>
        <v>0.67552966101693557</v>
      </c>
    </row>
    <row r="279" spans="1:6">
      <c r="A279" s="330" t="s">
        <v>12</v>
      </c>
      <c r="B279" s="161" t="s">
        <v>260</v>
      </c>
      <c r="C279" s="161" t="s">
        <v>130</v>
      </c>
      <c r="D279" s="331">
        <f>'SP02'!A77</f>
        <v>41450</v>
      </c>
      <c r="E279" s="26">
        <f>'SP02'!J77/5.9</f>
        <v>1.0566737288135504</v>
      </c>
      <c r="F279" s="26">
        <f>'SP02'!K77/5.9*-1</f>
        <v>1.4261122881355961</v>
      </c>
    </row>
    <row r="280" spans="1:6">
      <c r="A280" s="330" t="s">
        <v>12</v>
      </c>
      <c r="B280" s="161" t="s">
        <v>260</v>
      </c>
      <c r="C280" s="161" t="s">
        <v>130</v>
      </c>
      <c r="D280" s="331">
        <f>'SP02'!A78</f>
        <v>41451</v>
      </c>
      <c r="E280" s="26">
        <f>'SP02'!J78/5.9</f>
        <v>0.72079297820823574</v>
      </c>
      <c r="F280" s="26">
        <f>'SP02'!K78/5.9*-1</f>
        <v>1.4469809322033738</v>
      </c>
    </row>
    <row r="281" spans="1:6">
      <c r="A281" s="330" t="s">
        <v>12</v>
      </c>
      <c r="B281" s="161" t="s">
        <v>260</v>
      </c>
      <c r="C281" s="161" t="s">
        <v>130</v>
      </c>
      <c r="D281" s="331">
        <f>'SP02'!A79</f>
        <v>41452</v>
      </c>
      <c r="E281" s="26">
        <f>'SP02'!J79/5.9</f>
        <v>0.20717312348667308</v>
      </c>
      <c r="F281" s="26">
        <f>'SP02'!K79/5.9*-1</f>
        <v>1.179290254237279</v>
      </c>
    </row>
    <row r="282" spans="1:6">
      <c r="A282" s="330" t="s">
        <v>12</v>
      </c>
      <c r="B282" s="161" t="s">
        <v>260</v>
      </c>
      <c r="C282" s="161" t="s">
        <v>130</v>
      </c>
      <c r="D282" s="331">
        <f>'SP02'!A80</f>
        <v>41453</v>
      </c>
      <c r="E282" s="26">
        <f>'SP02'!J80/5.9</f>
        <v>0.59912227602903989</v>
      </c>
      <c r="F282" s="26">
        <f>'SP02'!K80/5.9*-1</f>
        <v>0.99422669491524984</v>
      </c>
    </row>
    <row r="283" spans="1:6">
      <c r="A283" s="330" t="s">
        <v>12</v>
      </c>
      <c r="B283" s="161" t="s">
        <v>260</v>
      </c>
      <c r="C283" s="161" t="s">
        <v>130</v>
      </c>
      <c r="D283" s="331">
        <f>'SP02'!A81</f>
        <v>41454</v>
      </c>
      <c r="E283" s="26">
        <f>'SP02'!J81/5.9</f>
        <v>0.98698547215497845</v>
      </c>
      <c r="F283" s="26">
        <f>'SP02'!K81/5.9*-1</f>
        <v>2.1412076271186584</v>
      </c>
    </row>
    <row r="284" spans="1:6">
      <c r="A284" s="330" t="s">
        <v>12</v>
      </c>
      <c r="B284" s="161" t="s">
        <v>260</v>
      </c>
      <c r="C284" s="161" t="s">
        <v>130</v>
      </c>
      <c r="D284" s="331">
        <f>'SP02'!A82</f>
        <v>41455</v>
      </c>
      <c r="E284" s="26">
        <f>'SP02'!J82/5.9</f>
        <v>1.9558868038740869</v>
      </c>
      <c r="F284" s="26">
        <f>'SP02'!K82/5.9*-1</f>
        <v>1.0284957627118447</v>
      </c>
    </row>
    <row r="285" spans="1:6">
      <c r="A285" s="330" t="s">
        <v>12</v>
      </c>
      <c r="B285" s="161" t="s">
        <v>260</v>
      </c>
      <c r="C285" s="161" t="s">
        <v>130</v>
      </c>
      <c r="D285" s="331">
        <f>'SP02'!A83</f>
        <v>41456</v>
      </c>
      <c r="E285" s="26">
        <f>'SP02'!J83/5.9</f>
        <v>0.68451119854720921</v>
      </c>
      <c r="F285" s="26">
        <f>'SP02'!K83/5.9*-1</f>
        <v>1.1962394067796542</v>
      </c>
    </row>
    <row r="286" spans="1:6">
      <c r="A286" s="330" t="s">
        <v>12</v>
      </c>
      <c r="B286" s="161" t="s">
        <v>260</v>
      </c>
      <c r="C286" s="161" t="s">
        <v>131</v>
      </c>
      <c r="D286" s="331">
        <f>'SP02'!A93</f>
        <v>41466</v>
      </c>
      <c r="E286" s="26">
        <f>'SP02'!J93/5.9</f>
        <v>0.63986834140435012</v>
      </c>
      <c r="F286" s="26">
        <f>'SP02'!K93/5.9*-1</f>
        <v>1.6237817796610303</v>
      </c>
    </row>
    <row r="287" spans="1:6">
      <c r="A287" s="330" t="s">
        <v>12</v>
      </c>
      <c r="B287" s="161" t="s">
        <v>260</v>
      </c>
      <c r="C287" s="161" t="s">
        <v>131</v>
      </c>
      <c r="D287" s="331">
        <f>[1]SP02!A94</f>
        <v>41467</v>
      </c>
      <c r="E287" s="26">
        <f>'SP02'!J94/5.9</f>
        <v>1.4502875302663418</v>
      </c>
      <c r="F287" s="26">
        <f>'SP02'!K94/5.9*-1</f>
        <v>1.3927436440677841</v>
      </c>
    </row>
    <row r="288" spans="1:6">
      <c r="A288" s="330" t="s">
        <v>12</v>
      </c>
      <c r="B288" s="161" t="s">
        <v>260</v>
      </c>
      <c r="C288" s="161" t="s">
        <v>131</v>
      </c>
      <c r="D288" s="331">
        <f>[1]SP02!A95</f>
        <v>41468</v>
      </c>
      <c r="E288" s="26">
        <f>'SP02'!J95/5.9</f>
        <v>0.45214134382567095</v>
      </c>
      <c r="F288" s="26">
        <f>'SP02'!K95/5.9*-1</f>
        <v>0.76906779661018743</v>
      </c>
    </row>
    <row r="289" spans="1:6">
      <c r="A289" s="330" t="s">
        <v>12</v>
      </c>
      <c r="B289" s="161" t="s">
        <v>260</v>
      </c>
      <c r="C289" s="161" t="s">
        <v>131</v>
      </c>
      <c r="D289" s="331">
        <f>[1]SP02!A96</f>
        <v>41469</v>
      </c>
      <c r="E289" s="26">
        <f>'SP02'!J96/5.9</f>
        <v>1.3716328692493966</v>
      </c>
      <c r="F289" s="26">
        <f>'SP02'!K96/5.9*-1</f>
        <v>1.3509004237288145</v>
      </c>
    </row>
    <row r="290" spans="1:6">
      <c r="A290" s="330" t="s">
        <v>12</v>
      </c>
      <c r="B290" s="161" t="s">
        <v>260</v>
      </c>
      <c r="C290" s="161" t="s">
        <v>131</v>
      </c>
      <c r="D290" s="331">
        <f>[1]SP02!A97</f>
        <v>41470</v>
      </c>
      <c r="E290" s="26">
        <f>'SP02'!J97/5.9</f>
        <v>0.87571882566587111</v>
      </c>
      <c r="F290" s="26">
        <f>'SP02'!K97/5.9*-1</f>
        <v>2.0418961864406873</v>
      </c>
    </row>
    <row r="291" spans="1:6">
      <c r="A291" s="330" t="s">
        <v>12</v>
      </c>
      <c r="B291" s="161" t="s">
        <v>260</v>
      </c>
      <c r="C291" s="161" t="s">
        <v>131</v>
      </c>
      <c r="D291" s="331">
        <f>[1]SP02!A98</f>
        <v>41471</v>
      </c>
      <c r="E291" s="26">
        <f>'SP02'!J98/5.9</f>
        <v>0.79275121065375209</v>
      </c>
      <c r="F291" s="26">
        <f>'SP02'!K98/5.9*-1</f>
        <v>1.2549788135593136</v>
      </c>
    </row>
    <row r="292" spans="1:6">
      <c r="A292" s="330" t="s">
        <v>12</v>
      </c>
      <c r="B292" s="161" t="s">
        <v>260</v>
      </c>
      <c r="C292" s="161" t="s">
        <v>131</v>
      </c>
      <c r="D292" s="331">
        <f>[1]SP02!A99</f>
        <v>41472</v>
      </c>
      <c r="E292" s="26">
        <f>'SP02'!J99/5.9</f>
        <v>2.2820444915254239</v>
      </c>
      <c r="F292" s="26">
        <f>'SP02'!K99/5.9*-1</f>
        <v>2.3542372881355931</v>
      </c>
    </row>
    <row r="293" spans="1:6">
      <c r="A293" s="330" t="s">
        <v>12</v>
      </c>
      <c r="B293" s="161" t="s">
        <v>260</v>
      </c>
      <c r="C293" s="161" t="s">
        <v>131</v>
      </c>
      <c r="D293" s="331">
        <f>[1]SP02!A100</f>
        <v>41473</v>
      </c>
      <c r="E293" s="26">
        <f>'SP02'!J100/5.9</f>
        <v>1.4347760290556943</v>
      </c>
      <c r="F293" s="26">
        <f>'SP02'!K100/5.9*-1</f>
        <v>2.0370233050847455</v>
      </c>
    </row>
    <row r="294" spans="1:6">
      <c r="A294" s="330" t="s">
        <v>12</v>
      </c>
      <c r="B294" s="161" t="s">
        <v>260</v>
      </c>
      <c r="C294" s="161" t="s">
        <v>131</v>
      </c>
      <c r="D294" s="331">
        <f>[1]SP02!A101</f>
        <v>41474</v>
      </c>
      <c r="E294" s="26">
        <f>'SP02'!J101/5.9</f>
        <v>-0.50768008474575987</v>
      </c>
      <c r="F294" s="26">
        <f>'SP02'!K101/5.9*-1</f>
        <v>0.757521186440687</v>
      </c>
    </row>
    <row r="295" spans="1:6">
      <c r="A295" s="330" t="s">
        <v>12</v>
      </c>
      <c r="B295" s="161" t="s">
        <v>260</v>
      </c>
      <c r="C295" s="161" t="s">
        <v>131</v>
      </c>
      <c r="D295" s="331">
        <f>[1]SP02!A102</f>
        <v>41475</v>
      </c>
      <c r="E295" s="26">
        <f>'SP02'!J102/5.9</f>
        <v>0.53855175544794687</v>
      </c>
      <c r="F295" s="26">
        <f>'SP02'!K102/5.9*-1</f>
        <v>1.6618114406779687</v>
      </c>
    </row>
    <row r="296" spans="1:6">
      <c r="A296" s="330" t="s">
        <v>12</v>
      </c>
      <c r="B296" s="161" t="s">
        <v>260</v>
      </c>
      <c r="C296" s="161" t="s">
        <v>131</v>
      </c>
      <c r="D296" s="331">
        <f>[1]SP02!A103</f>
        <v>41476</v>
      </c>
      <c r="E296" s="26">
        <f>'SP02'!J103/5.9</f>
        <v>0.69968220338982123</v>
      </c>
      <c r="F296" s="26">
        <f>'SP02'!K103/5.9*-1</f>
        <v>1.5487288135593142</v>
      </c>
    </row>
    <row r="297" spans="1:6">
      <c r="A297" s="330" t="s">
        <v>12</v>
      </c>
      <c r="B297" s="161" t="s">
        <v>260</v>
      </c>
      <c r="C297" s="161" t="s">
        <v>131</v>
      </c>
      <c r="D297" s="331">
        <f>[1]SP02!A104</f>
        <v>41477</v>
      </c>
      <c r="E297" s="26">
        <f>'SP02'!J104/5.9</f>
        <v>0.34170702179176465</v>
      </c>
      <c r="F297" s="26">
        <f>'SP02'!K104/5.9*-1</f>
        <v>-7.637711864406381E-2</v>
      </c>
    </row>
    <row r="298" spans="1:6">
      <c r="A298" s="330" t="s">
        <v>12</v>
      </c>
      <c r="B298" s="161" t="s">
        <v>260</v>
      </c>
      <c r="C298" s="161" t="s">
        <v>131</v>
      </c>
      <c r="D298" s="331">
        <f>[1]SP02!A105</f>
        <v>41478</v>
      </c>
      <c r="E298" s="26">
        <f>'SP02'!J105/5.9</f>
        <v>1.1423274818401983</v>
      </c>
      <c r="F298" s="26">
        <f>'SP02'!K105/5.9*-1</f>
        <v>1.409427966101686</v>
      </c>
    </row>
    <row r="299" spans="1:6">
      <c r="A299" s="330" t="s">
        <v>12</v>
      </c>
      <c r="B299" s="161" t="s">
        <v>260</v>
      </c>
      <c r="C299" s="161" t="s">
        <v>131</v>
      </c>
      <c r="D299" s="331">
        <f>[1]SP02!A106</f>
        <v>41479</v>
      </c>
      <c r="E299" s="26">
        <f>'SP02'!J106/5.9</f>
        <v>2.6234306340238436</v>
      </c>
      <c r="F299" s="26">
        <f>'SP02'!K106/5.9*-1</f>
        <v>1.8539648910411606</v>
      </c>
    </row>
    <row r="300" spans="1:6">
      <c r="A300" s="330" t="s">
        <v>12</v>
      </c>
      <c r="B300" s="161" t="s">
        <v>260</v>
      </c>
      <c r="C300" s="161" t="s">
        <v>131</v>
      </c>
      <c r="D300" s="331">
        <f>[1]SP02!A107</f>
        <v>41480</v>
      </c>
      <c r="E300" s="26">
        <f>'SP02'!J107/5.9</f>
        <v>2.0539861895794229</v>
      </c>
      <c r="F300" s="26">
        <f>'SP02'!K107/5.9*-1</f>
        <v>2.6660613397901503</v>
      </c>
    </row>
    <row r="301" spans="1:6">
      <c r="A301" s="330" t="s">
        <v>12</v>
      </c>
      <c r="B301" s="161" t="s">
        <v>260</v>
      </c>
      <c r="C301" s="161" t="s">
        <v>131</v>
      </c>
      <c r="D301" s="331">
        <f>[1]SP02!A108</f>
        <v>41481</v>
      </c>
      <c r="E301" s="26">
        <f>'SP02'!J108/5.9</f>
        <v>2.1927181418706718</v>
      </c>
      <c r="F301" s="26">
        <f>'SP02'!K108/5.9*-1</f>
        <v>1.7847054075867577</v>
      </c>
    </row>
    <row r="302" spans="1:6">
      <c r="A302" s="330" t="s">
        <v>12</v>
      </c>
      <c r="B302" s="161" t="s">
        <v>260</v>
      </c>
      <c r="C302" s="161" t="s">
        <v>131</v>
      </c>
      <c r="D302" s="331">
        <f>[1]SP02!A109</f>
        <v>41482</v>
      </c>
      <c r="E302" s="26">
        <f>'SP02'!J109/5.9</f>
        <v>0.20974576271185322</v>
      </c>
      <c r="F302" s="26">
        <f>'SP02'!K109/5.9*-1</f>
        <v>1.3503833736884521</v>
      </c>
    </row>
    <row r="303" spans="1:6">
      <c r="A303" s="330" t="s">
        <v>12</v>
      </c>
      <c r="B303" s="161" t="s">
        <v>260</v>
      </c>
      <c r="C303" s="161" t="s">
        <v>131</v>
      </c>
      <c r="D303" s="331">
        <f>[1]SP02!A110</f>
        <v>41483</v>
      </c>
      <c r="E303" s="26">
        <f>'SP02'!J110/5.9</f>
        <v>1.4512319522912731</v>
      </c>
      <c r="F303" s="26">
        <f>'SP02'!K110/5.9*-1</f>
        <v>1.7046004842614892</v>
      </c>
    </row>
    <row r="304" spans="1:6">
      <c r="A304" s="330" t="s">
        <v>12</v>
      </c>
      <c r="B304" s="161" t="s">
        <v>260</v>
      </c>
      <c r="C304" s="161" t="s">
        <v>131</v>
      </c>
      <c r="D304" s="331">
        <f>[1]SP02!A111</f>
        <v>41484</v>
      </c>
      <c r="E304" s="26">
        <f>'SP02'!J111/5.9</f>
        <v>2.2757768361581969</v>
      </c>
      <c r="F304" s="26">
        <f>'SP02'!K111/5.9*-1</f>
        <v>1.8640536723163994</v>
      </c>
    </row>
    <row r="305" spans="1:6">
      <c r="A305" s="330" t="s">
        <v>12</v>
      </c>
      <c r="B305" s="161" t="s">
        <v>260</v>
      </c>
      <c r="C305" s="161" t="s">
        <v>131</v>
      </c>
      <c r="D305" s="331">
        <f>[1]SP02!A112</f>
        <v>41485</v>
      </c>
      <c r="E305" s="26">
        <f>'SP02'!J112/5.9</f>
        <v>1.1003609541745141</v>
      </c>
      <c r="F305" s="26">
        <f>'SP02'!K112/5.9*-1</f>
        <v>1.3550242130750585</v>
      </c>
    </row>
    <row r="306" spans="1:6">
      <c r="A306" s="330" t="s">
        <v>12</v>
      </c>
      <c r="B306" s="161" t="s">
        <v>260</v>
      </c>
      <c r="C306" s="161" t="s">
        <v>131</v>
      </c>
      <c r="D306" s="331">
        <f>[1]SP02!A113</f>
        <v>41486</v>
      </c>
      <c r="E306" s="26">
        <f>'SP02'!J113/5.9</f>
        <v>0.99960765850597022</v>
      </c>
      <c r="F306" s="26">
        <f>'SP02'!K113/5.9*-1</f>
        <v>2.0925141242937793</v>
      </c>
    </row>
    <row r="307" spans="1:6">
      <c r="A307" s="330" t="s">
        <v>12</v>
      </c>
      <c r="B307" s="161" t="s">
        <v>260</v>
      </c>
      <c r="C307" s="161" t="s">
        <v>131</v>
      </c>
      <c r="D307" s="331">
        <f>[1]SP02!A114</f>
        <v>41487</v>
      </c>
      <c r="E307" s="26">
        <f>'SP02'!J114/5.9</f>
        <v>0.86256277463902964</v>
      </c>
      <c r="F307" s="26">
        <f>'SP02'!K114/5.9*-1</f>
        <v>1.634836561743336</v>
      </c>
    </row>
    <row r="308" spans="1:6">
      <c r="A308" s="330" t="s">
        <v>12</v>
      </c>
      <c r="B308" s="161" t="s">
        <v>260</v>
      </c>
      <c r="C308" s="161" t="s">
        <v>131</v>
      </c>
      <c r="D308" s="331">
        <f>[1]SP02!A115</f>
        <v>41488</v>
      </c>
      <c r="E308" s="26">
        <f>'SP02'!J115/5.9</f>
        <v>1.6398697426239817</v>
      </c>
      <c r="F308" s="26">
        <f>'SP02'!K115/5.9*-1</f>
        <v>1.5785411622275882</v>
      </c>
    </row>
    <row r="309" spans="1:6">
      <c r="A309" s="330" t="s">
        <v>12</v>
      </c>
      <c r="B309" s="161" t="s">
        <v>260</v>
      </c>
      <c r="C309" s="161" t="s">
        <v>131</v>
      </c>
      <c r="D309" s="331">
        <f>[1]SP02!A116</f>
        <v>41489</v>
      </c>
      <c r="E309" s="26">
        <f>'SP02'!J116/5.9</f>
        <v>0.84808537350909541</v>
      </c>
      <c r="F309" s="26">
        <f>'SP02'!K116/5.9*-1</f>
        <v>2.2838983050847608</v>
      </c>
    </row>
    <row r="310" spans="1:6">
      <c r="A310" s="330" t="s">
        <v>12</v>
      </c>
      <c r="B310" s="161" t="s">
        <v>260</v>
      </c>
      <c r="C310" s="161" t="s">
        <v>131</v>
      </c>
      <c r="D310" s="331">
        <f>[1]SP02!A117</f>
        <v>41490</v>
      </c>
      <c r="E310" s="26">
        <f>'SP02'!J117/5.9</f>
        <v>1.4906622724419458</v>
      </c>
      <c r="F310" s="26">
        <f>'SP02'!K117/5.9*-1</f>
        <v>1.7772901533494678</v>
      </c>
    </row>
    <row r="311" spans="1:6">
      <c r="A311" s="330" t="s">
        <v>12</v>
      </c>
      <c r="B311" s="161" t="s">
        <v>260</v>
      </c>
      <c r="C311" s="161" t="s">
        <v>131</v>
      </c>
      <c r="D311" s="331">
        <f>[1]SP02!A118</f>
        <v>41491</v>
      </c>
      <c r="E311" s="26">
        <f>'SP02'!J118/5.9</f>
        <v>1.3919099183929629</v>
      </c>
      <c r="F311" s="26">
        <f>'SP02'!K118/5.9*-1</f>
        <v>1.846494607087837</v>
      </c>
    </row>
    <row r="312" spans="1:6">
      <c r="A312" s="330" t="s">
        <v>12</v>
      </c>
      <c r="B312" s="161" t="s">
        <v>260</v>
      </c>
      <c r="C312" s="161" t="s">
        <v>131</v>
      </c>
      <c r="D312" s="331">
        <f>[1]SP02!A119</f>
        <v>41492</v>
      </c>
      <c r="E312" s="26">
        <f>'SP02'!J119/5.9</f>
        <v>1.1437011082138226</v>
      </c>
      <c r="F312" s="26">
        <f>'SP02'!K119/5.9*-1</f>
        <v>0.99513674884437664</v>
      </c>
    </row>
    <row r="313" spans="1:6">
      <c r="A313" s="330" t="s">
        <v>12</v>
      </c>
      <c r="B313" s="161" t="s">
        <v>260</v>
      </c>
      <c r="C313" s="161" t="s">
        <v>131</v>
      </c>
      <c r="D313" s="331">
        <f>[1]SP02!A120</f>
        <v>41493</v>
      </c>
      <c r="E313" s="26">
        <f>'SP02'!J120/5.9</f>
        <v>1.1691248370273792</v>
      </c>
      <c r="F313" s="26">
        <f>'SP02'!K120/5.9*-1</f>
        <v>1.0052966101694876</v>
      </c>
    </row>
    <row r="314" spans="1:6">
      <c r="A314" s="330" t="s">
        <v>12</v>
      </c>
      <c r="B314" s="161" t="s">
        <v>260</v>
      </c>
      <c r="C314" s="161" t="s">
        <v>131</v>
      </c>
      <c r="D314" s="331">
        <f>[1]SP02!A121</f>
        <v>41494</v>
      </c>
      <c r="E314" s="26">
        <f>'SP02'!J121/5.9</f>
        <v>0.70522327249021666</v>
      </c>
      <c r="F314" s="26">
        <f>'SP02'!K121/5.9*-1</f>
        <v>1.2154757318952278</v>
      </c>
    </row>
    <row r="315" spans="1:6">
      <c r="A315" s="330" t="s">
        <v>12</v>
      </c>
      <c r="B315" s="161" t="s">
        <v>260</v>
      </c>
      <c r="C315" s="161" t="s">
        <v>131</v>
      </c>
      <c r="D315" s="331">
        <f>[1]SP02!A122</f>
        <v>41495</v>
      </c>
      <c r="E315" s="26">
        <f>'SP02'!J122/5.9</f>
        <v>1.4287809647979313</v>
      </c>
      <c r="F315" s="26">
        <f>'SP02'!K122/5.9*-1</f>
        <v>2.1737769645608789</v>
      </c>
    </row>
    <row r="316" spans="1:6">
      <c r="A316" s="330" t="s">
        <v>12</v>
      </c>
      <c r="B316" s="161" t="s">
        <v>260</v>
      </c>
      <c r="C316" s="161" t="s">
        <v>131</v>
      </c>
      <c r="D316" s="331">
        <f>[1]SP02!A123</f>
        <v>41496</v>
      </c>
      <c r="E316" s="26">
        <f>'SP02'!J123/5.9</f>
        <v>2.0056225554106972</v>
      </c>
      <c r="F316" s="26">
        <f>'SP02'!K123/5.9*-1</f>
        <v>1.3483243451463913</v>
      </c>
    </row>
    <row r="317" spans="1:6">
      <c r="A317" s="330" t="s">
        <v>12</v>
      </c>
      <c r="B317" s="161" t="s">
        <v>260</v>
      </c>
      <c r="C317" s="161" t="s">
        <v>131</v>
      </c>
      <c r="D317" s="331">
        <f>[1]SP02!A124</f>
        <v>41497</v>
      </c>
      <c r="E317" s="26">
        <f>'SP02'!J124/5.9</f>
        <v>0.88290417209911209</v>
      </c>
      <c r="F317" s="26">
        <f>'SP02'!K124/5.9*-1</f>
        <v>1.3746629429892352</v>
      </c>
    </row>
    <row r="318" spans="1:6">
      <c r="A318" s="330" t="s">
        <v>12</v>
      </c>
      <c r="B318" s="161" t="s">
        <v>260</v>
      </c>
      <c r="C318" s="161" t="s">
        <v>131</v>
      </c>
      <c r="D318" s="331">
        <f>[1]SP02!A125</f>
        <v>41498</v>
      </c>
      <c r="E318" s="26">
        <f>'SP02'!J125/5.9</f>
        <v>1.473598435462838</v>
      </c>
      <c r="F318" s="26">
        <f>'SP02'!K125/5.9*-1</f>
        <v>1.7642526964560812</v>
      </c>
    </row>
    <row r="319" spans="1:6">
      <c r="A319" s="330" t="s">
        <v>12</v>
      </c>
      <c r="B319" s="161" t="s">
        <v>260</v>
      </c>
      <c r="C319" s="161" t="s">
        <v>131</v>
      </c>
      <c r="D319" s="331">
        <f>[1]SP02!A126</f>
        <v>41499</v>
      </c>
      <c r="E319" s="26">
        <f>'SP02'!J126/5.9</f>
        <v>0.51817144719687669</v>
      </c>
      <c r="F319" s="26">
        <f>'SP02'!K126/5.9*-1</f>
        <v>1.6354006163328147</v>
      </c>
    </row>
    <row r="320" spans="1:6">
      <c r="A320" s="330" t="s">
        <v>12</v>
      </c>
      <c r="B320" s="161" t="s">
        <v>260</v>
      </c>
      <c r="C320" s="161" t="s">
        <v>131</v>
      </c>
      <c r="D320" s="331">
        <f>[1]SP02!A127</f>
        <v>41500</v>
      </c>
      <c r="E320" s="26">
        <f>'SP02'!J127/5.9</f>
        <v>1.4885104302477181</v>
      </c>
      <c r="F320" s="26">
        <f>'SP02'!K127/5.9*-1</f>
        <v>1.4874807395994047</v>
      </c>
    </row>
    <row r="321" spans="1:6">
      <c r="A321" s="330" t="s">
        <v>12</v>
      </c>
      <c r="B321" s="161" t="s">
        <v>260</v>
      </c>
      <c r="C321" s="161" t="s">
        <v>131</v>
      </c>
      <c r="D321" s="331">
        <f>[1]SP02!A128</f>
        <v>41501</v>
      </c>
      <c r="E321" s="26">
        <f>'SP02'!J128/5.9</f>
        <v>1.7442552151238717</v>
      </c>
      <c r="F321" s="26">
        <f>'SP02'!K128/5.9*-1</f>
        <v>3.02682010785824</v>
      </c>
    </row>
    <row r="322" spans="1:6">
      <c r="A322" s="330" t="s">
        <v>12</v>
      </c>
      <c r="B322" s="161" t="s">
        <v>260</v>
      </c>
      <c r="C322" s="161" t="s">
        <v>131</v>
      </c>
      <c r="D322" s="331">
        <f>[1]SP02!A129</f>
        <v>41502</v>
      </c>
      <c r="E322" s="26">
        <f>'SP02'!J129/5.9</f>
        <v>1.7893578878748324</v>
      </c>
      <c r="F322" s="26">
        <f>'SP02'!K129/5.9*-1</f>
        <v>1.6428640215716472</v>
      </c>
    </row>
    <row r="323" spans="1:6">
      <c r="A323" s="330" t="s">
        <v>12</v>
      </c>
      <c r="B323" s="161" t="s">
        <v>260</v>
      </c>
      <c r="C323" s="161" t="s">
        <v>131</v>
      </c>
      <c r="D323" s="331">
        <f>[1]SP02!A130</f>
        <v>41503</v>
      </c>
      <c r="E323" s="26">
        <f>'SP02'!J130/5.9</f>
        <v>1.4044980443285562</v>
      </c>
      <c r="F323" s="26">
        <f>'SP02'!K130/5.9*-1</f>
        <v>1.0619703389830699</v>
      </c>
    </row>
    <row r="324" spans="1:6">
      <c r="A324" s="330" t="s">
        <v>12</v>
      </c>
      <c r="B324" s="161" t="s">
        <v>260</v>
      </c>
      <c r="C324" s="161" t="s">
        <v>131</v>
      </c>
      <c r="D324" s="331">
        <f>[1]SP02!A131</f>
        <v>41504</v>
      </c>
      <c r="E324" s="26">
        <f>'SP02'!J131/5.9</f>
        <v>1.6644393741851462</v>
      </c>
      <c r="F324" s="26">
        <f>'SP02'!K131/5.9*-1</f>
        <v>1.3198189522342079</v>
      </c>
    </row>
    <row r="325" spans="1:6">
      <c r="A325" s="330" t="s">
        <v>12</v>
      </c>
      <c r="B325" s="161" t="s">
        <v>260</v>
      </c>
      <c r="C325" s="161" t="s">
        <v>131</v>
      </c>
      <c r="D325" s="331">
        <f>[1]SP02!A132</f>
        <v>41505</v>
      </c>
      <c r="E325" s="26">
        <f>'SP02'!J132/5.9</f>
        <v>3.4031535202086078</v>
      </c>
      <c r="F325" s="26">
        <f>'SP02'!K132/5.9*-1</f>
        <v>1.313174114021562</v>
      </c>
    </row>
    <row r="326" spans="1:6">
      <c r="A326" s="330" t="s">
        <v>12</v>
      </c>
      <c r="B326" s="161" t="s">
        <v>260</v>
      </c>
      <c r="C326" s="161" t="s">
        <v>131</v>
      </c>
      <c r="D326" s="331">
        <f>[1]SP02!A133</f>
        <v>41506</v>
      </c>
      <c r="E326" s="26">
        <f>'SP02'!J133/5.9</f>
        <v>0.1638689700130295</v>
      </c>
      <c r="F326" s="26">
        <f>'SP02'!K133/5.9*-1</f>
        <v>1.1738732665639515</v>
      </c>
    </row>
    <row r="327" spans="1:6">
      <c r="A327" s="330" t="s">
        <v>12</v>
      </c>
      <c r="B327" s="161" t="s">
        <v>260</v>
      </c>
      <c r="C327" s="161" t="s">
        <v>131</v>
      </c>
      <c r="D327" s="331">
        <f>[1]SP02!A134</f>
        <v>41507</v>
      </c>
      <c r="E327" s="26">
        <f>'SP02'!J134/5.9</f>
        <v>1.4866362451108164</v>
      </c>
      <c r="F327" s="26">
        <f>'SP02'!K134/5.9*-1</f>
        <v>2.690437211093974</v>
      </c>
    </row>
    <row r="328" spans="1:6">
      <c r="A328" s="330" t="s">
        <v>12</v>
      </c>
      <c r="B328" s="161" t="s">
        <v>260</v>
      </c>
      <c r="C328" s="161" t="s">
        <v>131</v>
      </c>
      <c r="D328" s="331">
        <f>[1]SP02!A135</f>
        <v>41508</v>
      </c>
      <c r="E328" s="26">
        <f>'SP02'!J135/5.9</f>
        <v>1.1888445241199512</v>
      </c>
      <c r="F328" s="26">
        <f>'SP02'!K135/5.9*-1</f>
        <v>1.6366043913713371</v>
      </c>
    </row>
    <row r="329" spans="1:6">
      <c r="A329" s="330" t="s">
        <v>12</v>
      </c>
      <c r="B329" s="161" t="s">
        <v>260</v>
      </c>
      <c r="C329" s="161" t="s">
        <v>131</v>
      </c>
      <c r="D329" s="331">
        <f>[1]SP02!A136</f>
        <v>41509</v>
      </c>
      <c r="E329" s="26">
        <f>'SP02'!J136/5.9</f>
        <v>2.5668187744449063E-2</v>
      </c>
      <c r="F329" s="26">
        <f>'SP02'!K136/5.9*-1</f>
        <v>1.6528312788905972</v>
      </c>
    </row>
    <row r="330" spans="1:6">
      <c r="A330" s="330" t="s">
        <v>12</v>
      </c>
      <c r="B330" s="161" t="s">
        <v>260</v>
      </c>
      <c r="C330" s="161" t="s">
        <v>131</v>
      </c>
      <c r="D330" s="331">
        <f>[1]SP02!A137</f>
        <v>41510</v>
      </c>
      <c r="E330" s="26">
        <f>'SP02'!J137/5.9</f>
        <v>1.7018415906127635</v>
      </c>
      <c r="F330" s="26">
        <f>'SP02'!K137/5.9*-1</f>
        <v>2.6704545454545445</v>
      </c>
    </row>
    <row r="331" spans="1:6">
      <c r="A331" s="330" t="s">
        <v>12</v>
      </c>
      <c r="B331" s="161" t="s">
        <v>260</v>
      </c>
      <c r="C331" s="161" t="s">
        <v>131</v>
      </c>
      <c r="D331" s="331">
        <f>[1]SP02!A138</f>
        <v>41511</v>
      </c>
      <c r="E331" s="26">
        <f>'SP02'!J138/5.9</f>
        <v>3.1995599739244005</v>
      </c>
      <c r="F331" s="26">
        <f>'SP02'!K138/5.9*-1</f>
        <v>2.0460323574730421</v>
      </c>
    </row>
    <row r="332" spans="1:6">
      <c r="A332" s="330" t="s">
        <v>12</v>
      </c>
      <c r="B332" s="161" t="s">
        <v>260</v>
      </c>
      <c r="C332" s="161" t="s">
        <v>131</v>
      </c>
      <c r="D332" s="331">
        <f>[1]SP02!A139</f>
        <v>41512</v>
      </c>
      <c r="E332" s="26">
        <f>'SP02'!J139/5.9</f>
        <v>3.1270371577574996</v>
      </c>
      <c r="F332" s="26">
        <f>'SP02'!K139/5.9*-1</f>
        <v>2.1301040061633225</v>
      </c>
    </row>
    <row r="333" spans="1:6">
      <c r="A333" s="330" t="s">
        <v>12</v>
      </c>
      <c r="B333" s="161" t="s">
        <v>260</v>
      </c>
      <c r="C333" s="161" t="s">
        <v>131</v>
      </c>
      <c r="D333" s="331">
        <f>[1]SP02!A140</f>
        <v>41513</v>
      </c>
      <c r="E333" s="26">
        <f>'SP02'!J140/5.9</f>
        <v>3.0623370273794039</v>
      </c>
      <c r="F333" s="26">
        <f>'SP02'!K140/5.9*-1</f>
        <v>2.2533705701078746</v>
      </c>
    </row>
    <row r="334" spans="1:6">
      <c r="A334" s="330" t="s">
        <v>12</v>
      </c>
      <c r="B334" s="161" t="s">
        <v>260</v>
      </c>
      <c r="C334" s="161" t="s">
        <v>131</v>
      </c>
      <c r="D334" s="331">
        <f>[1]SP02!A141</f>
        <v>41514</v>
      </c>
      <c r="E334" s="26">
        <f>'SP02'!J141/5.9</f>
        <v>2.8963559322034018</v>
      </c>
      <c r="F334" s="26">
        <f>'SP02'!K141/5.9*-1</f>
        <v>3.479458364038341</v>
      </c>
    </row>
    <row r="335" spans="1:6">
      <c r="A335" s="330" t="s">
        <v>12</v>
      </c>
      <c r="B335" s="161" t="s">
        <v>260</v>
      </c>
      <c r="C335" s="161" t="s">
        <v>131</v>
      </c>
      <c r="D335" s="331">
        <f>[1]SP02!A142</f>
        <v>41515</v>
      </c>
      <c r="E335" s="26">
        <f>'SP02'!J142/5.9</f>
        <v>3.851101694915275</v>
      </c>
      <c r="F335" s="26">
        <f>'SP02'!K142/5.9*-1</f>
        <v>5.0852063375092129</v>
      </c>
    </row>
    <row r="336" spans="1:6">
      <c r="A336" s="330" t="s">
        <v>12</v>
      </c>
      <c r="B336" s="161" t="s">
        <v>260</v>
      </c>
      <c r="C336" s="161" t="s">
        <v>131</v>
      </c>
      <c r="D336" s="331">
        <f>[1]SP02!A143</f>
        <v>41516</v>
      </c>
      <c r="E336" s="26">
        <f>'SP02'!J143/5.9</f>
        <v>2.4191101694915211</v>
      </c>
      <c r="F336" s="26">
        <f>'SP02'!K143/5.9*-1</f>
        <v>4.5004605747973629</v>
      </c>
    </row>
    <row r="337" spans="1:6">
      <c r="A337" s="330" t="s">
        <v>12</v>
      </c>
      <c r="B337" s="161" t="s">
        <v>260</v>
      </c>
      <c r="C337" s="161" t="s">
        <v>131</v>
      </c>
      <c r="D337" s="331">
        <f>[1]SP02!A144</f>
        <v>41517</v>
      </c>
      <c r="E337" s="26">
        <f>'SP02'!J144/5.9</f>
        <v>3.2665254237288273</v>
      </c>
      <c r="F337" s="26">
        <f>'SP02'!K144/5.9*-1</f>
        <v>0.36090641120119438</v>
      </c>
    </row>
    <row r="338" spans="1:6">
      <c r="A338" s="330" t="s">
        <v>12</v>
      </c>
      <c r="B338" s="161" t="s">
        <v>260</v>
      </c>
      <c r="C338" s="161" t="s">
        <v>131</v>
      </c>
      <c r="D338" s="331">
        <f>[1]SP02!A145</f>
        <v>41518</v>
      </c>
      <c r="E338" s="26">
        <f>'SP02'!J145/5.9</f>
        <v>2.1949999999999985</v>
      </c>
      <c r="F338" s="26">
        <f>'SP02'!K145/5.9*-1</f>
        <v>3.0960759027266036</v>
      </c>
    </row>
    <row r="339" spans="1:6">
      <c r="A339" s="330" t="s">
        <v>12</v>
      </c>
      <c r="B339" s="161" t="s">
        <v>260</v>
      </c>
      <c r="C339" s="161" t="s">
        <v>131</v>
      </c>
      <c r="D339" s="331">
        <f>[1]SP02!A146</f>
        <v>41519</v>
      </c>
      <c r="E339" s="26">
        <f>'SP02'!J146/5.9</f>
        <v>3.9998728813559503</v>
      </c>
      <c r="F339" s="26">
        <f>'SP02'!K146/5.9*-1</f>
        <v>4.3798360353721444</v>
      </c>
    </row>
    <row r="340" spans="1:6">
      <c r="A340" s="330" t="s">
        <v>12</v>
      </c>
      <c r="B340" s="161" t="s">
        <v>260</v>
      </c>
      <c r="C340" s="161" t="s">
        <v>131</v>
      </c>
      <c r="D340" s="331">
        <f>[1]SP02!A147</f>
        <v>41520</v>
      </c>
      <c r="E340" s="26">
        <f>'SP02'!J147/5.9</f>
        <v>3.5902966101694744</v>
      </c>
      <c r="F340" s="26">
        <f>'SP02'!K147/5.9*-1</f>
        <v>3.1095707442888565</v>
      </c>
    </row>
    <row r="341" spans="1:6">
      <c r="A341" s="330" t="s">
        <v>12</v>
      </c>
      <c r="B341" s="161" t="s">
        <v>260</v>
      </c>
      <c r="C341" s="161" t="s">
        <v>131</v>
      </c>
      <c r="D341" s="331">
        <f>[1]SP02!A148</f>
        <v>41521</v>
      </c>
      <c r="E341" s="26">
        <f>'SP02'!J148/5.9</f>
        <v>4.9244895993836764</v>
      </c>
      <c r="F341" s="26">
        <f>'SP02'!K148/5.9*-1</f>
        <v>3.6069894319019258</v>
      </c>
    </row>
    <row r="342" spans="1:6">
      <c r="A342" s="330" t="s">
        <v>12</v>
      </c>
      <c r="B342" s="161" t="s">
        <v>260</v>
      </c>
      <c r="C342" s="161" t="s">
        <v>131</v>
      </c>
      <c r="D342" s="331">
        <f>[1]SP02!A149</f>
        <v>41522</v>
      </c>
      <c r="E342" s="26">
        <f>'SP02'!J149/5.9</f>
        <v>3.4799780829924218</v>
      </c>
      <c r="F342" s="26">
        <f>'SP02'!K149/5.9*-1</f>
        <v>3.080807054100108</v>
      </c>
    </row>
    <row r="343" spans="1:6">
      <c r="A343" s="330" t="s">
        <v>12</v>
      </c>
      <c r="B343" s="161" t="s">
        <v>260</v>
      </c>
      <c r="C343" s="161" t="s">
        <v>131</v>
      </c>
      <c r="D343" s="331">
        <f>[1]SP02!A150</f>
        <v>41523</v>
      </c>
      <c r="E343" s="26">
        <f>'SP02'!J150/5.9</f>
        <v>2.3614008993427991</v>
      </c>
      <c r="F343" s="26">
        <f>'SP02'!K150/5.9*-1</f>
        <v>2.3221748905899982</v>
      </c>
    </row>
    <row r="344" spans="1:6">
      <c r="A344" s="330" t="s">
        <v>12</v>
      </c>
      <c r="B344" s="161" t="s">
        <v>260</v>
      </c>
      <c r="C344" s="161" t="s">
        <v>131</v>
      </c>
      <c r="D344" s="331">
        <f>[1]SP02!A151</f>
        <v>41524</v>
      </c>
      <c r="E344" s="26">
        <f>'SP02'!J151/5.9</f>
        <v>1.8468409503631988</v>
      </c>
      <c r="F344" s="26">
        <f>'SP02'!K151/5.9*-1</f>
        <v>2.5935633027160621</v>
      </c>
    </row>
    <row r="345" spans="1:6">
      <c r="A345" s="330" t="s">
        <v>12</v>
      </c>
      <c r="B345" s="161" t="s">
        <v>260</v>
      </c>
      <c r="C345" s="161" t="s">
        <v>131</v>
      </c>
      <c r="D345" s="331">
        <f>[1]SP02!A152</f>
        <v>41525</v>
      </c>
      <c r="E345" s="26">
        <f>'SP02'!J152/5.9</f>
        <v>2.1210335956416526</v>
      </c>
      <c r="F345" s="26">
        <f>'SP02'!K152/5.9*-1</f>
        <v>4.0271459495736446</v>
      </c>
    </row>
    <row r="346" spans="1:6">
      <c r="A346" s="330" t="s">
        <v>12</v>
      </c>
      <c r="B346" s="161" t="s">
        <v>260</v>
      </c>
      <c r="C346" s="161" t="s">
        <v>131</v>
      </c>
      <c r="D346" s="331">
        <f>[1]SP02!A153</f>
        <v>41526</v>
      </c>
      <c r="E346" s="26">
        <f>'SP02'!J153/5.9</f>
        <v>5.20684927360778</v>
      </c>
      <c r="F346" s="26">
        <f>'SP02'!K153/5.9*-1</f>
        <v>4.7413247447100053</v>
      </c>
    </row>
    <row r="347" spans="1:6">
      <c r="A347" s="330" t="s">
        <v>12</v>
      </c>
      <c r="B347" s="161" t="s">
        <v>260</v>
      </c>
      <c r="C347" s="161" t="s">
        <v>131</v>
      </c>
      <c r="D347" s="331">
        <f>[1]SP02!A154</f>
        <v>41527</v>
      </c>
      <c r="E347" s="26">
        <f>'SP02'!J154/5.9</f>
        <v>-0.31940677966102615</v>
      </c>
      <c r="F347" s="26">
        <f>'SP02'!K154/5.9*-1</f>
        <v>2.9008843036108951</v>
      </c>
    </row>
    <row r="348" spans="1:6">
      <c r="A348" s="330" t="s">
        <v>12</v>
      </c>
      <c r="B348" s="161" t="s">
        <v>260</v>
      </c>
      <c r="C348" s="161" t="s">
        <v>131</v>
      </c>
      <c r="D348" s="331">
        <f>[1]SP02!A155</f>
        <v>41528</v>
      </c>
      <c r="E348" s="26">
        <f>'SP02'!J155/5.9</f>
        <v>5.078559322033902</v>
      </c>
      <c r="F348" s="26">
        <f>'SP02'!K155/5.9*-1</f>
        <v>5.6924281503316339</v>
      </c>
    </row>
    <row r="349" spans="1:6">
      <c r="A349" s="330" t="s">
        <v>12</v>
      </c>
      <c r="B349" s="161" t="s">
        <v>260</v>
      </c>
      <c r="C349" s="161" t="s">
        <v>131</v>
      </c>
      <c r="D349" s="331">
        <f>[1]SP02!A156</f>
        <v>41529</v>
      </c>
      <c r="E349" s="26">
        <f>'SP02'!J156/5.9</f>
        <v>1.5496610169491516</v>
      </c>
      <c r="F349" s="26">
        <f>'SP02'!K156/5.9*-1</f>
        <v>2.8572218128223916</v>
      </c>
    </row>
    <row r="350" spans="1:6">
      <c r="A350" s="330" t="s">
        <v>12</v>
      </c>
      <c r="B350" s="161" t="s">
        <v>260</v>
      </c>
      <c r="C350" s="161" t="s">
        <v>131</v>
      </c>
      <c r="D350" s="331">
        <f>[1]SP02!A157</f>
        <v>41530</v>
      </c>
      <c r="E350" s="26">
        <f>'SP02'!J157/5.9</f>
        <v>2.3036864406779731</v>
      </c>
      <c r="F350" s="26">
        <f>'SP02'!K157/5.9*-1</f>
        <v>5.1765383198231527</v>
      </c>
    </row>
    <row r="351" spans="1:6">
      <c r="A351" s="330" t="s">
        <v>12</v>
      </c>
      <c r="B351" s="161" t="s">
        <v>260</v>
      </c>
      <c r="C351" s="161" t="s">
        <v>131</v>
      </c>
      <c r="D351" s="331">
        <f>[1]SP02!A158</f>
        <v>41531</v>
      </c>
      <c r="E351" s="26">
        <f>'SP02'!J158/5.9</f>
        <v>3.8893220338983006</v>
      </c>
      <c r="F351" s="26">
        <f>'SP02'!K158/5.9*-1</f>
        <v>2.1004053058216585</v>
      </c>
    </row>
    <row r="352" spans="1:6">
      <c r="A352" s="330" t="s">
        <v>12</v>
      </c>
      <c r="B352" s="161" t="s">
        <v>260</v>
      </c>
      <c r="C352" s="161" t="s">
        <v>131</v>
      </c>
      <c r="D352" s="331">
        <f>[1]SP02!A159</f>
        <v>41532</v>
      </c>
      <c r="E352" s="26">
        <f>'SP02'!J159/5.9</f>
        <v>3.0044491525423727</v>
      </c>
      <c r="F352" s="26">
        <f>'SP02'!K159/5.9*-1</f>
        <v>1.6296518054532059</v>
      </c>
    </row>
    <row r="353" spans="1:6">
      <c r="A353" s="330" t="s">
        <v>12</v>
      </c>
      <c r="B353" s="161" t="s">
        <v>260</v>
      </c>
      <c r="C353" s="161" t="s">
        <v>131</v>
      </c>
      <c r="D353" s="331">
        <f>[1]SP02!A160</f>
        <v>41533</v>
      </c>
      <c r="E353" s="26">
        <f>'SP02'!J160/5.9</f>
        <v>1.0623728813559234</v>
      </c>
      <c r="F353" s="26">
        <f>'SP02'!K160/5.9*-1</f>
        <v>1.7117722918201899</v>
      </c>
    </row>
    <row r="354" spans="1:6">
      <c r="A354" s="330" t="s">
        <v>12</v>
      </c>
      <c r="B354" s="161" t="s">
        <v>260</v>
      </c>
      <c r="C354" s="161" t="s">
        <v>131</v>
      </c>
      <c r="D354" s="331">
        <f>[1]SP02!A161</f>
        <v>41534</v>
      </c>
      <c r="E354" s="26">
        <f>'SP02'!J161/5.9</f>
        <v>1.8967796610169512</v>
      </c>
      <c r="F354" s="26">
        <f>'SP02'!K161/5.9*-1</f>
        <v>2.2558032424465781</v>
      </c>
    </row>
    <row r="355" spans="1:6">
      <c r="A355" s="330" t="s">
        <v>12</v>
      </c>
      <c r="B355" s="161" t="s">
        <v>260</v>
      </c>
      <c r="C355" s="161" t="s">
        <v>131</v>
      </c>
      <c r="D355" s="331">
        <f>[1]SP02!A162</f>
        <v>41535</v>
      </c>
      <c r="E355" s="26">
        <f>'SP02'!J162/5.9</f>
        <v>1.2698728813559255</v>
      </c>
      <c r="F355" s="26">
        <f>'SP02'!K162/5.9*-1</f>
        <v>1.4524686809137766</v>
      </c>
    </row>
    <row r="356" spans="1:6">
      <c r="A356" s="330" t="s">
        <v>12</v>
      </c>
      <c r="B356" s="161" t="s">
        <v>260</v>
      </c>
      <c r="C356" s="161" t="s">
        <v>131</v>
      </c>
      <c r="D356" s="331">
        <f>[1]SP02!A163</f>
        <v>41536</v>
      </c>
      <c r="E356" s="26">
        <f>'SP02'!J163/5.9</f>
        <v>0.53148305084747582</v>
      </c>
      <c r="F356" s="26">
        <f>'SP02'!K163/5.9*-1</f>
        <v>0.5434782608695653</v>
      </c>
    </row>
    <row r="357" spans="1:6">
      <c r="A357" s="330" t="s">
        <v>12</v>
      </c>
      <c r="B357" s="161" t="s">
        <v>260</v>
      </c>
      <c r="C357" s="161" t="s">
        <v>131</v>
      </c>
      <c r="D357" s="331">
        <f>[1]SP02!A164</f>
        <v>41537</v>
      </c>
      <c r="E357" s="26">
        <f>'SP02'!J164/5.9</f>
        <v>1.253898305084727</v>
      </c>
      <c r="F357" s="26">
        <f>'SP02'!K164/5.9*-1</f>
        <v>2.4848931466470132</v>
      </c>
    </row>
    <row r="358" spans="1:6">
      <c r="A358" s="330" t="s">
        <v>12</v>
      </c>
      <c r="B358" s="161" t="s">
        <v>260</v>
      </c>
      <c r="C358" s="161" t="s">
        <v>131</v>
      </c>
      <c r="D358" s="331">
        <f>[1]SP02!A165</f>
        <v>41538</v>
      </c>
      <c r="E358" s="26">
        <f>'SP02'!J165/5.9</f>
        <v>2.4736864406779739</v>
      </c>
      <c r="F358" s="26">
        <f>'SP02'!K165/5.9*-1</f>
        <v>1.7640014738393484</v>
      </c>
    </row>
    <row r="359" spans="1:6">
      <c r="A359" s="330" t="s">
        <v>12</v>
      </c>
      <c r="B359" s="161" t="s">
        <v>260</v>
      </c>
      <c r="C359" s="161" t="s">
        <v>131</v>
      </c>
      <c r="D359" s="331">
        <f>[1]SP02!A166</f>
        <v>41539</v>
      </c>
      <c r="E359" s="26">
        <f>'SP02'!J166/5.9</f>
        <v>1.0150070621468765</v>
      </c>
      <c r="F359" s="26">
        <f>'SP02'!K166/5.9*-1</f>
        <v>1.8251235875705996</v>
      </c>
    </row>
    <row r="360" spans="1:6">
      <c r="A360" s="330" t="s">
        <v>12</v>
      </c>
      <c r="B360" s="161" t="s">
        <v>260</v>
      </c>
      <c r="C360" s="161" t="s">
        <v>131</v>
      </c>
      <c r="D360" s="331">
        <f>[1]SP02!A167</f>
        <v>41540</v>
      </c>
      <c r="E360" s="26">
        <f>'SP02'!J167/5.9</f>
        <v>1.4857432909604431</v>
      </c>
      <c r="F360" s="26">
        <f>'SP02'!K167/5.9*-1</f>
        <v>1.3375706214689325</v>
      </c>
    </row>
    <row r="361" spans="1:6">
      <c r="A361" s="330" t="s">
        <v>12</v>
      </c>
      <c r="B361" s="161" t="s">
        <v>260</v>
      </c>
      <c r="C361" s="161" t="s">
        <v>131</v>
      </c>
      <c r="D361" s="331">
        <f>[1]SP02!A168</f>
        <v>41541</v>
      </c>
      <c r="E361" s="26">
        <f>'SP02'!J168/5.9</f>
        <v>0.18070268361583433</v>
      </c>
      <c r="F361" s="26">
        <f>'SP02'!K168/5.9*-1</f>
        <v>0.60438735875705885</v>
      </c>
    </row>
    <row r="362" spans="1:6">
      <c r="A362" s="330" t="s">
        <v>12</v>
      </c>
      <c r="B362" s="161" t="s">
        <v>260</v>
      </c>
      <c r="C362" s="161" t="s">
        <v>131</v>
      </c>
      <c r="D362" s="331">
        <f>[1]SP02!A169</f>
        <v>41542</v>
      </c>
      <c r="E362" s="26">
        <f>'SP02'!J169/5.9</f>
        <v>2.3309939971751308</v>
      </c>
      <c r="F362" s="26">
        <f>'SP02'!K169/5.9*-1</f>
        <v>1.3665254237288242</v>
      </c>
    </row>
    <row r="363" spans="1:6">
      <c r="A363" s="330" t="s">
        <v>12</v>
      </c>
      <c r="B363" s="161" t="s">
        <v>260</v>
      </c>
      <c r="C363" s="161" t="s">
        <v>131</v>
      </c>
      <c r="D363" s="331">
        <f>[1]SP02!A170</f>
        <v>41543</v>
      </c>
      <c r="E363" s="26">
        <f>'SP02'!J170/5.9</f>
        <v>1.2232866617538869</v>
      </c>
      <c r="F363" s="26">
        <f>'SP02'!K170/5.9*-1</f>
        <v>1.7640677966101774</v>
      </c>
    </row>
    <row r="364" spans="1:6">
      <c r="A364" s="330" t="s">
        <v>12</v>
      </c>
      <c r="B364" s="161" t="s">
        <v>260</v>
      </c>
      <c r="C364" s="161" t="s">
        <v>131</v>
      </c>
      <c r="D364" s="331">
        <f>[1]SP02!A171</f>
        <v>41544</v>
      </c>
      <c r="E364" s="26">
        <f>'SP02'!J171/5.9</f>
        <v>2.4896370670597032</v>
      </c>
      <c r="F364" s="26">
        <f>'SP02'!K171/5.9*-1</f>
        <v>1.6232627118644274</v>
      </c>
    </row>
    <row r="365" spans="1:6">
      <c r="A365" s="330" t="s">
        <v>12</v>
      </c>
      <c r="B365" s="161" t="s">
        <v>260</v>
      </c>
      <c r="C365" s="161" t="s">
        <v>131</v>
      </c>
      <c r="D365" s="331">
        <f>[1]SP02!A172</f>
        <v>41545</v>
      </c>
      <c r="E365" s="26">
        <f>'SP02'!J172/5.9</f>
        <v>1.6040899042004644</v>
      </c>
      <c r="F365" s="26">
        <f>'SP02'!K172/5.9*-1</f>
        <v>1.5012711864407022</v>
      </c>
    </row>
    <row r="366" spans="1:6">
      <c r="A366" s="330" t="s">
        <v>12</v>
      </c>
      <c r="B366" s="161" t="s">
        <v>260</v>
      </c>
      <c r="C366" s="161" t="s">
        <v>131</v>
      </c>
      <c r="D366" s="331">
        <f>[1]SP02!A173</f>
        <v>41546</v>
      </c>
      <c r="E366" s="26">
        <f>'SP02'!J173/5.9</f>
        <v>1.3775792188651661</v>
      </c>
      <c r="F366" s="26">
        <f>'SP02'!K173/5.9*-1</f>
        <v>1.0460169491525519</v>
      </c>
    </row>
    <row r="367" spans="1:6">
      <c r="A367" s="330" t="s">
        <v>12</v>
      </c>
      <c r="B367" s="161" t="s">
        <v>260</v>
      </c>
      <c r="C367" s="161" t="s">
        <v>131</v>
      </c>
      <c r="D367" s="331">
        <f>[1]SP02!A174</f>
        <v>41547</v>
      </c>
      <c r="E367" s="26">
        <f>'SP02'!J174/5.9</f>
        <v>1.3640383198231534</v>
      </c>
      <c r="F367" s="26">
        <f>'SP02'!K174/5.9*-1</f>
        <v>1.2706779661017007</v>
      </c>
    </row>
    <row r="368" spans="1:6">
      <c r="A368" s="330" t="s">
        <v>12</v>
      </c>
      <c r="B368" s="161" t="s">
        <v>260</v>
      </c>
      <c r="C368" s="161" t="s">
        <v>131</v>
      </c>
      <c r="D368" s="331">
        <f>[1]SP02!A175</f>
        <v>41548</v>
      </c>
      <c r="E368" s="26">
        <f>'SP02'!J175/5.9</f>
        <v>1.0616709653647565</v>
      </c>
      <c r="F368" s="26">
        <f>'SP02'!K175/5.9*-1</f>
        <v>0.83152542372879934</v>
      </c>
    </row>
    <row r="369" spans="1:6">
      <c r="A369" s="330" t="s">
        <v>12</v>
      </c>
      <c r="B369" s="161" t="s">
        <v>260</v>
      </c>
      <c r="C369" s="161" t="s">
        <v>131</v>
      </c>
      <c r="D369" s="331">
        <f>[1]SP02!A176</f>
        <v>41549</v>
      </c>
      <c r="E369" s="26">
        <f>'SP02'!J176/5.9</f>
        <v>0.72259579955785225</v>
      </c>
      <c r="F369" s="26">
        <f>'SP02'!K176/5.9*-1</f>
        <v>0.67750000000000032</v>
      </c>
    </row>
  </sheetData>
  <dataConsolidate/>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45"/>
  <sheetViews>
    <sheetView workbookViewId="0">
      <pane xSplit="2" ySplit="4" topLeftCell="L5" activePane="bottomRight" state="frozen"/>
      <selection pane="topRight" activeCell="C1" sqref="C1"/>
      <selection pane="bottomLeft" activeCell="A4" sqref="A4"/>
      <selection pane="bottomRight" activeCell="AC4" sqref="AC4"/>
    </sheetView>
  </sheetViews>
  <sheetFormatPr defaultRowHeight="13.2"/>
  <cols>
    <col min="1" max="1" width="11.5546875" customWidth="1"/>
    <col min="2" max="2" width="5.5546875" customWidth="1"/>
    <col min="3" max="3" width="8.5546875" bestFit="1" customWidth="1"/>
    <col min="4" max="4" width="6.6640625" bestFit="1" customWidth="1"/>
    <col min="5" max="5" width="6.33203125" customWidth="1"/>
    <col min="6" max="6" width="6.33203125" bestFit="1" customWidth="1"/>
    <col min="7" max="7" width="6.33203125" style="161" customWidth="1"/>
    <col min="8" max="9" width="5.6640625" style="161" customWidth="1"/>
    <col min="10" max="10" width="7.33203125" customWidth="1"/>
    <col min="11" max="11" width="6.33203125" customWidth="1"/>
    <col min="12" max="12" width="5.33203125" bestFit="1" customWidth="1"/>
    <col min="13" max="13" width="8.33203125" bestFit="1" customWidth="1"/>
    <col min="14" max="14" width="7.6640625" bestFit="1" customWidth="1"/>
    <col min="15" max="15" width="8.109375" customWidth="1"/>
    <col min="16" max="16" width="8.6640625" customWidth="1"/>
    <col min="17" max="17" width="6.109375" bestFit="1" customWidth="1"/>
    <col min="18" max="18" width="7.5546875" customWidth="1"/>
    <col min="19" max="19" width="9.6640625" customWidth="1"/>
    <col min="20" max="20" width="6.33203125" bestFit="1" customWidth="1"/>
    <col min="21" max="21" width="5.6640625" bestFit="1" customWidth="1"/>
    <col min="22" max="22" width="7.88671875" customWidth="1"/>
    <col min="23" max="23" width="7.88671875" style="161" customWidth="1"/>
    <col min="24" max="24" width="6.6640625" customWidth="1"/>
    <col min="25" max="25" width="8" style="161" bestFit="1" customWidth="1"/>
    <col min="26" max="26" width="6.6640625" customWidth="1"/>
    <col min="27" max="27" width="9.6640625" bestFit="1" customWidth="1"/>
    <col min="28" max="28" width="9.6640625" customWidth="1"/>
    <col min="29" max="29" width="8.44140625" customWidth="1"/>
    <col min="30" max="30" width="9.6640625" customWidth="1"/>
    <col min="31" max="31" width="8.33203125" customWidth="1"/>
    <col min="32" max="33" width="10.44140625" customWidth="1"/>
    <col min="34" max="34" width="5.33203125" bestFit="1" customWidth="1"/>
    <col min="35" max="36" width="6.5546875" customWidth="1"/>
    <col min="37" max="38" width="6.5546875" bestFit="1" customWidth="1"/>
    <col min="39" max="39" width="7.5546875" bestFit="1" customWidth="1"/>
    <col min="40" max="40" width="5.33203125" bestFit="1" customWidth="1"/>
    <col min="41" max="41" width="6.88671875" customWidth="1"/>
    <col min="42" max="42" width="5" bestFit="1" customWidth="1"/>
    <col min="43" max="43" width="7" customWidth="1"/>
    <col min="44" max="44" width="6.5546875" customWidth="1"/>
    <col min="45" max="45" width="6.44140625" customWidth="1"/>
    <col min="46" max="46" width="6.33203125" customWidth="1"/>
    <col min="47" max="47" width="5.6640625" customWidth="1"/>
    <col min="48" max="48" width="7" customWidth="1"/>
    <col min="52" max="52" width="8.88671875" style="161"/>
    <col min="54" max="54" width="8.5546875" bestFit="1" customWidth="1"/>
  </cols>
  <sheetData>
    <row r="1" spans="1:55" ht="28.95" customHeight="1">
      <c r="A1" t="s">
        <v>3</v>
      </c>
      <c r="J1" s="27"/>
      <c r="L1" s="27"/>
      <c r="M1" s="27"/>
      <c r="N1" s="27"/>
      <c r="O1" s="27"/>
      <c r="AJ1" s="27"/>
      <c r="AK1" s="27"/>
      <c r="AL1" s="5"/>
      <c r="AP1" s="27"/>
      <c r="AQ1" s="5"/>
      <c r="AR1" s="5"/>
      <c r="AS1" s="5"/>
      <c r="AT1" s="5"/>
    </row>
    <row r="2" spans="1:55">
      <c r="G2" s="79" t="s">
        <v>249</v>
      </c>
      <c r="H2" s="79"/>
      <c r="I2" s="79"/>
      <c r="J2" s="14"/>
      <c r="L2" s="14"/>
      <c r="M2" s="27"/>
      <c r="N2" s="27"/>
      <c r="O2" s="27"/>
      <c r="P2" s="27"/>
      <c r="Q2" s="27"/>
      <c r="AB2" s="27"/>
      <c r="AC2" s="27"/>
      <c r="AD2" s="27"/>
      <c r="AE2" s="27"/>
      <c r="AF2" s="27"/>
      <c r="AG2" s="27"/>
      <c r="AH2" s="27"/>
      <c r="AJ2" s="14"/>
      <c r="AK2" s="14"/>
      <c r="AL2" s="15"/>
      <c r="AP2" s="14"/>
      <c r="AQ2" s="14"/>
      <c r="AR2" s="14"/>
      <c r="AS2" s="15"/>
      <c r="AT2" s="15"/>
      <c r="BB2" s="5"/>
      <c r="BC2" s="5"/>
    </row>
    <row r="3" spans="1:55" s="161" customFormat="1">
      <c r="G3" s="79"/>
      <c r="H3" s="79"/>
      <c r="I3" s="79"/>
      <c r="J3" s="14"/>
      <c r="L3" s="14"/>
      <c r="M3" s="27"/>
      <c r="N3" s="27"/>
      <c r="O3" s="27"/>
      <c r="P3" s="27"/>
      <c r="Q3" s="27"/>
      <c r="AB3" s="27"/>
      <c r="AC3" s="27"/>
      <c r="AD3" s="27"/>
      <c r="AE3" s="27"/>
      <c r="AF3" s="27"/>
      <c r="AG3" s="27"/>
      <c r="AH3" s="27"/>
      <c r="AJ3" s="14"/>
      <c r="AK3" s="14"/>
      <c r="AL3" s="15"/>
      <c r="AP3" s="14"/>
      <c r="AQ3" s="14"/>
      <c r="AR3" s="14"/>
      <c r="AS3" s="15"/>
      <c r="AT3" s="15"/>
      <c r="BB3" s="324"/>
      <c r="BC3" s="324"/>
    </row>
    <row r="4" spans="1:55" ht="66">
      <c r="A4" s="275" t="s">
        <v>2</v>
      </c>
      <c r="B4" s="275" t="s">
        <v>29</v>
      </c>
      <c r="C4" s="15" t="s">
        <v>117</v>
      </c>
      <c r="D4" s="15" t="s">
        <v>13</v>
      </c>
      <c r="E4" s="15" t="s">
        <v>55</v>
      </c>
      <c r="F4" s="15" t="s">
        <v>72</v>
      </c>
      <c r="G4" s="318" t="s">
        <v>211</v>
      </c>
      <c r="H4" s="318" t="s">
        <v>227</v>
      </c>
      <c r="I4" s="318" t="s">
        <v>226</v>
      </c>
      <c r="J4" s="15" t="s">
        <v>67</v>
      </c>
      <c r="K4" s="16" t="s">
        <v>75</v>
      </c>
      <c r="L4" s="14" t="s">
        <v>109</v>
      </c>
      <c r="M4" s="15" t="s">
        <v>82</v>
      </c>
      <c r="N4" s="15" t="s">
        <v>83</v>
      </c>
      <c r="O4" s="15" t="s">
        <v>84</v>
      </c>
      <c r="P4" s="15" t="s">
        <v>85</v>
      </c>
      <c r="Q4" s="15" t="s">
        <v>86</v>
      </c>
      <c r="R4" s="15" t="s">
        <v>73</v>
      </c>
      <c r="S4" s="15" t="s">
        <v>87</v>
      </c>
      <c r="T4" s="15" t="s">
        <v>88</v>
      </c>
      <c r="U4" s="15" t="s">
        <v>89</v>
      </c>
      <c r="V4" s="16" t="s">
        <v>63</v>
      </c>
      <c r="W4" s="16" t="s">
        <v>150</v>
      </c>
      <c r="X4" s="14" t="s">
        <v>4</v>
      </c>
      <c r="Y4" s="14" t="s">
        <v>252</v>
      </c>
      <c r="Z4" s="14" t="s">
        <v>108</v>
      </c>
      <c r="AA4" s="16" t="s">
        <v>90</v>
      </c>
      <c r="AB4" s="16" t="s">
        <v>91</v>
      </c>
      <c r="AC4" s="16" t="s">
        <v>92</v>
      </c>
      <c r="AD4" s="16" t="s">
        <v>93</v>
      </c>
      <c r="AE4" s="16" t="s">
        <v>94</v>
      </c>
      <c r="AF4" s="16" t="s">
        <v>74</v>
      </c>
      <c r="AG4" s="16" t="s">
        <v>95</v>
      </c>
      <c r="AH4" s="16" t="s">
        <v>96</v>
      </c>
      <c r="AI4" s="14" t="s">
        <v>97</v>
      </c>
      <c r="AJ4" s="16" t="s">
        <v>103</v>
      </c>
      <c r="AK4" s="16" t="s">
        <v>110</v>
      </c>
      <c r="AL4" s="16" t="s">
        <v>104</v>
      </c>
      <c r="AM4" s="16" t="s">
        <v>105</v>
      </c>
      <c r="AN4" s="16" t="s">
        <v>106</v>
      </c>
      <c r="AO4" s="16" t="s">
        <v>107</v>
      </c>
      <c r="AP4" s="14" t="s">
        <v>111</v>
      </c>
      <c r="AQ4" s="15" t="s">
        <v>52</v>
      </c>
      <c r="AR4" s="14" t="s">
        <v>98</v>
      </c>
      <c r="AS4" s="14" t="s">
        <v>99</v>
      </c>
      <c r="AT4" s="14" t="s">
        <v>100</v>
      </c>
      <c r="AU4" s="14" t="s">
        <v>101</v>
      </c>
      <c r="AV4" s="14" t="s">
        <v>102</v>
      </c>
      <c r="AW4" s="15" t="s">
        <v>9</v>
      </c>
      <c r="AX4" s="15" t="s">
        <v>10</v>
      </c>
      <c r="AY4" s="14" t="s">
        <v>160</v>
      </c>
      <c r="AZ4" s="14"/>
      <c r="BA4" s="16" t="s">
        <v>254</v>
      </c>
      <c r="BB4" s="327" t="s">
        <v>255</v>
      </c>
    </row>
    <row r="5" spans="1:55">
      <c r="A5" s="92">
        <v>41381</v>
      </c>
      <c r="B5" s="2" t="s">
        <v>0</v>
      </c>
      <c r="C5" s="3">
        <v>1</v>
      </c>
      <c r="D5" s="8">
        <f t="shared" ref="D5:D24" si="0">D25</f>
        <v>3.2</v>
      </c>
      <c r="E5" s="144">
        <f>[2]SUM!$N5</f>
        <v>0.4713514864864865</v>
      </c>
      <c r="F5" s="4">
        <v>2.98</v>
      </c>
      <c r="G5" s="319">
        <f>F5</f>
        <v>2.98</v>
      </c>
      <c r="H5" s="153">
        <f>1.012*$AA5-0.977</f>
        <v>22.472986313276834</v>
      </c>
      <c r="I5" s="153">
        <f>0.892*$AB5+2.285</f>
        <v>22.998120346045198</v>
      </c>
      <c r="J5" s="25">
        <f>VLOOKUP(SUM!A5,'SP01'!$A$3:$AD$176,28,0)</f>
        <v>1.0500275735473785</v>
      </c>
      <c r="K5" s="24">
        <v>12.825000000000001</v>
      </c>
      <c r="M5" s="169">
        <f>1.012*$AA5-0.977</f>
        <v>22.472986313276834</v>
      </c>
      <c r="N5" s="169">
        <f>0.892*$AB5+2.285</f>
        <v>22.998120346045198</v>
      </c>
      <c r="O5" s="169">
        <f>0.895*AC5+1.417</f>
        <v>14.864548041517642</v>
      </c>
      <c r="P5" t="e">
        <f>NA()</f>
        <v>#N/A</v>
      </c>
      <c r="Q5" t="e">
        <f>NA()</f>
        <v>#N/A</v>
      </c>
      <c r="R5" s="167">
        <f>0.858*Raw!AF5+0.004</f>
        <v>1.1568753919491532</v>
      </c>
      <c r="S5" t="e">
        <f>NA()</f>
        <v>#N/A</v>
      </c>
      <c r="T5" t="e">
        <f>NA()</f>
        <v>#N/A</v>
      </c>
      <c r="U5" t="e">
        <f>NA()</f>
        <v>#N/A</v>
      </c>
      <c r="V5" s="24"/>
      <c r="W5" s="24"/>
      <c r="X5" t="e">
        <f>NA()</f>
        <v>#N/A</v>
      </c>
      <c r="Y5" s="326">
        <f>[2]SUM!$V5*32/1000</f>
        <v>7.9740372520197802</v>
      </c>
      <c r="AA5" s="24">
        <f>VLOOKUP(SUM!$A5,'SP01'!$A$3:$Z$176,2,0)</f>
        <v>23.171923234463275</v>
      </c>
      <c r="AB5" s="24">
        <f>VLOOKUP(SUM!$A5,'SP01'!$A$3:$Z$176,3,0)</f>
        <v>23.220986935028247</v>
      </c>
      <c r="AC5" s="24">
        <f>VLOOKUP(SUM!$A5,'SP01'!$A$3:$Z$176,4,0)</f>
        <v>15.025193342477813</v>
      </c>
      <c r="AD5" s="25">
        <f>VLOOKUP(SUM!$A5,'SP01'!$A$3:$Z$176,5,0)*32/1000</f>
        <v>8.0244295550847458</v>
      </c>
      <c r="AE5" s="24">
        <f>VLOOKUP(SUM!$A5,'SP01'!$A$3:$Z$176,6,0)*100</f>
        <v>107.35022737673529</v>
      </c>
      <c r="AF5" s="25">
        <f>VLOOKUP(SUM!$A5,'SP01'!$A$3:$Z$176,7,0)</f>
        <v>1.3436776129943511</v>
      </c>
      <c r="AG5" s="25">
        <f>VLOOKUP(SUM!$A5,'SP01'!$A$3:$Z$176,8,0)</f>
        <v>15.636722281073453</v>
      </c>
      <c r="AH5" s="25">
        <f>VLOOKUP(SUM!$A5,'SP01'!$A$3:$Z$176,9,0)</f>
        <v>0.82900847457627114</v>
      </c>
      <c r="AJ5" s="22">
        <v>3.2143738666666661</v>
      </c>
      <c r="AK5" s="22">
        <v>1.8097774237923654E-2</v>
      </c>
      <c r="AL5" s="22">
        <v>0.28756793333333336</v>
      </c>
      <c r="AM5" s="22">
        <v>2.9324198751681366E-2</v>
      </c>
      <c r="AN5" s="22">
        <v>6.9230056391106978E-2</v>
      </c>
      <c r="AO5" s="22">
        <f>SUM(Raw!AL5:AN5)</f>
        <v>0.38612218847612167</v>
      </c>
      <c r="AQ5" s="3">
        <v>0.34670347836171578</v>
      </c>
      <c r="AR5" s="4">
        <v>0.68716748913266379</v>
      </c>
      <c r="AS5" s="4">
        <v>-5.5E-2</v>
      </c>
      <c r="AT5" s="26">
        <v>-6.0000000000000001E-3</v>
      </c>
      <c r="AU5" s="25">
        <v>0.10100000000000001</v>
      </c>
      <c r="AV5" s="24">
        <v>13.04</v>
      </c>
      <c r="AW5" s="7">
        <v>263.84853602987096</v>
      </c>
      <c r="AX5" s="3">
        <v>13.527705182568758</v>
      </c>
      <c r="AY5" s="163">
        <f t="shared" ref="AY5:AY44" si="1">AD5/32*1000</f>
        <v>250.7634235963983</v>
      </c>
      <c r="AZ5" s="163"/>
      <c r="BA5" s="4">
        <f>0.476*EXP(0.089*AR5)*2</f>
        <v>1.0120395613477333</v>
      </c>
      <c r="BB5" s="328">
        <f>BA5/SUM!I5</f>
        <v>3.0938634583366631</v>
      </c>
    </row>
    <row r="6" spans="1:55">
      <c r="A6" s="92">
        <v>41388</v>
      </c>
      <c r="B6" s="2" t="s">
        <v>0</v>
      </c>
      <c r="C6" s="3">
        <v>1.2</v>
      </c>
      <c r="D6" s="8">
        <f t="shared" si="0"/>
        <v>3</v>
      </c>
      <c r="E6" s="144">
        <f>[2]SUM!$N6</f>
        <v>0.30375333333333332</v>
      </c>
      <c r="F6" s="4">
        <v>4.4746666666666668</v>
      </c>
      <c r="G6" s="319">
        <f>F6</f>
        <v>4.4746666666666668</v>
      </c>
      <c r="H6" s="153">
        <f>1.012*$AA6-0.977</f>
        <v>20.93181578354519</v>
      </c>
      <c r="I6" s="153">
        <f>0.892*$AB6+2.285</f>
        <v>19.860388294491525</v>
      </c>
      <c r="J6" s="25">
        <f>VLOOKUP(SUM!A6,'SP01'!$A$3:$AD$176,28,0)</f>
        <v>1.2270785261322739</v>
      </c>
      <c r="K6" s="24">
        <v>13.025</v>
      </c>
      <c r="M6" s="169">
        <f>1.012*$AA6-0.977</f>
        <v>20.93181578354519</v>
      </c>
      <c r="N6" s="169">
        <f>0.892*$AB6+2.285</f>
        <v>19.860388294491525</v>
      </c>
      <c r="O6" s="169">
        <f>0.895*AC6+1.417</f>
        <v>12.849987299110307</v>
      </c>
      <c r="P6" t="e">
        <f>NA()</f>
        <v>#N/A</v>
      </c>
      <c r="Q6" t="e">
        <f>NA()</f>
        <v>#N/A</v>
      </c>
      <c r="R6" s="167">
        <f>0.858*Raw!AF6+0.004</f>
        <v>1.852381947033898</v>
      </c>
      <c r="S6" t="e">
        <f>NA()</f>
        <v>#N/A</v>
      </c>
      <c r="T6" t="e">
        <f>NA()</f>
        <v>#N/A</v>
      </c>
      <c r="U6" t="e">
        <f>NA()</f>
        <v>#N/A</v>
      </c>
      <c r="V6" s="24"/>
      <c r="W6" s="24"/>
      <c r="X6" t="e">
        <f>NA()</f>
        <v>#N/A</v>
      </c>
      <c r="Y6" s="4">
        <f>[2]SUM!$V6*32/1000</f>
        <v>9.3542129453066085</v>
      </c>
      <c r="AA6" s="24">
        <f>VLOOKUP(SUM!$A6,'SP01'!$A$3:$Z$176,2,0)</f>
        <v>21.649027454096039</v>
      </c>
      <c r="AB6" s="24">
        <f>VLOOKUP(SUM!$A6,'SP01'!$A$3:$Z$176,3,0)</f>
        <v>19.703350105932202</v>
      </c>
      <c r="AC6" s="24">
        <f>VLOOKUP(SUM!$A6,'SP01'!$A$3:$Z$176,4,0)</f>
        <v>12.77428748503945</v>
      </c>
      <c r="AD6" s="25">
        <f>VLOOKUP(SUM!$A6,'SP01'!$A$3:$Z$176,5,0)*32/1000</f>
        <v>8.0931242937853067</v>
      </c>
      <c r="AE6" s="24">
        <f>VLOOKUP(SUM!$A6,'SP01'!$A$3:$Z$176,6,0)*100</f>
        <v>103.05918168965478</v>
      </c>
      <c r="AF6" s="25">
        <f>VLOOKUP(SUM!$A6,'SP01'!$A$3:$Z$176,7,0)</f>
        <v>2.1542913135593218</v>
      </c>
      <c r="AG6" s="25">
        <f>VLOOKUP(SUM!$A6,'SP01'!$A$3:$Z$176,8,0)</f>
        <v>22.97193396892655</v>
      </c>
      <c r="AH6" s="25">
        <f>VLOOKUP(SUM!$A6,'SP01'!$A$3:$Z$176,9,0)</f>
        <v>0.88474999999999993</v>
      </c>
      <c r="AJ6" s="22">
        <v>6.7491718000000001</v>
      </c>
      <c r="AK6" s="22">
        <v>1.7468415070578884E-2</v>
      </c>
      <c r="AL6" s="22">
        <v>0.64391880000000012</v>
      </c>
      <c r="AM6" s="23">
        <v>0.10458279811551721</v>
      </c>
      <c r="AN6" s="22">
        <v>0.14442887536267501</v>
      </c>
      <c r="AO6" s="22">
        <f>SUM(Raw!AL6:AN6)</f>
        <v>0.89293047347819232</v>
      </c>
      <c r="AQ6" s="3">
        <v>0.32095492296777572</v>
      </c>
      <c r="AR6" s="4">
        <v>0.14745418036607569</v>
      </c>
      <c r="AS6" s="4">
        <v>-7.1999999999999995E-2</v>
      </c>
      <c r="AT6" s="26">
        <v>-0.29599999999999999</v>
      </c>
      <c r="AU6" s="25">
        <v>9.2999999999999999E-2</v>
      </c>
      <c r="AV6" s="24">
        <v>33.08</v>
      </c>
      <c r="AW6" s="7">
        <v>344.91191366077049</v>
      </c>
      <c r="AX6" s="3">
        <v>13.057851332977876</v>
      </c>
      <c r="AY6" s="163">
        <f t="shared" si="1"/>
        <v>252.91013418079083</v>
      </c>
      <c r="AZ6" s="163"/>
      <c r="BA6" s="4">
        <f t="shared" ref="BA6:BA44" si="2">0.476*EXP(0.089*AR6)*2</f>
        <v>0.96457583630973431</v>
      </c>
      <c r="BB6" s="328">
        <f>BA6/SUM!I6</f>
        <v>1.5634861592156599</v>
      </c>
    </row>
    <row r="7" spans="1:55">
      <c r="A7" s="92">
        <v>41395</v>
      </c>
      <c r="B7" s="2" t="s">
        <v>0</v>
      </c>
      <c r="C7" s="3">
        <v>1</v>
      </c>
      <c r="D7" s="8">
        <f t="shared" si="0"/>
        <v>3.4</v>
      </c>
      <c r="E7" s="144">
        <f>[2]SUM!$N7</f>
        <v>0.16612834693877551</v>
      </c>
      <c r="F7" s="4">
        <v>2.024</v>
      </c>
      <c r="G7" s="320">
        <f>[3]SP01!$R$3</f>
        <v>3.6599316666666666</v>
      </c>
      <c r="H7" s="321">
        <v>23.5198</v>
      </c>
      <c r="I7" s="321">
        <v>25.758233333333333</v>
      </c>
      <c r="J7" s="25">
        <f>VLOOKUP(SUM!A7,'SP01'!$A$3:$AD$176,28,0)</f>
        <v>0.85621363969213915</v>
      </c>
      <c r="K7" s="24">
        <v>13.2166</v>
      </c>
      <c r="M7" s="4">
        <v>23.4895</v>
      </c>
      <c r="N7" s="3">
        <v>25.574999999999999</v>
      </c>
      <c r="O7" s="3">
        <v>16.667400000000001</v>
      </c>
      <c r="P7" s="3">
        <v>6.4456699999999998</v>
      </c>
      <c r="Q7" s="3">
        <v>87.858609999999999</v>
      </c>
      <c r="R7" s="4">
        <v>1.1232</v>
      </c>
      <c r="S7" s="4">
        <v>0.6684194</v>
      </c>
      <c r="T7" s="4">
        <v>1.1088</v>
      </c>
      <c r="U7" s="4">
        <v>0.20183414475861</v>
      </c>
      <c r="V7" s="24">
        <v>0.7</v>
      </c>
      <c r="W7" s="3">
        <v>0.93440000000000012</v>
      </c>
      <c r="X7" t="e">
        <f>NA()</f>
        <v>#N/A</v>
      </c>
      <c r="Y7" s="4">
        <f>[2]SUM!$V7*32/1000</f>
        <v>6.8925908581824196</v>
      </c>
      <c r="AA7" s="24">
        <f>VLOOKUP(SUM!$A7,'SP01'!$A$3:$Z$176,2,0)</f>
        <v>23.099892266949158</v>
      </c>
      <c r="AB7" s="24">
        <f>VLOOKUP(SUM!$A7,'SP01'!$A$3:$Z$176,3,0)</f>
        <v>27.15217637711865</v>
      </c>
      <c r="AC7" s="24">
        <f>VLOOKUP(SUM!$A7,'SP01'!$A$3:$Z$176,4,0)</f>
        <v>18.011921794616317</v>
      </c>
      <c r="AD7" s="25">
        <f>VLOOKUP(SUM!$A7,'SP01'!$A$3:$Z$176,5,0)*32/1000</f>
        <v>7.068196857344633</v>
      </c>
      <c r="AE7" s="24">
        <f>VLOOKUP(SUM!$A7,'SP01'!$A$3:$Z$176,6,0)*100</f>
        <v>96.557650693653414</v>
      </c>
      <c r="AF7" s="25">
        <f>VLOOKUP(SUM!$A7,'SP01'!$A$3:$Z$176,7,0)</f>
        <v>1.4977471751412434</v>
      </c>
      <c r="AG7" s="25">
        <f>VLOOKUP(SUM!$A7,'SP01'!$A$3:$Z$176,8,0)</f>
        <v>13.048155896892657</v>
      </c>
      <c r="AH7" s="25">
        <f>VLOOKUP(SUM!$A7,'SP01'!$A$3:$Z$176,9,0)</f>
        <v>1.0126419491525427</v>
      </c>
      <c r="AJ7" s="22">
        <v>2.969104366666667</v>
      </c>
      <c r="AK7" s="22">
        <v>1.7823869378244872E-2</v>
      </c>
      <c r="AL7" s="22">
        <v>0.27858623333333332</v>
      </c>
      <c r="AM7" s="23">
        <v>6.2648042745012192E-2</v>
      </c>
      <c r="AN7" s="22">
        <v>0.10487432028991102</v>
      </c>
      <c r="AO7" s="22">
        <f>SUM(Raw!AL7:AN7)</f>
        <v>0.4461085963682565</v>
      </c>
      <c r="AQ7" s="3">
        <v>0.57215787985368238</v>
      </c>
      <c r="AR7" s="4">
        <v>0.2115114751017533</v>
      </c>
      <c r="AS7" s="4">
        <v>-5.2999999999999999E-2</v>
      </c>
      <c r="AT7" s="26">
        <v>-0.311</v>
      </c>
      <c r="AU7" s="25">
        <v>7.8E-2</v>
      </c>
      <c r="AV7" s="24">
        <v>15.02</v>
      </c>
      <c r="AW7" s="187">
        <v>206.63310121290431</v>
      </c>
      <c r="AX7" s="188">
        <v>10.943509009818911</v>
      </c>
      <c r="AY7" s="163">
        <f t="shared" si="1"/>
        <v>220.88115179201978</v>
      </c>
      <c r="AZ7" s="163"/>
      <c r="BA7" s="4">
        <f t="shared" si="2"/>
        <v>0.97009068427937772</v>
      </c>
      <c r="BB7" s="328">
        <f>BA7/SUM!I7</f>
        <v>2.1150344629129929</v>
      </c>
    </row>
    <row r="8" spans="1:55">
      <c r="A8" s="92">
        <v>41403</v>
      </c>
      <c r="B8" s="2" t="s">
        <v>0</v>
      </c>
      <c r="C8" s="76">
        <v>1.1000000000000001</v>
      </c>
      <c r="D8" s="8">
        <f t="shared" si="0"/>
        <v>3.75</v>
      </c>
      <c r="E8" s="144">
        <f>[2]SUM!$N8</f>
        <v>0.59086299999999981</v>
      </c>
      <c r="F8" s="4">
        <v>2.2759999999999998</v>
      </c>
      <c r="G8" s="320">
        <f>[3]SP01!$R8</f>
        <v>5.9467616666666672</v>
      </c>
      <c r="H8" s="321">
        <v>21.496333333333336</v>
      </c>
      <c r="I8" s="321">
        <v>24.1983</v>
      </c>
      <c r="J8" s="25">
        <f>VLOOKUP(SUM!A8,'SP01'!$A$3:$AD$176,28,0)</f>
        <v>1.1634877993392008</v>
      </c>
      <c r="K8" s="24">
        <v>13.408299999999999</v>
      </c>
      <c r="M8" s="4">
        <v>21.470500000000001</v>
      </c>
      <c r="N8" s="3">
        <v>24.148800000000001</v>
      </c>
      <c r="O8" s="3">
        <v>16.1343</v>
      </c>
      <c r="P8" s="3">
        <v>7.0434200000000002</v>
      </c>
      <c r="Q8" s="3">
        <v>91.802980000000005</v>
      </c>
      <c r="R8" s="4">
        <v>0.94599999999999995</v>
      </c>
      <c r="S8" s="4">
        <v>0.64596960000000003</v>
      </c>
      <c r="T8" s="4">
        <v>1.3696999999999999</v>
      </c>
      <c r="U8" s="4">
        <v>0.33564153853693401</v>
      </c>
      <c r="V8" s="24">
        <v>0.06</v>
      </c>
      <c r="W8" s="3">
        <v>0.10339999999999705</v>
      </c>
      <c r="X8" t="e">
        <f>NA()</f>
        <v>#N/A</v>
      </c>
      <c r="Y8" s="4">
        <f>[2]SUM!$V8*32/1000</f>
        <v>7.47030636897781</v>
      </c>
      <c r="AA8" s="24">
        <f>VLOOKUP(SUM!$A8,'SP01'!$A$3:$Z$176,2,0)</f>
        <v>23.421039153898647</v>
      </c>
      <c r="AB8" s="24">
        <f>VLOOKUP(SUM!$A8,'SP01'!$A$3:$Z$176,3,0)</f>
        <v>23.575590541417132</v>
      </c>
      <c r="AC8" s="24">
        <f>VLOOKUP(SUM!$A8,'SP01'!$A$3:$Z$176,4,0)</f>
        <v>15.218978990233197</v>
      </c>
      <c r="AD8" s="25">
        <f>VLOOKUP(SUM!$A8,'SP01'!$A$3:$Z$176,5,0)*32/1000</f>
        <v>8.3659289082519663</v>
      </c>
      <c r="AE8" s="24">
        <f>VLOOKUP(SUM!$A8,'SP01'!$A$3:$Z$176,6,0)*100</f>
        <v>112.81014735654342</v>
      </c>
      <c r="AF8" s="25">
        <f>VLOOKUP(SUM!$A8,'SP01'!$A$3:$Z$176,7,0)</f>
        <v>0.98795611064762756</v>
      </c>
      <c r="AG8" s="25">
        <f>VLOOKUP(SUM!$A8,'SP01'!$A$3:$Z$176,8,0)</f>
        <v>17.105841820027386</v>
      </c>
      <c r="AH8" s="25">
        <f>VLOOKUP(SUM!$A8,'SP01'!$A$3:$Z$176,9,0)</f>
        <v>0.86443116169288015</v>
      </c>
      <c r="AJ8" s="22">
        <v>3.4019916000000001</v>
      </c>
      <c r="AK8" s="22">
        <v>1.7793921031634418E-2</v>
      </c>
      <c r="AL8" s="22">
        <v>0.31535746666666664</v>
      </c>
      <c r="AM8" s="23">
        <v>3.8764384556594957E-2</v>
      </c>
      <c r="AN8" s="22">
        <v>7.5517314780817552E-2</v>
      </c>
      <c r="AO8" s="22">
        <f>SUM(Raw!AL8:AN8)</f>
        <v>0.42963916600407914</v>
      </c>
      <c r="AQ8" s="3">
        <v>0.3647529787988692</v>
      </c>
      <c r="AR8" s="4">
        <v>0.14941261995035121</v>
      </c>
      <c r="AS8" s="4">
        <v>-5.2999999999999999E-2</v>
      </c>
      <c r="AT8" s="26">
        <v>-0.23799999999999999</v>
      </c>
      <c r="AU8" s="25">
        <v>8.8999999999999996E-2</v>
      </c>
      <c r="AV8" s="24">
        <v>24.35</v>
      </c>
      <c r="AW8" s="187" t="e">
        <v>#N/A</v>
      </c>
      <c r="AX8" s="188" t="e">
        <f>NA()</f>
        <v>#N/A</v>
      </c>
      <c r="AY8" s="163">
        <f t="shared" si="1"/>
        <v>261.43527838287395</v>
      </c>
      <c r="AZ8" s="163"/>
      <c r="BA8" s="4">
        <f t="shared" si="2"/>
        <v>0.96474397761440556</v>
      </c>
      <c r="BB8" s="328">
        <f>BA8/SUM!I8</f>
        <v>2.3820778178887139</v>
      </c>
    </row>
    <row r="9" spans="1:55">
      <c r="A9" s="92">
        <v>41409</v>
      </c>
      <c r="B9" s="2" t="s">
        <v>0</v>
      </c>
      <c r="C9" s="3">
        <v>1</v>
      </c>
      <c r="D9" s="8">
        <f t="shared" si="0"/>
        <v>3.6</v>
      </c>
      <c r="E9" s="144">
        <f>[2]SUM!$N9</f>
        <v>0.63564428571428566</v>
      </c>
      <c r="F9" s="4">
        <v>2.9717647058823529</v>
      </c>
      <c r="G9" s="320">
        <f>[3]SP01!$R12</f>
        <v>4.1847362499999994</v>
      </c>
      <c r="H9" s="321">
        <v>22.279499999999999</v>
      </c>
      <c r="I9" s="321">
        <v>21.765250000000002</v>
      </c>
      <c r="J9" s="25">
        <f>VLOOKUP(SUM!A9,'SP01'!$A$3:$AD$176,28,0)</f>
        <v>1.0584153913989269</v>
      </c>
      <c r="K9" s="24">
        <v>13.541699999999999</v>
      </c>
      <c r="M9" s="4">
        <v>21.826899999999998</v>
      </c>
      <c r="N9" s="3">
        <v>20.705100000000002</v>
      </c>
      <c r="O9" s="3">
        <v>13.439500000000001</v>
      </c>
      <c r="P9" s="3">
        <v>7.1847500000000002</v>
      </c>
      <c r="Q9" s="3">
        <v>92.395300000000006</v>
      </c>
      <c r="R9" s="4">
        <v>1.2074</v>
      </c>
      <c r="S9" s="4">
        <v>0.67170160000000001</v>
      </c>
      <c r="T9" s="4">
        <v>1.6176999999999999</v>
      </c>
      <c r="U9" s="4">
        <v>0.36351517093795477</v>
      </c>
      <c r="V9" s="24">
        <v>1.79</v>
      </c>
      <c r="W9" s="3">
        <v>2.716899999999999</v>
      </c>
      <c r="X9" t="e">
        <f>NA()</f>
        <v>#N/A</v>
      </c>
      <c r="Y9" s="4">
        <f>[2]SUM!$V9*32/1000</f>
        <v>7.1691662179774491</v>
      </c>
      <c r="AA9" s="24">
        <f>VLOOKUP(SUM!$A9,'SP01'!$A$3:$Z$176,2,0)</f>
        <v>24.002721816311134</v>
      </c>
      <c r="AB9" s="24">
        <f>VLOOKUP(SUM!$A9,'SP01'!$A$3:$Z$176,3,0)</f>
        <v>22.79996597262809</v>
      </c>
      <c r="AC9" s="24">
        <f>VLOOKUP(SUM!$A9,'SP01'!$A$3:$Z$176,4,0)</f>
        <v>14.475660858202213</v>
      </c>
      <c r="AD9" s="25">
        <f>VLOOKUP(SUM!$A9,'SP01'!$A$3:$Z$176,5,0)*32/1000</f>
        <v>7.9339728143872961</v>
      </c>
      <c r="AE9" s="24">
        <f>VLOOKUP(SUM!$A9,'SP01'!$A$3:$Z$176,6,0)*100</f>
        <v>107.52391338791986</v>
      </c>
      <c r="AF9" s="25">
        <f>VLOOKUP(SUM!$A9,'SP01'!$A$3:$Z$176,7,0)</f>
        <v>1.2089134017631005</v>
      </c>
      <c r="AG9" s="25">
        <f>VLOOKUP(SUM!$A9,'SP01'!$A$3:$Z$176,8,0)</f>
        <v>16.060657988992794</v>
      </c>
      <c r="AH9" s="25">
        <f>VLOOKUP(SUM!$A9,'SP01'!$A$3:$Z$176,9,0)</f>
        <v>0.79866065020455868</v>
      </c>
      <c r="AJ9" s="22">
        <v>2.9396259666666675</v>
      </c>
      <c r="AK9" s="22">
        <v>1.818215621403434E-2</v>
      </c>
      <c r="AL9" s="22">
        <v>0.26591973333333335</v>
      </c>
      <c r="AM9" s="23">
        <v>7.3241973745005143E-2</v>
      </c>
      <c r="AN9" s="22">
        <v>9.0639271601326746E-2</v>
      </c>
      <c r="AO9" s="22">
        <f>SUM(Raw!AL9:AN9)</f>
        <v>0.42980097867966521</v>
      </c>
      <c r="AQ9" s="3">
        <v>0.62859574056972145</v>
      </c>
      <c r="AR9" s="4">
        <v>0.20092578028780947</v>
      </c>
      <c r="AS9" s="4">
        <v>-5.8000000000000003E-2</v>
      </c>
      <c r="AT9" s="26">
        <v>-0.29599999999999999</v>
      </c>
      <c r="AU9" s="25">
        <v>8.3000000000000004E-2</v>
      </c>
      <c r="AV9" s="24">
        <v>31.71</v>
      </c>
      <c r="AW9" s="187">
        <v>205.8970535951903</v>
      </c>
      <c r="AX9" s="188">
        <v>9.8240311420980291</v>
      </c>
      <c r="AY9" s="163">
        <f t="shared" si="1"/>
        <v>247.93665044960301</v>
      </c>
      <c r="AZ9" s="163"/>
      <c r="BA9" s="4">
        <f t="shared" si="2"/>
        <v>0.96917716620251548</v>
      </c>
      <c r="BB9" s="328">
        <f>BA9/SUM!I9</f>
        <v>1.8038018531087399</v>
      </c>
    </row>
    <row r="10" spans="1:55">
      <c r="A10" s="92">
        <v>41416</v>
      </c>
      <c r="B10" s="2" t="s">
        <v>0</v>
      </c>
      <c r="C10" s="3">
        <v>1.3</v>
      </c>
      <c r="D10" s="8">
        <f t="shared" si="0"/>
        <v>4.75</v>
      </c>
      <c r="E10" s="144">
        <f>[2]SUM!$N10</f>
        <v>0.40726980769230769</v>
      </c>
      <c r="F10" s="4">
        <v>1.94</v>
      </c>
      <c r="G10" s="320">
        <f>[3]SP01!$R17</f>
        <v>2.4796009999999997</v>
      </c>
      <c r="H10" s="321">
        <v>26.64696</v>
      </c>
      <c r="I10" s="321">
        <v>24.61692</v>
      </c>
      <c r="J10" s="25">
        <f>VLOOKUP(SUM!A10,'SP01'!$A$3:$AD$176,28,0)</f>
        <v>1.03340329810738</v>
      </c>
      <c r="K10" s="24">
        <v>13.675000000000001</v>
      </c>
      <c r="M10" s="4">
        <v>26.5304</v>
      </c>
      <c r="N10" s="3">
        <v>24.341200000000001</v>
      </c>
      <c r="O10" s="3">
        <v>14.8553</v>
      </c>
      <c r="P10" s="3">
        <v>5.9648500000000002</v>
      </c>
      <c r="Q10" s="3">
        <v>85.124480000000005</v>
      </c>
      <c r="R10" s="4">
        <v>0.89870000000000005</v>
      </c>
      <c r="S10" s="4">
        <v>0.45144859999999998</v>
      </c>
      <c r="T10" s="4">
        <v>0.83933999999999997</v>
      </c>
      <c r="U10" s="4">
        <v>0.40214574226553229</v>
      </c>
      <c r="V10" s="24">
        <v>0.42</v>
      </c>
      <c r="W10" s="3">
        <v>0.67340000000000089</v>
      </c>
      <c r="X10" t="e">
        <f>NA()</f>
        <v>#N/A</v>
      </c>
      <c r="Y10" s="4">
        <f>[2]SUM!$V10*32/1000</f>
        <v>6.7752366942743114</v>
      </c>
      <c r="AA10" s="24">
        <f>VLOOKUP(SUM!$A10,'SP01'!$A$3:$Z$176,2,0)</f>
        <v>27.48360989991534</v>
      </c>
      <c r="AB10" s="24">
        <f>VLOOKUP(SUM!$A10,'SP01'!$A$3:$Z$176,3,0)</f>
        <v>24.229914346720417</v>
      </c>
      <c r="AC10" s="24">
        <f>VLOOKUP(SUM!$A10,'SP01'!$A$3:$Z$176,4,0)</f>
        <v>14.524345016582471</v>
      </c>
      <c r="AD10" s="25">
        <f>VLOOKUP(SUM!$A10,'SP01'!$A$3:$Z$176,5,0)*32/1000</f>
        <v>7.7068522912722912</v>
      </c>
      <c r="AE10" s="24">
        <f>VLOOKUP(SUM!$A10,'SP01'!$A$3:$Z$176,6,0)*100</f>
        <v>111.88965260015709</v>
      </c>
      <c r="AF10" s="25">
        <f>VLOOKUP(SUM!$A10,'SP01'!$A$3:$Z$176,7,0)</f>
        <v>1.0220045269074192</v>
      </c>
      <c r="AG10" s="25">
        <f>VLOOKUP(SUM!$A10,'SP01'!$A$3:$Z$176,8,0)</f>
        <v>11.514361405368449</v>
      </c>
      <c r="AH10" s="25">
        <f>VLOOKUP(SUM!$A10,'SP01'!$A$3:$Z$176,9,0)</f>
        <v>0.60049252773463069</v>
      </c>
      <c r="AJ10" s="22">
        <v>2.3308279166666668</v>
      </c>
      <c r="AK10" s="22">
        <v>1.8375712695308809E-2</v>
      </c>
      <c r="AL10" s="22">
        <v>0.20642556666666664</v>
      </c>
      <c r="AM10" s="23">
        <v>2.9024648862834276E-2</v>
      </c>
      <c r="AN10" s="22">
        <v>4.8183038266027378E-2</v>
      </c>
      <c r="AO10" s="22">
        <f>SUM(Raw!AL10:AN10)</f>
        <v>0.28363325379552828</v>
      </c>
      <c r="AQ10" s="3">
        <v>0.35244360217565152</v>
      </c>
      <c r="AR10" s="4">
        <v>0.18304526663481313</v>
      </c>
      <c r="AS10" s="4">
        <v>-0.06</v>
      </c>
      <c r="AT10" s="26">
        <v>-0.38800000000000001</v>
      </c>
      <c r="AU10" s="25">
        <v>6.8000000000000005E-2</v>
      </c>
      <c r="AV10" s="24">
        <v>6.89</v>
      </c>
      <c r="AW10" s="187">
        <v>194.73366472652833</v>
      </c>
      <c r="AX10" s="188">
        <v>12.137550640627042</v>
      </c>
      <c r="AY10" s="163">
        <f t="shared" si="1"/>
        <v>240.8391341022591</v>
      </c>
      <c r="AZ10" s="163"/>
      <c r="BA10" s="4">
        <f t="shared" si="2"/>
        <v>0.96763607743149083</v>
      </c>
      <c r="BB10" s="328">
        <f>BA10/SUM!I10</f>
        <v>1.0676535414087007</v>
      </c>
    </row>
    <row r="11" spans="1:55">
      <c r="A11" s="92">
        <v>41423</v>
      </c>
      <c r="B11" s="2" t="s">
        <v>0</v>
      </c>
      <c r="C11" s="3">
        <v>1.4</v>
      </c>
      <c r="D11" s="8">
        <f t="shared" si="0"/>
        <v>2.75</v>
      </c>
      <c r="E11" s="144">
        <f>[2]SUM!$N11</f>
        <v>0.65302702702702708</v>
      </c>
      <c r="F11" s="4">
        <v>1.9506000000000001</v>
      </c>
      <c r="G11" s="320">
        <f>[3]SP01!$R23</f>
        <v>2.507568333333333</v>
      </c>
      <c r="H11" s="321">
        <v>26.027899999999999</v>
      </c>
      <c r="I11" s="321">
        <v>27.674299999999999</v>
      </c>
      <c r="J11" s="25">
        <f>VLOOKUP(SUM!A11,'SP01'!$A$3:$AD$176,28,0)</f>
        <v>1.0965878246435994</v>
      </c>
      <c r="K11" s="24">
        <v>13.791599999999999</v>
      </c>
      <c r="M11" s="4">
        <v>26.026299999999999</v>
      </c>
      <c r="N11" s="3">
        <v>27.673999999999999</v>
      </c>
      <c r="O11" s="3">
        <v>17.5092</v>
      </c>
      <c r="P11" s="3">
        <v>5.9409900000000002</v>
      </c>
      <c r="Q11" s="3">
        <v>85.656710000000004</v>
      </c>
      <c r="R11" s="4">
        <v>0.86750000000000005</v>
      </c>
      <c r="S11" s="4">
        <v>1.0415487999999999</v>
      </c>
      <c r="T11" s="4">
        <v>0.73102</v>
      </c>
      <c r="U11" s="4">
        <v>0.42199281027630753</v>
      </c>
      <c r="V11" s="24">
        <v>0</v>
      </c>
      <c r="W11" s="3">
        <v>8.0000000000168825E-4</v>
      </c>
      <c r="X11" t="e">
        <f>NA()</f>
        <v>#N/A</v>
      </c>
      <c r="Y11" s="4">
        <f>[2]SUM!$V11*32/1000</f>
        <v>6.7752366942743114</v>
      </c>
      <c r="AA11" s="24">
        <f>VLOOKUP(SUM!$A11,'SP01'!$A$3:$Z$176,2,0)</f>
        <v>26.792171592514126</v>
      </c>
      <c r="AB11" s="24">
        <f>VLOOKUP(SUM!$A11,'SP01'!$A$3:$Z$176,3,0)</f>
        <v>27.463314265536713</v>
      </c>
      <c r="AC11" s="24">
        <f>VLOOKUP(SUM!$A11,'SP01'!$A$3:$Z$176,4,0)</f>
        <v>17.161704721347629</v>
      </c>
      <c r="AD11" s="25">
        <f>VLOOKUP(SUM!$A11,'SP01'!$A$3:$Z$176,5,0)*32/1000</f>
        <v>7.0184299081920898</v>
      </c>
      <c r="AE11" s="24">
        <f>VLOOKUP(SUM!$A11,'SP01'!$A$3:$Z$176,6,0)*100</f>
        <v>102.52736142571477</v>
      </c>
      <c r="AF11" s="25">
        <f>VLOOKUP(SUM!$A11,'SP01'!$A$3:$Z$176,7,0)</f>
        <v>0.99318679378531094</v>
      </c>
      <c r="AG11" s="25">
        <f>VLOOKUP(SUM!$A11,'SP01'!$A$3:$Z$176,8,0)</f>
        <v>10.008929201977397</v>
      </c>
      <c r="AH11" s="25">
        <f>VLOOKUP(SUM!$A11,'SP01'!$A$3:$Z$176,9,0)</f>
        <v>0.95411970338983032</v>
      </c>
      <c r="AJ11" s="22">
        <v>1.8377939999999999</v>
      </c>
      <c r="AK11" s="22">
        <v>1.7728993309990761E-2</v>
      </c>
      <c r="AL11" s="22">
        <v>0.17664009999999999</v>
      </c>
      <c r="AM11" s="23">
        <v>8.1690211387550449E-2</v>
      </c>
      <c r="AN11" s="22">
        <v>8.9218750141358077E-2</v>
      </c>
      <c r="AO11" s="22">
        <f>SUM(Raw!AL11:AN11)</f>
        <v>0.34754906152890852</v>
      </c>
      <c r="AQ11" s="3">
        <v>0.75071252613255635</v>
      </c>
      <c r="AR11" s="4">
        <v>0.15434842583039285</v>
      </c>
      <c r="AS11" s="4">
        <v>-4.9000000000000002E-2</v>
      </c>
      <c r="AT11" s="26">
        <v>-0.29399999999999998</v>
      </c>
      <c r="AU11" s="25">
        <v>7.3999999999999996E-2</v>
      </c>
      <c r="AV11" s="24">
        <v>12.76</v>
      </c>
      <c r="AW11" s="187">
        <v>246.13432336355453</v>
      </c>
      <c r="AX11" s="188">
        <v>9.3521344496828434</v>
      </c>
      <c r="AY11" s="163">
        <f t="shared" si="1"/>
        <v>219.32593463100281</v>
      </c>
      <c r="AZ11" s="163"/>
      <c r="BA11" s="4">
        <f t="shared" si="2"/>
        <v>0.96516786993349557</v>
      </c>
      <c r="BB11" s="328">
        <f>BA11/SUM!I11</f>
        <v>1.6663155227883373</v>
      </c>
    </row>
    <row r="12" spans="1:55">
      <c r="A12" s="92">
        <v>41430</v>
      </c>
      <c r="B12" s="2" t="s">
        <v>0</v>
      </c>
      <c r="C12" s="3">
        <v>1.3</v>
      </c>
      <c r="D12" s="8">
        <f t="shared" si="0"/>
        <v>4</v>
      </c>
      <c r="E12" s="144">
        <f>[2]SUM!$N12</f>
        <v>0.59730100000000019</v>
      </c>
      <c r="F12" s="88">
        <f>AVERAGE(F11,F13)</f>
        <v>2.5312999999999999</v>
      </c>
      <c r="G12" s="320">
        <f>[3]SP01!$R27</f>
        <v>1.18197375</v>
      </c>
      <c r="H12" s="321">
        <v>28.265800000000002</v>
      </c>
      <c r="I12" s="321">
        <v>25.30255</v>
      </c>
      <c r="J12" s="25">
        <f>VLOOKUP(SUM!A12,'SP01'!$A$3:$AD$176,28,0)</f>
        <v>1.0873004322166113</v>
      </c>
      <c r="K12" s="24">
        <v>13.875</v>
      </c>
      <c r="M12" s="4">
        <v>28.248799999999999</v>
      </c>
      <c r="N12" s="3">
        <v>25.2652</v>
      </c>
      <c r="O12" s="3">
        <v>15.015000000000001</v>
      </c>
      <c r="P12" s="3">
        <v>6.3838499999999998</v>
      </c>
      <c r="Q12" s="3">
        <v>94.275970000000001</v>
      </c>
      <c r="R12" s="4">
        <v>0.30790000000000001</v>
      </c>
      <c r="S12" s="8">
        <v>0.56481250000000005</v>
      </c>
      <c r="T12" s="4">
        <v>0.88160000000000005</v>
      </c>
      <c r="U12" s="4">
        <v>0.60256997734839679</v>
      </c>
      <c r="V12" s="24">
        <v>0.11</v>
      </c>
      <c r="W12" s="3">
        <v>0.1355000000000004</v>
      </c>
      <c r="X12" t="e">
        <f>NA()</f>
        <v>#N/A</v>
      </c>
      <c r="Y12" s="4">
        <f>[2]SUM!$V12*32/1000</f>
        <v>6.8524119037739144</v>
      </c>
      <c r="AA12" s="24">
        <f>VLOOKUP(SUM!$A12,'SP01'!$A$3:$Z$176,2,0)</f>
        <v>28.686640453444195</v>
      </c>
      <c r="AB12" s="24">
        <f>VLOOKUP(SUM!$A12,'SP01'!$A$3:$Z$176,3,0)</f>
        <v>26.920201829286579</v>
      </c>
      <c r="AC12" s="24">
        <f>VLOOKUP(SUM!$A12,'SP01'!$A$3:$Z$176,4,0)</f>
        <v>16.157520288568627</v>
      </c>
      <c r="AD12" s="25">
        <f>VLOOKUP(SUM!$A12,'SP01'!$A$3:$Z$176,5,0)*32/1000</f>
        <v>6.9484893599028039</v>
      </c>
      <c r="AE12" s="24">
        <f>VLOOKUP(SUM!$A12,'SP01'!$A$3:$Z$176,6,0)*100</f>
        <v>104.44712853949942</v>
      </c>
      <c r="AF12" s="25">
        <f>VLOOKUP(SUM!$A12,'SP01'!$A$3:$Z$176,7,0)</f>
        <v>0.89973297159886678</v>
      </c>
      <c r="AG12" s="25">
        <f>VLOOKUP(SUM!$A12,'SP01'!$A$3:$Z$176,8,0)</f>
        <v>10.698709930475333</v>
      </c>
      <c r="AH12" s="25">
        <f>VLOOKUP(SUM!$A12,'SP01'!$A$3:$Z$176,9,0)</f>
        <v>0.58796608533548533</v>
      </c>
      <c r="AJ12" s="22">
        <v>2.1406385000000001</v>
      </c>
      <c r="AK12" s="22">
        <v>1.8131936888418215E-2</v>
      </c>
      <c r="AL12" s="22">
        <v>0.19951656666666667</v>
      </c>
      <c r="AM12" s="23">
        <v>7.3372226689450967E-2</v>
      </c>
      <c r="AN12" s="22">
        <v>0.11453403450645026</v>
      </c>
      <c r="AO12" s="22">
        <f>SUM(Raw!AL12:AN12)</f>
        <v>0.38742282786256793</v>
      </c>
      <c r="AQ12" s="3">
        <v>0.7307177615140138</v>
      </c>
      <c r="AR12" s="78">
        <v>0.14003467860460331</v>
      </c>
      <c r="AS12" s="4">
        <v>-0.05</v>
      </c>
      <c r="AT12" s="205">
        <v>-0.17899999999999999</v>
      </c>
      <c r="AU12" s="78">
        <v>8.2000000000000003E-2</v>
      </c>
      <c r="AV12" s="153">
        <v>24.68</v>
      </c>
      <c r="AW12" s="187">
        <v>121.39878708162554</v>
      </c>
      <c r="AX12" s="188">
        <v>5.7424311791302909</v>
      </c>
      <c r="AY12" s="163">
        <f t="shared" si="1"/>
        <v>217.14029249696262</v>
      </c>
      <c r="AZ12" s="163"/>
      <c r="BA12" s="4">
        <f t="shared" si="2"/>
        <v>0.96393910274343497</v>
      </c>
      <c r="BB12" s="328">
        <f>BA12/SUM!I12</f>
        <v>1.2872816948022039</v>
      </c>
    </row>
    <row r="13" spans="1:55">
      <c r="A13" s="92">
        <v>41437</v>
      </c>
      <c r="B13" s="2" t="s">
        <v>0</v>
      </c>
      <c r="C13" s="3">
        <v>1.1000000000000001</v>
      </c>
      <c r="D13" s="8">
        <f t="shared" si="0"/>
        <v>3</v>
      </c>
      <c r="E13" s="144">
        <f>[2]SUM!$N13</f>
        <v>0.62482708333333348</v>
      </c>
      <c r="F13" s="4">
        <v>3.1120000000000001</v>
      </c>
      <c r="G13" s="320">
        <f>[3]SP01!$R33</f>
        <v>2.2859833333333328</v>
      </c>
      <c r="H13" s="321">
        <v>27.6571</v>
      </c>
      <c r="I13" s="321">
        <v>24.835633333333334</v>
      </c>
      <c r="J13" s="25">
        <f>VLOOKUP(SUM!A13,'SP01'!$A$3:$AD$176,28,0)</f>
        <v>1.0852821929534473</v>
      </c>
      <c r="K13" s="24">
        <v>13.933400000000002</v>
      </c>
      <c r="M13" s="4">
        <v>27.415600000000001</v>
      </c>
      <c r="N13" s="3">
        <v>24.479900000000001</v>
      </c>
      <c r="O13" s="3">
        <v>14.6882</v>
      </c>
      <c r="P13" s="3">
        <v>5.9485599999999996</v>
      </c>
      <c r="Q13" s="3">
        <v>86.250140000000002</v>
      </c>
      <c r="R13" s="4">
        <v>0.85309999999999997</v>
      </c>
      <c r="S13" s="4">
        <v>0.70867559999999996</v>
      </c>
      <c r="T13" s="4">
        <v>0.86036000000000001</v>
      </c>
      <c r="U13" s="4">
        <v>0.33273435612671265</v>
      </c>
      <c r="V13" s="24">
        <v>0.46</v>
      </c>
      <c r="W13" s="3">
        <v>0.81830000000000069</v>
      </c>
      <c r="X13" t="e">
        <f>NA()</f>
        <v>#N/A</v>
      </c>
      <c r="Y13" s="4">
        <f>[2]SUM!$V13*32/1000</f>
        <v>6.5804519365418495</v>
      </c>
      <c r="AA13" s="24">
        <f>VLOOKUP(SUM!$A13,'SP01'!$A$3:$Z$176,2,0)</f>
        <v>29.21309856233049</v>
      </c>
      <c r="AB13" s="24">
        <f>VLOOKUP(SUM!$A13,'SP01'!$A$3:$Z$176,3,0)</f>
        <v>24.083331997309738</v>
      </c>
      <c r="AC13" s="24">
        <f>VLOOKUP(SUM!$A13,'SP01'!$A$3:$Z$176,4,0)</f>
        <v>13.866575806312278</v>
      </c>
      <c r="AD13" s="25">
        <f>VLOOKUP(SUM!$A13,'SP01'!$A$3:$Z$176,5,0)*32/1000</f>
        <v>7.3867445709002011</v>
      </c>
      <c r="AE13" s="24">
        <f>VLOOKUP(SUM!$A13,'SP01'!$A$3:$Z$176,6,0)*100</f>
        <v>110.21636274748067</v>
      </c>
      <c r="AF13" s="25">
        <f>VLOOKUP(SUM!$A13,'SP01'!$A$3:$Z$176,7,0)</f>
        <v>1.1705264298528193</v>
      </c>
      <c r="AG13" s="25">
        <f>VLOOKUP(SUM!$A13,'SP01'!$A$3:$Z$176,8,0)</f>
        <v>11.822657097068998</v>
      </c>
      <c r="AH13" s="25">
        <f>VLOOKUP(SUM!$A13,'SP01'!$A$3:$Z$176,9,0)</f>
        <v>1.2533454076513388</v>
      </c>
      <c r="AJ13" s="22">
        <v>2.0322439666666665</v>
      </c>
      <c r="AK13" s="22">
        <v>1.8393034321237511E-2</v>
      </c>
      <c r="AL13" s="22">
        <v>0.17180380000000001</v>
      </c>
      <c r="AM13" s="23">
        <v>6.2065222392168169E-2</v>
      </c>
      <c r="AN13" s="22">
        <v>0.11024220619674274</v>
      </c>
      <c r="AO13" s="22">
        <f>SUM(Raw!AL13:AN13)</f>
        <v>0.34411122858891091</v>
      </c>
      <c r="AQ13" s="3">
        <v>1.2796649355867304</v>
      </c>
      <c r="AR13" s="4">
        <v>0.12909933134514917</v>
      </c>
      <c r="AS13" s="4">
        <v>-2.9000000000000001E-2</v>
      </c>
      <c r="AT13" s="26">
        <v>0.76700000000000002</v>
      </c>
      <c r="AU13" s="4">
        <v>0.159</v>
      </c>
      <c r="AV13" s="3">
        <v>27.297999999999998</v>
      </c>
      <c r="AW13" s="187">
        <v>201.87332661835393</v>
      </c>
      <c r="AX13" s="188">
        <v>11.983316007391775</v>
      </c>
      <c r="AY13" s="163">
        <f t="shared" si="1"/>
        <v>230.83576784063129</v>
      </c>
      <c r="AZ13" s="163"/>
      <c r="BA13" s="4">
        <f t="shared" si="2"/>
        <v>0.96300140933511991</v>
      </c>
      <c r="BB13" s="328">
        <f>BA13/SUM!I13</f>
        <v>0.94142438763281733</v>
      </c>
    </row>
    <row r="14" spans="1:55">
      <c r="A14" s="92">
        <v>41444</v>
      </c>
      <c r="B14" s="2" t="s">
        <v>0</v>
      </c>
      <c r="C14" s="3">
        <v>1.2</v>
      </c>
      <c r="D14" s="8">
        <f t="shared" si="0"/>
        <v>3</v>
      </c>
      <c r="E14" s="144">
        <f>[2]SUM!$N14</f>
        <v>0.50620118367346945</v>
      </c>
      <c r="F14" s="4">
        <v>3.9075000000000002</v>
      </c>
      <c r="G14" s="320">
        <f>[3]SP01!$R37</f>
        <v>12.861358749999999</v>
      </c>
      <c r="H14" s="321">
        <v>28.511899999999997</v>
      </c>
      <c r="I14" s="321">
        <v>25.466700000000003</v>
      </c>
      <c r="J14" s="25">
        <f>VLOOKUP(SUM!A14,'SP01'!$A$3:$AD$176,28,0)</f>
        <v>1.1300144573099722</v>
      </c>
      <c r="K14" s="24">
        <v>13.958299999999998</v>
      </c>
      <c r="M14" s="4">
        <v>28.5259</v>
      </c>
      <c r="N14" s="3">
        <v>25.425699999999999</v>
      </c>
      <c r="O14" s="3">
        <v>15.0463</v>
      </c>
      <c r="P14" s="3">
        <v>6.3323799999999997</v>
      </c>
      <c r="Q14" s="3">
        <v>94.031289999999998</v>
      </c>
      <c r="R14" s="4">
        <v>1.1000000000000001</v>
      </c>
      <c r="S14" s="4">
        <v>2.2999999999999998</v>
      </c>
      <c r="T14" s="4">
        <v>0.41539999999999999</v>
      </c>
      <c r="U14" s="4">
        <v>0.99205312417051184</v>
      </c>
      <c r="V14" s="24">
        <v>0.13</v>
      </c>
      <c r="W14" s="3">
        <v>0.17340000000000089</v>
      </c>
      <c r="X14" t="e">
        <f>NA()</f>
        <v>#N/A</v>
      </c>
      <c r="Y14" s="4">
        <f>[2]SUM!$V14*32/1000</f>
        <v>6.7110729061094627</v>
      </c>
      <c r="AA14" s="24">
        <f>VLOOKUP(SUM!$A14,'SP01'!$A$3:$Z$176,2,0)</f>
        <v>29.419344773002095</v>
      </c>
      <c r="AB14" s="24">
        <f>VLOOKUP(SUM!$A14,'SP01'!$A$3:$Z$176,3,0)</f>
        <v>25.225603408102547</v>
      </c>
      <c r="AC14" s="24">
        <f>VLOOKUP(SUM!$A14,'SP01'!$A$3:$Z$176,4,0)</f>
        <v>14.654134467531142</v>
      </c>
      <c r="AD14" s="25">
        <f>VLOOKUP(SUM!$A14,'SP01'!$A$3:$Z$176,5,0)*32/1000</f>
        <v>7.5918389381561786</v>
      </c>
      <c r="AE14" s="24">
        <f>VLOOKUP(SUM!$A14,'SP01'!$A$3:$Z$176,6,0)*100</f>
        <v>114.34942942592301</v>
      </c>
      <c r="AF14" s="25">
        <f>VLOOKUP(SUM!$A14,'SP01'!$A$3:$Z$176,7,0)</f>
        <v>1.5772794384349671</v>
      </c>
      <c r="AG14" s="25">
        <f>VLOOKUP(SUM!$A14,'SP01'!$A$3:$Z$176,8,0)</f>
        <v>10.940790385726658</v>
      </c>
      <c r="AH14" s="25">
        <f>VLOOKUP(SUM!$A14,'SP01'!$A$3:$Z$176,9,0)</f>
        <v>0.78663378149176078</v>
      </c>
      <c r="AJ14" s="22">
        <v>1.9825759333333335</v>
      </c>
      <c r="AK14" s="22">
        <v>1.7173161663714527E-2</v>
      </c>
      <c r="AL14" s="22">
        <v>0.20442963333333344</v>
      </c>
      <c r="AM14" s="23">
        <v>7.4201288931632844E-2</v>
      </c>
      <c r="AN14" s="22">
        <v>0.11478241247716441</v>
      </c>
      <c r="AO14" s="22">
        <f>SUM(Raw!AL14:AN14)</f>
        <v>0.39341333474213069</v>
      </c>
      <c r="AQ14" s="3">
        <v>1.2028019443258391</v>
      </c>
      <c r="AR14" s="4">
        <v>0.25712290901680729</v>
      </c>
      <c r="AS14" s="4">
        <v>-3.4000000000000002E-2</v>
      </c>
      <c r="AT14" s="26">
        <v>0.70799999999999996</v>
      </c>
      <c r="AU14" s="4">
        <v>0.16400000000000001</v>
      </c>
      <c r="AV14" s="3">
        <v>24.132999999999999</v>
      </c>
      <c r="AW14" s="187">
        <v>176.6514282513549</v>
      </c>
      <c r="AX14" s="188">
        <v>10.961894595237684</v>
      </c>
      <c r="AY14" s="163">
        <f t="shared" si="1"/>
        <v>237.24496681738057</v>
      </c>
      <c r="AZ14" s="163"/>
      <c r="BA14" s="4">
        <f t="shared" si="2"/>
        <v>0.97403669132106907</v>
      </c>
      <c r="BB14" s="328">
        <f>BA14/SUM!I14</f>
        <v>2.1992530907297523</v>
      </c>
    </row>
    <row r="15" spans="1:55">
      <c r="A15" s="92">
        <v>41451</v>
      </c>
      <c r="B15" s="2" t="s">
        <v>0</v>
      </c>
      <c r="C15" s="3">
        <v>1.1000000000000001</v>
      </c>
      <c r="D15" s="8">
        <f t="shared" si="0"/>
        <v>3</v>
      </c>
      <c r="E15" s="144">
        <f>[2]SUM!$N15</f>
        <v>0.54040980392156868</v>
      </c>
      <c r="F15" s="4">
        <v>4.5880000000000001</v>
      </c>
      <c r="G15" s="320">
        <f>[3]SP01!$R42</f>
        <v>3.6279299999999997</v>
      </c>
      <c r="H15" s="321">
        <v>29.034366666666671</v>
      </c>
      <c r="I15" s="321">
        <v>21.85796666666667</v>
      </c>
      <c r="J15" s="25">
        <f>VLOOKUP(SUM!A15,'SP01'!$A$3:$AD$176,28,0)</f>
        <v>1.0277260418373884</v>
      </c>
      <c r="K15" s="24">
        <v>13.958300000000001</v>
      </c>
      <c r="M15" s="4">
        <v>29.066800000000001</v>
      </c>
      <c r="N15" s="3">
        <v>21.461400000000001</v>
      </c>
      <c r="O15" s="3">
        <v>11.914</v>
      </c>
      <c r="P15" s="3">
        <v>6.2752400000000002</v>
      </c>
      <c r="Q15" s="3">
        <v>91.977930000000001</v>
      </c>
      <c r="R15" s="4">
        <v>0.99529999999999996</v>
      </c>
      <c r="S15" s="4">
        <v>0.67073450000000001</v>
      </c>
      <c r="T15" s="4">
        <v>1.1539999999999999</v>
      </c>
      <c r="U15" s="4">
        <v>0.37191106776070471</v>
      </c>
      <c r="V15" s="24">
        <v>1.62</v>
      </c>
      <c r="W15" s="3">
        <v>2.1168999999999976</v>
      </c>
      <c r="X15" t="e">
        <f>NA()</f>
        <v>#N/A</v>
      </c>
      <c r="Y15" s="4">
        <f>[2]SUM!$V15*32/1000</f>
        <v>7.0834026951496236</v>
      </c>
      <c r="AA15" s="24">
        <f>VLOOKUP(SUM!$A15,'SP01'!$A$3:$Z$176,2,0)</f>
        <v>30.120457564489616</v>
      </c>
      <c r="AB15" s="24">
        <f>VLOOKUP(SUM!$A15,'SP01'!$A$3:$Z$176,3,0)</f>
        <v>23.911182017299819</v>
      </c>
      <c r="AC15" s="24">
        <f>VLOOKUP(SUM!$A15,'SP01'!$A$3:$Z$176,4,0)</f>
        <v>13.442424077415742</v>
      </c>
      <c r="AD15" s="25">
        <f>VLOOKUP(SUM!$A15,'SP01'!$A$3:$Z$176,5,0)*32/1000</f>
        <v>7.3452493729593149</v>
      </c>
      <c r="AE15" s="24">
        <f>VLOOKUP(SUM!$A15,'SP01'!$A$3:$Z$176,6,0)*100</f>
        <v>111.17004595774198</v>
      </c>
      <c r="AF15" s="25">
        <f>VLOOKUP(SUM!$A15,'SP01'!$A$3:$Z$176,7,0)</f>
        <v>1.3253618484917726</v>
      </c>
      <c r="AG15" s="25">
        <f>VLOOKUP(SUM!$A15,'SP01'!$A$3:$Z$176,8,0)</f>
        <v>13.189368975934622</v>
      </c>
      <c r="AH15" s="25">
        <f>VLOOKUP(SUM!$A15,'SP01'!$A$3:$Z$176,9,0)</f>
        <v>0.86736783534456352</v>
      </c>
      <c r="AJ15" s="22">
        <v>3.5043983333333331</v>
      </c>
      <c r="AK15" s="22">
        <v>1.7418174334940351E-2</v>
      </c>
      <c r="AL15" s="22">
        <v>0.35001761666666653</v>
      </c>
      <c r="AM15" s="23">
        <v>5.3237573542465277E-2</v>
      </c>
      <c r="AN15" s="22">
        <v>0.10004143184386741</v>
      </c>
      <c r="AO15" s="22">
        <f>SUM(Raw!AL15:AN15)</f>
        <v>0.50329662205299919</v>
      </c>
      <c r="AQ15" s="3">
        <v>0.8075944197363667</v>
      </c>
      <c r="AR15" s="4">
        <v>0.21595977258487833</v>
      </c>
      <c r="AS15" s="4">
        <v>-2.9000000000000001E-2</v>
      </c>
      <c r="AT15" s="26">
        <v>0.49199999999999999</v>
      </c>
      <c r="AU15" s="4">
        <v>0.153</v>
      </c>
      <c r="AV15" s="3">
        <v>32.057000000000002</v>
      </c>
      <c r="AW15" s="187">
        <v>226.98481784269578</v>
      </c>
      <c r="AX15" s="188">
        <v>10.578861565679901</v>
      </c>
      <c r="AY15" s="163">
        <f t="shared" si="1"/>
        <v>229.5390429049786</v>
      </c>
      <c r="AZ15" s="163"/>
      <c r="BA15" s="4">
        <f t="shared" si="2"/>
        <v>0.97047481773677191</v>
      </c>
      <c r="BB15" s="328">
        <f>BA15/SUM!I15</f>
        <v>2.4496859959580535</v>
      </c>
    </row>
    <row r="16" spans="1:55">
      <c r="A16" s="92">
        <v>41472</v>
      </c>
      <c r="B16" s="2" t="s">
        <v>0</v>
      </c>
      <c r="C16" s="3">
        <v>1.3</v>
      </c>
      <c r="D16" s="8">
        <f t="shared" si="0"/>
        <v>2</v>
      </c>
      <c r="E16" s="144">
        <f>[2]SUM!$N16</f>
        <v>0.58804549019607855</v>
      </c>
      <c r="F16" s="4">
        <v>8.0276923076923072</v>
      </c>
      <c r="G16" s="320">
        <f>[3]SP01!$R47</f>
        <v>9.9878289999999996</v>
      </c>
      <c r="H16" s="321">
        <v>28.126280000000001</v>
      </c>
      <c r="I16" s="321">
        <v>16.218259999999997</v>
      </c>
      <c r="J16" s="25">
        <f>VLOOKUP(SUM!A16,'SP01'!$A$3:$AD$176,28,0)</f>
        <v>0.88906680266955873</v>
      </c>
      <c r="K16" s="24">
        <v>13.7417</v>
      </c>
      <c r="M16" s="4">
        <v>27.974699999999999</v>
      </c>
      <c r="N16" s="3">
        <v>16.003599999999999</v>
      </c>
      <c r="O16" s="3">
        <v>8.1847999999999992</v>
      </c>
      <c r="P16" s="3">
        <v>6.5920500000000004</v>
      </c>
      <c r="Q16" s="3">
        <v>92.027169999999998</v>
      </c>
      <c r="R16" s="4">
        <v>2.3618999999999999</v>
      </c>
      <c r="S16" s="4">
        <v>1.0073433000000001</v>
      </c>
      <c r="T16" s="4">
        <v>2.6791</v>
      </c>
      <c r="U16" s="4">
        <v>0.9413659719681513</v>
      </c>
      <c r="V16" s="24">
        <v>0.66</v>
      </c>
      <c r="W16" s="3">
        <v>1.1960000000000015</v>
      </c>
      <c r="X16" t="e">
        <f>NA()</f>
        <v>#N/A</v>
      </c>
      <c r="Y16" s="4">
        <f>[2]SUM!$V16*32/1000</f>
        <v>7.4585560949057532</v>
      </c>
      <c r="AA16" s="24">
        <f>VLOOKUP(SUM!$A16,'SP01'!$A$3:$Z$176,2,0)</f>
        <v>29.437872960179437</v>
      </c>
      <c r="AB16" s="24">
        <f>VLOOKUP(SUM!$A16,'SP01'!$A$3:$Z$176,3,0)</f>
        <v>15.369906491585203</v>
      </c>
      <c r="AC16" s="24">
        <f>VLOOKUP(SUM!$A16,'SP01'!$A$3:$Z$176,4,0)</f>
        <v>7.3051857267464406</v>
      </c>
      <c r="AD16" s="25">
        <f>VLOOKUP(SUM!$A16,'SP01'!$A$3:$Z$176,5,0)*32/1000</f>
        <v>7.2870285011457092</v>
      </c>
      <c r="AE16" s="24">
        <f>VLOOKUP(SUM!$A16,'SP01'!$A$3:$Z$176,6,0)*100</f>
        <v>103.97173620205533</v>
      </c>
      <c r="AF16" s="25">
        <f>VLOOKUP(SUM!$A16,'SP01'!$A$3:$Z$176,7,0)</f>
        <v>2.8251149173222516</v>
      </c>
      <c r="AG16" s="25">
        <f>VLOOKUP(SUM!$A16,'SP01'!$A$3:$Z$176,8,0)</f>
        <v>37.346576998925897</v>
      </c>
      <c r="AH16" s="25">
        <f>VLOOKUP(SUM!$A16,'SP01'!$A$3:$Z$176,9,0)</f>
        <v>1.2433881574115684</v>
      </c>
      <c r="AJ16" s="22">
        <v>10.594414133333332</v>
      </c>
      <c r="AK16" s="22">
        <v>1.6540594019025516E-2</v>
      </c>
      <c r="AL16" s="22">
        <v>1.1133469666666667</v>
      </c>
      <c r="AM16" s="23">
        <v>0.18535373675228473</v>
      </c>
      <c r="AN16" s="22">
        <v>9.9151235758732414E-2</v>
      </c>
      <c r="AO16" s="22">
        <f>SUM(Raw!AL16:AN16)</f>
        <v>1.3978519391776838</v>
      </c>
      <c r="AQ16" s="95">
        <v>0.52349929183093513</v>
      </c>
      <c r="AR16" s="4">
        <v>0.431258005619366</v>
      </c>
      <c r="AS16" s="4">
        <v>-5.6000000000000001E-2</v>
      </c>
      <c r="AT16" s="26">
        <v>-3.0000000000000001E-3</v>
      </c>
      <c r="AU16" s="4">
        <v>0.122</v>
      </c>
      <c r="AV16" s="3">
        <v>33.920999999999999</v>
      </c>
      <c r="AW16" s="94">
        <v>364.68705965668607</v>
      </c>
      <c r="AX16" s="93">
        <v>13.133436517477278</v>
      </c>
      <c r="AY16" s="163">
        <f t="shared" si="1"/>
        <v>227.71964066080341</v>
      </c>
      <c r="AZ16" s="163"/>
      <c r="BA16" s="4">
        <f t="shared" si="2"/>
        <v>0.9892499179179296</v>
      </c>
      <c r="BB16" s="328">
        <f>BA16/SUM!I16</f>
        <v>1.2510679942277603</v>
      </c>
    </row>
    <row r="17" spans="1:243">
      <c r="A17" s="92">
        <v>41479</v>
      </c>
      <c r="B17" s="2" t="s">
        <v>0</v>
      </c>
      <c r="C17" s="3">
        <v>1.2</v>
      </c>
      <c r="D17" s="8">
        <f t="shared" si="0"/>
        <v>2</v>
      </c>
      <c r="E17" s="144">
        <f>[2]SUM!$N17</f>
        <v>0.35544938775510204</v>
      </c>
      <c r="F17" s="4">
        <v>9.0764705882352938</v>
      </c>
      <c r="G17" s="320">
        <f>F17</f>
        <v>9.0764705882352938</v>
      </c>
      <c r="H17" s="321"/>
      <c r="I17" s="321"/>
      <c r="J17" s="25">
        <f>VLOOKUP(SUM!A17,'SP01'!$A$3:$AD$176,28,0)</f>
        <v>0.99412593728013621</v>
      </c>
      <c r="K17" s="24">
        <v>13.625</v>
      </c>
      <c r="M17" s="4"/>
      <c r="V17" s="24"/>
      <c r="X17" t="e">
        <f>NA()</f>
        <v>#N/A</v>
      </c>
      <c r="Y17" s="4">
        <f>[2]SUM!$V17*32/1000</f>
        <v>6.5085097549689577</v>
      </c>
      <c r="AA17" s="24">
        <f>VLOOKUP(SUM!$A17,'SP01'!$A$3:$Z$176,2,0)</f>
        <v>28.668427736581915</v>
      </c>
      <c r="AB17" s="24">
        <f>VLOOKUP(SUM!$A17,'SP01'!$A$3:$Z$176,3,0)</f>
        <v>18.819915783898313</v>
      </c>
      <c r="AC17" s="24">
        <f>VLOOKUP(SUM!$A17,'SP01'!$A$3:$Z$176,4,0)</f>
        <v>10.116465834039824</v>
      </c>
      <c r="AD17" s="25">
        <f>VLOOKUP(SUM!$A17,'SP01'!$A$3:$Z$176,5,0)*32/1000</f>
        <v>6.7450949858757054</v>
      </c>
      <c r="AE17" s="24">
        <f>VLOOKUP(SUM!$A17,'SP01'!$A$3:$Z$176,6,0)*100</f>
        <v>96.797189845361757</v>
      </c>
      <c r="AF17" s="25">
        <f>VLOOKUP(SUM!$A17,'SP01'!$A$3:$Z$176,7,0)</f>
        <v>2.3468504590395489</v>
      </c>
      <c r="AG17" s="25">
        <f>VLOOKUP(SUM!$A17,'SP01'!$A$3:$Z$176,8,0)</f>
        <v>31.498523128531058</v>
      </c>
      <c r="AH17" s="25">
        <f>VLOOKUP(SUM!$A17,'SP01'!$A$3:$Z$176,9,0)</f>
        <v>1.6715044138418083</v>
      </c>
      <c r="AJ17" s="22">
        <v>7.1062903333333338</v>
      </c>
      <c r="AK17" s="22">
        <v>1.7180794885876451E-2</v>
      </c>
      <c r="AL17" s="22">
        <v>0.69688780000000006</v>
      </c>
      <c r="AM17" s="23">
        <v>0.22185426933801111</v>
      </c>
      <c r="AN17" s="22">
        <v>0.17740211322608279</v>
      </c>
      <c r="AO17" s="22">
        <f>SUM(Raw!AL17:AN17)</f>
        <v>1.0961441825640938</v>
      </c>
      <c r="AQ17" s="3">
        <v>1.1233422303872151</v>
      </c>
      <c r="AR17" s="4">
        <v>1.391827337106639</v>
      </c>
      <c r="AS17" s="4">
        <v>0.06</v>
      </c>
      <c r="AT17" s="26">
        <v>0.127</v>
      </c>
      <c r="AU17" s="4">
        <v>0.115</v>
      </c>
      <c r="AV17" s="3">
        <v>30.597000000000001</v>
      </c>
      <c r="AW17" s="187" t="e">
        <v>#N/A</v>
      </c>
      <c r="AX17" s="188" t="e">
        <f>NA()</f>
        <v>#N/A</v>
      </c>
      <c r="AY17" s="163">
        <f t="shared" si="1"/>
        <v>210.78421830861581</v>
      </c>
      <c r="AZ17" s="163"/>
      <c r="BA17" s="4">
        <f t="shared" si="2"/>
        <v>1.0775418571796724</v>
      </c>
      <c r="BB17" s="328">
        <f>BA17/SUM!I17</f>
        <v>1.2062428374153313</v>
      </c>
    </row>
    <row r="18" spans="1:243">
      <c r="A18" s="92">
        <v>41486</v>
      </c>
      <c r="B18" s="2" t="s">
        <v>0</v>
      </c>
      <c r="C18" s="3">
        <v>1.4</v>
      </c>
      <c r="D18" s="8">
        <f t="shared" si="0"/>
        <v>2</v>
      </c>
      <c r="E18" s="144">
        <f>[2]SUM!$N18</f>
        <v>0.30618839999999997</v>
      </c>
      <c r="F18" s="25">
        <v>6.387096774193548</v>
      </c>
      <c r="G18" s="320">
        <f>[3]SP01!$R67</f>
        <v>8.5239574999999981</v>
      </c>
      <c r="H18" s="321">
        <v>30.001224999999998</v>
      </c>
      <c r="I18" s="321">
        <v>12.197274999999999</v>
      </c>
      <c r="J18" s="25">
        <f>VLOOKUP(SUM!A18,'SP01'!$A$3:$AD$176,28,0)</f>
        <v>1.05905015017397</v>
      </c>
      <c r="K18" s="24">
        <v>13.483299999999998</v>
      </c>
      <c r="M18" s="4">
        <v>30.0124</v>
      </c>
      <c r="N18" s="3">
        <v>12.1919</v>
      </c>
      <c r="O18" s="3">
        <v>4.7169999999999996</v>
      </c>
      <c r="P18" s="3">
        <v>5.99587</v>
      </c>
      <c r="Q18" s="3">
        <v>84.838080000000005</v>
      </c>
      <c r="R18" s="4">
        <v>1.5319</v>
      </c>
      <c r="S18" s="4">
        <v>0.62609179999999998</v>
      </c>
      <c r="T18" s="4">
        <v>3.5478000000000001</v>
      </c>
      <c r="U18" s="4">
        <v>0.86614449933495385</v>
      </c>
      <c r="V18" s="24">
        <v>0.01</v>
      </c>
      <c r="W18" s="3">
        <v>6.8999999999999062E-3</v>
      </c>
      <c r="X18" t="e">
        <f>NA()</f>
        <v>#N/A</v>
      </c>
      <c r="Y18" s="4">
        <f>[2]SUM!$V18*32/1000</f>
        <v>6.6860313629387793</v>
      </c>
      <c r="AA18" s="24">
        <f>VLOOKUP(SUM!$A18,'SP01'!$A$3:$Z$176,2,0)</f>
        <v>30.107479625706219</v>
      </c>
      <c r="AB18" s="24">
        <f>VLOOKUP(SUM!$A18,'SP01'!$A$3:$Z$176,3,0)</f>
        <v>12.757181497175134</v>
      </c>
      <c r="AC18" s="24">
        <f>VLOOKUP(SUM!$A18,'SP01'!$A$3:$Z$176,4,0)</f>
        <v>5.1530849568654178</v>
      </c>
      <c r="AD18" s="25">
        <f>VLOOKUP(SUM!$A18,'SP01'!$A$3:$Z$176,5,0)*32/1000</f>
        <v>7.0047364053672343</v>
      </c>
      <c r="AE18" s="24">
        <f>VLOOKUP(SUM!$A18,'SP01'!$A$3:$Z$176,6,0)*100</f>
        <v>99.608809657590271</v>
      </c>
      <c r="AF18" s="25">
        <f>VLOOKUP(SUM!$A18,'SP01'!$A$3:$Z$176,7,0)</f>
        <v>3.317936087570621</v>
      </c>
      <c r="AG18" s="25">
        <f>VLOOKUP(SUM!$A18,'SP01'!$A$3:$Z$176,8,0)</f>
        <v>38.521962747175138</v>
      </c>
      <c r="AH18" s="25">
        <f>VLOOKUP(SUM!$A18,'SP01'!$A$3:$Z$176,9,0)</f>
        <v>1.4539924081920896</v>
      </c>
      <c r="AJ18" s="22">
        <v>10.719467033333336</v>
      </c>
      <c r="AK18" s="22">
        <v>1.7683756573101235E-2</v>
      </c>
      <c r="AL18" s="22">
        <v>0.99366773333333336</v>
      </c>
      <c r="AM18" s="23">
        <v>0.27613033176869123</v>
      </c>
      <c r="AN18" s="22">
        <v>0.20122811987780248</v>
      </c>
      <c r="AO18" s="22">
        <f>SUM(Raw!AL18:AN18)</f>
        <v>1.4710261849798272</v>
      </c>
      <c r="AQ18" s="3">
        <v>1.6621102515632191</v>
      </c>
      <c r="AR18" s="25">
        <v>0.28114505253722216</v>
      </c>
      <c r="AS18" s="4">
        <v>-4.2999999999999997E-2</v>
      </c>
      <c r="AT18" s="22">
        <v>0.26900000000000002</v>
      </c>
      <c r="AU18" s="25">
        <v>0.156</v>
      </c>
      <c r="AV18" s="24">
        <v>42.668999999999997</v>
      </c>
      <c r="AW18" s="187" t="e">
        <v>#N/A</v>
      </c>
      <c r="AX18" s="188" t="e">
        <f>NA()</f>
        <v>#N/A</v>
      </c>
      <c r="AY18" s="163">
        <f t="shared" si="1"/>
        <v>218.89801266772608</v>
      </c>
      <c r="AZ18" s="163"/>
      <c r="BA18" s="4">
        <f t="shared" si="2"/>
        <v>0.97612138100798407</v>
      </c>
      <c r="BB18" s="328">
        <f>BA18/SUM!I18</f>
        <v>0.98077981938655634</v>
      </c>
    </row>
    <row r="19" spans="1:243">
      <c r="A19" s="92">
        <v>41493</v>
      </c>
      <c r="B19" s="2" t="s">
        <v>0</v>
      </c>
      <c r="C19" s="3">
        <v>1.1000000000000001</v>
      </c>
      <c r="D19" s="8">
        <f t="shared" si="0"/>
        <v>2</v>
      </c>
      <c r="E19" s="144">
        <f>[2]SUM!$N19</f>
        <v>0.54796979999999995</v>
      </c>
      <c r="F19" s="4">
        <v>7.9588235294117657</v>
      </c>
      <c r="G19" s="320">
        <f>[3]SP01!$R72</f>
        <v>7.8810424999999986</v>
      </c>
      <c r="H19" s="321">
        <v>30.07715</v>
      </c>
      <c r="I19" s="321">
        <v>11.70585</v>
      </c>
      <c r="J19" s="25">
        <f>VLOOKUP(SUM!A19,'SP01'!$A$3:$AD$176,28,0)</f>
        <v>1.1036779028967723</v>
      </c>
      <c r="K19" s="24">
        <v>13.316699999999999</v>
      </c>
      <c r="M19" s="4">
        <v>30.053899999999999</v>
      </c>
      <c r="N19" s="3">
        <v>11.6897</v>
      </c>
      <c r="O19" s="3">
        <v>4.3308</v>
      </c>
      <c r="P19" s="3">
        <v>5.7646499999999996</v>
      </c>
      <c r="Q19" s="3">
        <v>81.395600000000002</v>
      </c>
      <c r="R19" s="4">
        <v>2.1309999999999998</v>
      </c>
      <c r="S19" s="4">
        <v>1.2925698000000001</v>
      </c>
      <c r="T19" s="4">
        <v>3.5825999999999998</v>
      </c>
      <c r="U19" s="4">
        <v>0.2391714029476748</v>
      </c>
      <c r="V19" s="24">
        <v>0.65</v>
      </c>
      <c r="W19" s="3">
        <v>0.93229999999999968</v>
      </c>
      <c r="X19" t="e">
        <f>NA()</f>
        <v>#N/A</v>
      </c>
      <c r="Y19" s="4">
        <f>[2]SUM!$V19*32/1000</f>
        <v>6.8472963306949914</v>
      </c>
      <c r="AA19" s="24">
        <f>VLOOKUP(SUM!$A19,'SP01'!$A$3:$Z$176,2,0)</f>
        <v>31.853659604519773</v>
      </c>
      <c r="AB19" s="24">
        <f>VLOOKUP(SUM!$A19,'SP01'!$A$3:$Z$176,3,0)</f>
        <v>11.977084216101696</v>
      </c>
      <c r="AC19" s="24">
        <f>VLOOKUP(SUM!$A19,'SP01'!$A$3:$Z$176,4,0)</f>
        <v>4.0079192282210796</v>
      </c>
      <c r="AD19" s="25">
        <f>VLOOKUP(SUM!$A19,'SP01'!$A$3:$Z$176,5,0)*32/1000</f>
        <v>6.7960256002824853</v>
      </c>
      <c r="AE19" s="24">
        <f>VLOOKUP(SUM!$A19,'SP01'!$A$3:$Z$176,6,0)*100</f>
        <v>99.067029127164389</v>
      </c>
      <c r="AF19" s="25">
        <f>VLOOKUP(SUM!$A19,'SP01'!$A$3:$Z$176,7,0)</f>
        <v>2.2513310381355924</v>
      </c>
      <c r="AG19" s="25">
        <f>VLOOKUP(SUM!$A19,'SP01'!$A$3:$Z$176,8,0)</f>
        <v>38.693155896892662</v>
      </c>
      <c r="AH19" s="25">
        <f>VLOOKUP(SUM!$A19,'SP01'!$A$3:$Z$176,9,0)</f>
        <v>1.6097496468926566</v>
      </c>
      <c r="AJ19" s="22">
        <v>11.712443866666668</v>
      </c>
      <c r="AK19" s="22">
        <v>1.7783445234313792E-2</v>
      </c>
      <c r="AL19" s="22">
        <v>1.0768060333333334</v>
      </c>
      <c r="AM19" s="23">
        <v>0.42723585395340397</v>
      </c>
      <c r="AN19" s="22">
        <v>0.27146760675189879</v>
      </c>
      <c r="AO19" s="22">
        <f>SUM(Raw!AL19:AN19)</f>
        <v>1.7755094940386362</v>
      </c>
      <c r="AQ19" s="3">
        <v>2.0192115542050355</v>
      </c>
      <c r="AR19" s="4">
        <v>0.38257687403160168</v>
      </c>
      <c r="AS19" s="4">
        <v>-3.9E-2</v>
      </c>
      <c r="AT19" s="26">
        <v>0.76700000000000002</v>
      </c>
      <c r="AU19" s="4">
        <v>0.17899999999999999</v>
      </c>
      <c r="AV19" s="3">
        <v>66.986000000000004</v>
      </c>
      <c r="AW19" s="187" t="e">
        <v>#N/A</v>
      </c>
      <c r="AX19" s="188" t="e">
        <f>NA()</f>
        <v>#N/A</v>
      </c>
      <c r="AY19" s="163">
        <f t="shared" si="1"/>
        <v>212.37580000882767</v>
      </c>
      <c r="AZ19" s="163"/>
      <c r="BA19" s="4">
        <f t="shared" si="2"/>
        <v>0.98497314474306807</v>
      </c>
      <c r="BB19" s="328">
        <f>BA19/SUM!I19</f>
        <v>2.0221664509947694</v>
      </c>
    </row>
    <row r="20" spans="1:243">
      <c r="A20" s="92">
        <v>41500</v>
      </c>
      <c r="B20" s="2" t="s">
        <v>0</v>
      </c>
      <c r="C20" s="3">
        <v>1.4</v>
      </c>
      <c r="D20" s="8">
        <f t="shared" si="0"/>
        <v>1.5</v>
      </c>
      <c r="E20" s="144">
        <f>[2]SUM!$N20</f>
        <v>0.39829959183673475</v>
      </c>
      <c r="F20" s="4">
        <v>9.5679999999999996</v>
      </c>
      <c r="G20" s="320">
        <f>[3]SP01!$R75</f>
        <v>7.6660549999999983</v>
      </c>
      <c r="H20" s="321">
        <v>29.55012</v>
      </c>
      <c r="I20" s="321">
        <v>11.895599999999998</v>
      </c>
      <c r="J20" s="25">
        <f>VLOOKUP(SUM!A20,'SP01'!$A$3:$AD$176,28,0)</f>
        <v>0.93068282935816982</v>
      </c>
      <c r="K20" s="24">
        <v>13.1417</v>
      </c>
      <c r="M20" s="4">
        <v>29.3703</v>
      </c>
      <c r="N20" s="3">
        <v>11.205</v>
      </c>
      <c r="O20" s="3">
        <v>4.1844999999999999</v>
      </c>
      <c r="P20" s="3">
        <v>5.6330799999999996</v>
      </c>
      <c r="Q20" s="3">
        <v>78.418109999999999</v>
      </c>
      <c r="R20" s="8">
        <v>2.4</v>
      </c>
      <c r="S20" s="4">
        <v>0.2132955</v>
      </c>
      <c r="T20" s="4">
        <v>3.8584999999999998</v>
      </c>
      <c r="U20" s="4">
        <v>0.42758993395394923</v>
      </c>
      <c r="V20" s="24">
        <v>6.29</v>
      </c>
      <c r="W20" s="3">
        <v>8.8396999999999988</v>
      </c>
      <c r="X20" t="e">
        <f>NA()</f>
        <v>#N/A</v>
      </c>
      <c r="Y20" s="4">
        <f>[2]SUM!$V20*32/1000</f>
        <v>6.025155313654559</v>
      </c>
      <c r="AA20" s="24">
        <f>VLOOKUP(SUM!$A20,'SP01'!$A$3:$Z$176,2,0)</f>
        <v>30.255830632062146</v>
      </c>
      <c r="AB20" s="24">
        <f>VLOOKUP(SUM!$A20,'SP01'!$A$3:$Z$176,3,0)</f>
        <v>13.843987288135596</v>
      </c>
      <c r="AC20" s="24">
        <f>VLOOKUP(SUM!$A20,'SP01'!$A$3:$Z$176,4,0)</f>
        <v>5.9145204972907583</v>
      </c>
      <c r="AD20" s="25">
        <f>VLOOKUP(SUM!$A20,'SP01'!$A$3:$Z$176,5,0)*32/1000</f>
        <v>6.2369214336158194</v>
      </c>
      <c r="AE20" s="24">
        <f>VLOOKUP(SUM!$A20,'SP01'!$A$3:$Z$176,6,0)*100</f>
        <v>89.023502491573979</v>
      </c>
      <c r="AF20" s="25">
        <f>VLOOKUP(SUM!$A20,'SP01'!$A$3:$Z$176,7,0)</f>
        <v>3.0535690324858766</v>
      </c>
      <c r="AG20" s="25">
        <f>VLOOKUP(SUM!$A20,'SP01'!$A$3:$Z$176,8,0)</f>
        <v>37.443161899717502</v>
      </c>
      <c r="AH20" s="25">
        <f>VLOOKUP(SUM!$A20,'SP01'!$A$3:$Z$176,9,0)</f>
        <v>2.2202326977401126</v>
      </c>
      <c r="AJ20" s="22">
        <v>11.823141399999997</v>
      </c>
      <c r="AK20" s="22">
        <v>1.7725804827944072E-2</v>
      </c>
      <c r="AL20" s="22">
        <v>1.1025996333333334</v>
      </c>
      <c r="AM20" s="23">
        <v>0.47762443073313599</v>
      </c>
      <c r="AN20" s="22">
        <v>0.27358524686984487</v>
      </c>
      <c r="AO20" s="22">
        <f>SUM(Raw!AL20:AN20)</f>
        <v>1.8538093109363141</v>
      </c>
      <c r="AQ20" s="3">
        <v>1.4396230525350717</v>
      </c>
      <c r="AR20" s="4">
        <v>0.21253805858778133</v>
      </c>
      <c r="AS20" s="4">
        <v>-4.1000000000000002E-2</v>
      </c>
      <c r="AT20" s="26">
        <v>5.0000000000000001E-3</v>
      </c>
      <c r="AU20" s="4">
        <v>0.14599999999999999</v>
      </c>
      <c r="AV20" s="3">
        <v>60.164999999999999</v>
      </c>
      <c r="AW20" s="187" t="e">
        <v>#N/A</v>
      </c>
      <c r="AX20" s="188" t="e">
        <f>NA()</f>
        <v>#N/A</v>
      </c>
      <c r="AY20" s="163">
        <f t="shared" si="1"/>
        <v>194.90379480049435</v>
      </c>
      <c r="AZ20" s="163"/>
      <c r="BA20" s="4">
        <f t="shared" si="2"/>
        <v>0.97017932156633246</v>
      </c>
      <c r="BB20" s="328">
        <f>BA20/SUM!I20</f>
        <v>0.82786215863341273</v>
      </c>
    </row>
    <row r="21" spans="1:243">
      <c r="A21" s="92">
        <v>41507</v>
      </c>
      <c r="B21" s="2" t="s">
        <v>0</v>
      </c>
      <c r="C21" s="3">
        <v>1.3</v>
      </c>
      <c r="D21" s="8">
        <f t="shared" si="0"/>
        <v>1.25</v>
      </c>
      <c r="E21" s="144">
        <f>[2]SUM!$N21</f>
        <v>0.5209803999999999</v>
      </c>
      <c r="F21" s="4">
        <v>11.430463576158941</v>
      </c>
      <c r="G21" s="320">
        <f>[3]SP01!$R81</f>
        <v>6.771752499999999</v>
      </c>
      <c r="H21" s="321">
        <v>27.863575000000004</v>
      </c>
      <c r="I21" s="321">
        <v>15.086874999999999</v>
      </c>
      <c r="J21" s="25">
        <f>VLOOKUP(SUM!A21,'SP01'!$A$3:$AD$176,28,0)</f>
        <v>1.0137011320684099</v>
      </c>
      <c r="K21" s="24">
        <v>12.958299999999999</v>
      </c>
      <c r="M21" s="4">
        <v>27.8368</v>
      </c>
      <c r="N21" s="3">
        <v>14.9848</v>
      </c>
      <c r="O21" s="3">
        <v>7.4668000000000001</v>
      </c>
      <c r="P21" s="3">
        <v>7.1414600000000004</v>
      </c>
      <c r="Q21" s="3">
        <v>98.898319999999998</v>
      </c>
      <c r="R21" s="4">
        <v>1.7810999999999999</v>
      </c>
      <c r="S21" s="4">
        <v>1.2398450000000001</v>
      </c>
      <c r="T21" s="4">
        <v>3.2511999999999999</v>
      </c>
      <c r="U21" s="4">
        <v>0.73095709336882009</v>
      </c>
      <c r="V21" s="24">
        <v>0.61</v>
      </c>
      <c r="W21" s="3">
        <v>0.85009999999999941</v>
      </c>
      <c r="X21" t="e">
        <f>NA()</f>
        <v>#N/A</v>
      </c>
      <c r="Y21" s="4">
        <f>[2]SUM!$V21*32/1000</f>
        <v>7.6311988298549087</v>
      </c>
      <c r="AA21" s="24">
        <f>VLOOKUP(SUM!$A21,'SP01'!$A$3:$Z$176,2,0)</f>
        <v>28.817751032012751</v>
      </c>
      <c r="AB21" s="24">
        <f>VLOOKUP(SUM!$A21,'SP01'!$A$3:$Z$176,3,0)</f>
        <v>15.972633094072672</v>
      </c>
      <c r="AC21" s="24">
        <f>VLOOKUP(SUM!$A21,'SP01'!$A$3:$Z$176,4,0)</f>
        <v>7.9481757417656107</v>
      </c>
      <c r="AD21" s="25">
        <f>VLOOKUP(SUM!$A21,'SP01'!$A$3:$Z$176,5,0)*32/1000</f>
        <v>7.6551218350797381</v>
      </c>
      <c r="AE21" s="24">
        <f>VLOOKUP(SUM!$A21,'SP01'!$A$3:$Z$176,6,0)*100</f>
        <v>108.45551096522519</v>
      </c>
      <c r="AF21" s="25">
        <f>VLOOKUP(SUM!$A21,'SP01'!$A$3:$Z$176,7,0)</f>
        <v>2.3391690397045726</v>
      </c>
      <c r="AG21" s="25">
        <f>VLOOKUP(SUM!$A21,'SP01'!$A$3:$Z$176,8,0)</f>
        <v>34.366490186485905</v>
      </c>
      <c r="AH21" s="25">
        <f>VLOOKUP(SUM!$A21,'SP01'!$A$3:$Z$176,9,0)</f>
        <v>1.6024959257848375</v>
      </c>
      <c r="AJ21" s="22">
        <v>8.9182139666666682</v>
      </c>
      <c r="AK21" s="22">
        <v>1.755846782380582E-2</v>
      </c>
      <c r="AL21" s="22">
        <v>0.8354516333333335</v>
      </c>
      <c r="AM21" s="23">
        <v>0.39118237101258213</v>
      </c>
      <c r="AN21" s="22">
        <v>0.2831637150051729</v>
      </c>
      <c r="AO21" s="22">
        <f>SUM(Raw!AL21:AN21)</f>
        <v>1.5097977193510885</v>
      </c>
      <c r="AQ21" s="3">
        <v>1.988050882072242</v>
      </c>
      <c r="AR21" s="4">
        <v>0.27314842582210408</v>
      </c>
      <c r="AS21" s="4">
        <v>-4.9000000000000002E-2</v>
      </c>
      <c r="AT21" s="26">
        <v>-0.255</v>
      </c>
      <c r="AU21" s="4">
        <v>0.14099999999999999</v>
      </c>
      <c r="AV21" s="3">
        <v>50.173000000000002</v>
      </c>
      <c r="AW21" s="187" t="e">
        <v>#N/A</v>
      </c>
      <c r="AX21" s="188" t="e">
        <f>NA()</f>
        <v>#N/A</v>
      </c>
      <c r="AY21" s="163">
        <f t="shared" si="1"/>
        <v>239.22255734624181</v>
      </c>
      <c r="AZ21" s="163"/>
      <c r="BA21" s="4">
        <f t="shared" si="2"/>
        <v>0.97542692279035803</v>
      </c>
      <c r="BB21" s="328">
        <f>BA21/SUM!I21</f>
        <v>1.2044211097373339</v>
      </c>
    </row>
    <row r="22" spans="1:243">
      <c r="A22" s="92">
        <v>41521</v>
      </c>
      <c r="B22" s="2" t="s">
        <v>0</v>
      </c>
      <c r="C22" s="3">
        <v>1.3</v>
      </c>
      <c r="D22" s="8">
        <f t="shared" si="0"/>
        <v>1.75</v>
      </c>
      <c r="E22" s="144">
        <f>[2]SUM!$N22</f>
        <v>0.5480376086956521</v>
      </c>
      <c r="F22" s="4">
        <v>8.2940000000000005</v>
      </c>
      <c r="G22" s="320">
        <f>[3]SP01!$R75</f>
        <v>7.6660549999999983</v>
      </c>
      <c r="H22" s="321">
        <v>28.792249999999999</v>
      </c>
      <c r="I22" s="321">
        <v>15.638699999999998</v>
      </c>
      <c r="J22" s="25">
        <f>VLOOKUP(SUM!A22,'SP01'!$A$3:$AD$176,28,0)</f>
        <v>1.3226260215624828</v>
      </c>
      <c r="K22" s="24">
        <v>12.549999999999999</v>
      </c>
      <c r="M22" s="4">
        <v>28.786799999999999</v>
      </c>
      <c r="N22" s="3">
        <v>15.6014</v>
      </c>
      <c r="O22" s="3">
        <v>7.6359000000000004</v>
      </c>
      <c r="P22" s="3">
        <v>6.8846299999999996</v>
      </c>
      <c r="Q22" s="3">
        <v>97.230789999999999</v>
      </c>
      <c r="R22" s="4">
        <v>2.2240000000000002</v>
      </c>
      <c r="S22" s="4">
        <v>0.47550870000000001</v>
      </c>
      <c r="T22" s="4">
        <v>3.3033999999999999</v>
      </c>
      <c r="U22" s="4">
        <v>0.123814406937302</v>
      </c>
      <c r="V22" s="24">
        <v>0.06</v>
      </c>
      <c r="W22" s="3">
        <v>0.13569999999999993</v>
      </c>
      <c r="X22" t="e">
        <f>NA()</f>
        <v>#N/A</v>
      </c>
      <c r="Y22" s="4">
        <f>[2]SUM!$V22*32/1000</f>
        <v>6.7783886760347904</v>
      </c>
      <c r="AA22" s="24">
        <f>VLOOKUP(SUM!$A22,'SP01'!$A$3:$Z$176,2,0)</f>
        <v>30.405850729899509</v>
      </c>
      <c r="AB22" s="24">
        <f>VLOOKUP(SUM!$A22,'SP01'!$A$3:$Z$176,3,0)</f>
        <v>14.817397953290964</v>
      </c>
      <c r="AC22" s="24">
        <f>VLOOKUP(SUM!$A22,'SP01'!$A$3:$Z$176,4,0)</f>
        <v>6.585705275870354</v>
      </c>
      <c r="AD22" s="25">
        <f>VLOOKUP(SUM!$A22,'SP01'!$A$3:$Z$176,5,0)*32/1000</f>
        <v>8.9526646196869635</v>
      </c>
      <c r="AE22" s="24">
        <f>VLOOKUP(SUM!$A22,'SP01'!$A$3:$Z$176,6,0)*100</f>
        <v>129.44044343765583</v>
      </c>
      <c r="AF22" s="25">
        <v>6.87</v>
      </c>
      <c r="AG22" s="25">
        <f>VLOOKUP(SUM!$A22,'SP01'!$A$3:$Z$176,8,0)</f>
        <v>36.534141778045104</v>
      </c>
      <c r="AH22" s="25">
        <f>VLOOKUP(SUM!$A22,'SP01'!$A$3:$Z$176,9,0)</f>
        <v>1.2354658820060094</v>
      </c>
      <c r="AJ22" s="22">
        <v>9.2030183000000001</v>
      </c>
      <c r="AK22" s="22">
        <v>1.7817990777473633E-2</v>
      </c>
      <c r="AL22" s="22">
        <v>0.84128590000000003</v>
      </c>
      <c r="AM22" s="23">
        <v>0.11438811504146766</v>
      </c>
      <c r="AN22" s="22">
        <v>0.21578050195306892</v>
      </c>
      <c r="AO22" s="22">
        <f>SUM(Raw!AL22:AN22)</f>
        <v>1.1714545169945365</v>
      </c>
      <c r="AQ22" s="3">
        <v>2.4429966952110309</v>
      </c>
      <c r="AR22" s="4">
        <v>0.42566921104685812</v>
      </c>
      <c r="AS22" s="4">
        <v>-2.3E-2</v>
      </c>
      <c r="AT22" s="26">
        <v>0.26100000000000001</v>
      </c>
      <c r="AU22" s="4">
        <v>0.13600000000000001</v>
      </c>
      <c r="AV22" s="3">
        <v>43.344000000000001</v>
      </c>
      <c r="AW22" s="187" t="e">
        <v>#N/A</v>
      </c>
      <c r="AX22" s="188" t="e">
        <f>NA()</f>
        <v>#N/A</v>
      </c>
      <c r="AY22" s="163">
        <f t="shared" si="1"/>
        <v>279.77076936521763</v>
      </c>
      <c r="AZ22" s="163"/>
      <c r="BA22" s="4">
        <f t="shared" si="2"/>
        <v>0.98875798467561937</v>
      </c>
      <c r="BB22" s="328">
        <f>BA22/SUM!I22</f>
        <v>20.583848300852935</v>
      </c>
    </row>
    <row r="23" spans="1:243">
      <c r="A23" s="92">
        <v>41528</v>
      </c>
      <c r="B23" s="2" t="s">
        <v>0</v>
      </c>
      <c r="C23" s="3">
        <v>1.3</v>
      </c>
      <c r="D23" s="8">
        <f t="shared" si="0"/>
        <v>2.75</v>
      </c>
      <c r="E23" s="144">
        <f>[2]SUM!$N23</f>
        <v>0.60960227272727274</v>
      </c>
      <c r="F23" s="4">
        <v>14.335999999999999</v>
      </c>
      <c r="G23" s="320">
        <f>[3]SP01!$R86</f>
        <v>12.256208749999999</v>
      </c>
      <c r="H23" s="321">
        <v>29.810666666666666</v>
      </c>
      <c r="I23" s="321">
        <v>18.386466666666667</v>
      </c>
      <c r="J23" s="25">
        <f>VLOOKUP(SUM!A23,'SP01'!$A$3:$AD$176,28,0)</f>
        <v>0.90721028965745654</v>
      </c>
      <c r="K23" s="24">
        <v>12.3504</v>
      </c>
      <c r="M23" s="4">
        <v>29.765000000000001</v>
      </c>
      <c r="N23" s="3">
        <v>18.250599999999999</v>
      </c>
      <c r="O23" s="3">
        <v>9.2992000000000008</v>
      </c>
      <c r="P23" s="3">
        <v>6.1820300000000001</v>
      </c>
      <c r="Q23" s="3">
        <v>90.061689999999999</v>
      </c>
      <c r="R23" s="4">
        <v>3.9573999999999998</v>
      </c>
      <c r="S23" s="4">
        <v>0.87949149999999998</v>
      </c>
      <c r="T23" s="4">
        <v>2.3706999999999998</v>
      </c>
      <c r="U23" s="4" t="e">
        <f>NA()</f>
        <v>#N/A</v>
      </c>
      <c r="V23" s="24">
        <v>0.56000000000000005</v>
      </c>
      <c r="W23" s="3">
        <v>0.94819999999999993</v>
      </c>
      <c r="X23" t="e">
        <f>NA()</f>
        <v>#N/A</v>
      </c>
      <c r="Y23" s="4">
        <f>[2]SUM!$V23*32/1000</f>
        <v>6.67931840652715</v>
      </c>
      <c r="AA23" s="24">
        <f>VLOOKUP(SUM!$A23,'SP01'!$A$3:$Z$176,2,0)</f>
        <v>30.087987344540903</v>
      </c>
      <c r="AB23" s="24">
        <f>VLOOKUP(SUM!$A23,'SP01'!$A$3:$Z$176,3,0)</f>
        <v>17.344849040415301</v>
      </c>
      <c r="AC23" s="24">
        <f>VLOOKUP(SUM!$A23,'SP01'!$A$3:$Z$176,4,0)</f>
        <v>8.5683014117977816</v>
      </c>
      <c r="AD23" s="25">
        <f>VLOOKUP(SUM!$A23,'SP01'!$A$3:$Z$176,5,0)*32/1000</f>
        <v>7.1799251784121294</v>
      </c>
      <c r="AE23" s="24">
        <f>VLOOKUP(SUM!$A23,'SP01'!$A$3:$Z$176,6,0)*100</f>
        <v>104.53923333623993</v>
      </c>
      <c r="AF23" s="25">
        <f>VLOOKUP(SUM!$A23,'SP01'!$A$3:$Z$176,7,0)</f>
        <v>5.1305985822088571</v>
      </c>
      <c r="AG23" s="25">
        <f>VLOOKUP(SUM!$A23,'SP01'!$A$3:$Z$176,8,0)</f>
        <v>29.845613822005699</v>
      </c>
      <c r="AH23" s="25">
        <f>VLOOKUP(SUM!$A23,'SP01'!$A$3:$Z$176,9,0)</f>
        <v>1.4144691633470732</v>
      </c>
      <c r="AJ23" s="22">
        <v>7.011790566666666</v>
      </c>
      <c r="AK23" s="22">
        <v>1.8112689448589424E-2</v>
      </c>
      <c r="AL23" s="22">
        <v>0.62457359999999995</v>
      </c>
      <c r="AM23" s="23">
        <v>0.16245817541764845</v>
      </c>
      <c r="AN23" s="22">
        <v>0.29871066455799261</v>
      </c>
      <c r="AO23" s="22">
        <f>SUM(Raw!AL23:AN23)</f>
        <v>1.085742439975641</v>
      </c>
      <c r="AQ23" s="3">
        <v>1.3654606528590225</v>
      </c>
      <c r="AR23" s="4">
        <v>0.18383996804122701</v>
      </c>
      <c r="AS23" s="4">
        <v>-2.1000000000000001E-2</v>
      </c>
      <c r="AT23" s="26">
        <v>-0.28199999999999997</v>
      </c>
      <c r="AU23" s="4">
        <v>0.501</v>
      </c>
      <c r="AV23" s="3">
        <v>29.164000000000001</v>
      </c>
      <c r="AW23" s="187" t="e">
        <v>#N/A</v>
      </c>
      <c r="AX23" s="188" t="e">
        <f>NA()</f>
        <v>#N/A</v>
      </c>
      <c r="AY23" s="163">
        <f t="shared" si="1"/>
        <v>224.37266182537905</v>
      </c>
      <c r="AZ23" s="163"/>
      <c r="BA23" s="4">
        <f t="shared" si="2"/>
        <v>0.96770451922774781</v>
      </c>
      <c r="BB23" s="328">
        <f>BA23/SUM!I23</f>
        <v>0.78108784634074246</v>
      </c>
    </row>
    <row r="24" spans="1:243">
      <c r="A24" s="92">
        <v>41542</v>
      </c>
      <c r="B24" s="2" t="s">
        <v>0</v>
      </c>
      <c r="C24" s="3">
        <v>1.4</v>
      </c>
      <c r="D24" s="8">
        <f t="shared" si="0"/>
        <v>2.5</v>
      </c>
      <c r="E24" s="144">
        <f>[2]SUM!$N24</f>
        <v>0.51318085106382971</v>
      </c>
      <c r="F24" s="4">
        <v>5.319166666666665</v>
      </c>
      <c r="G24" s="320">
        <f>[3]SP01!$R91</f>
        <v>14.316031666666666</v>
      </c>
      <c r="H24" s="321">
        <v>27.25395</v>
      </c>
      <c r="I24" s="321">
        <v>20.720999999999997</v>
      </c>
      <c r="J24" s="25">
        <f>VLOOKUP(SUM!A24,'SP01'!$A$3:$AD$176,28,0)</f>
        <v>0.96924827548174697</v>
      </c>
      <c r="K24" s="24">
        <v>11.9251</v>
      </c>
      <c r="M24" s="4">
        <v>27.2273</v>
      </c>
      <c r="N24" s="3">
        <v>20.703499999999998</v>
      </c>
      <c r="O24" s="3">
        <v>11.9208</v>
      </c>
      <c r="P24" s="3">
        <v>6.2069099999999997</v>
      </c>
      <c r="Q24" s="3">
        <v>87.827979999999997</v>
      </c>
      <c r="R24" s="4">
        <v>1.4985999999999999</v>
      </c>
      <c r="S24" s="4">
        <v>0.4596402</v>
      </c>
      <c r="T24" s="4">
        <v>1.9274</v>
      </c>
      <c r="U24" s="4" t="e">
        <f>NA()</f>
        <v>#N/A</v>
      </c>
      <c r="V24" s="24">
        <v>0.03</v>
      </c>
      <c r="W24" s="3">
        <v>7.0300000000003138E-2</v>
      </c>
      <c r="X24" t="e">
        <f>NA()</f>
        <v>#N/A</v>
      </c>
      <c r="Y24" s="4">
        <f>[2]SUM!$V24*32/1000</f>
        <v>6.4249878254418471</v>
      </c>
      <c r="AA24" s="24">
        <f>VLOOKUP(SUM!$A24,'SP01'!$A$3:$Z$176,2,0)</f>
        <v>28.22399304048389</v>
      </c>
      <c r="AB24" s="24">
        <f>VLOOKUP(SUM!$A24,'SP01'!$A$3:$Z$176,3,0)</f>
        <v>20.36014923647441</v>
      </c>
      <c r="AC24" s="24">
        <f>VLOOKUP(SUM!$A24,'SP01'!$A$3:$Z$176,4,0)</f>
        <v>11.403252264349378</v>
      </c>
      <c r="AD24" s="25">
        <f>VLOOKUP(SUM!$A24,'SP01'!$A$3:$Z$176,5,0)*32/1000</f>
        <v>7.1594434602821684</v>
      </c>
      <c r="AE24" s="24">
        <f>VLOOKUP(SUM!$A24,'SP01'!$A$3:$Z$176,6,0)*100</f>
        <v>102.92404979674316</v>
      </c>
      <c r="AF24" s="25">
        <f>VLOOKUP(SUM!$A24,'SP01'!$A$3:$Z$176,7,0)</f>
        <v>2.2875523123488408</v>
      </c>
      <c r="AG24" s="25">
        <f>VLOOKUP(SUM!$A24,'SP01'!$A$3:$Z$176,8,0)</f>
        <v>22.186378973550219</v>
      </c>
      <c r="AH24" s="25">
        <f>VLOOKUP(SUM!$A24,'SP01'!$A$3:$Z$176,9,0)</f>
        <v>1.0207865272412895</v>
      </c>
      <c r="AJ24" s="22">
        <v>4.8906891833333335</v>
      </c>
      <c r="AK24" s="22">
        <v>1.8223388298836529E-2</v>
      </c>
      <c r="AL24" s="22">
        <v>0.42970141666666667</v>
      </c>
      <c r="AM24" s="23">
        <v>8.6176646664764225E-2</v>
      </c>
      <c r="AN24" s="22">
        <v>0.12474086854575202</v>
      </c>
      <c r="AO24" s="22">
        <f>SUM(Raw!AL24:AN24)</f>
        <v>0.640618931877183</v>
      </c>
      <c r="AQ24" s="3">
        <v>0.73932794723491735</v>
      </c>
      <c r="AR24" s="4">
        <v>0.71104302344179426</v>
      </c>
      <c r="AS24" s="4">
        <v>-1.0999999999999999E-2</v>
      </c>
      <c r="AT24" s="26">
        <v>-0.10299999999999999</v>
      </c>
      <c r="AU24" s="4">
        <v>0.126</v>
      </c>
      <c r="AV24" s="3">
        <v>38.406999999999996</v>
      </c>
      <c r="AW24" s="187" t="e">
        <v>#N/A</v>
      </c>
      <c r="AX24" s="188" t="e">
        <f>NA()</f>
        <v>#N/A</v>
      </c>
      <c r="AY24" s="163">
        <f t="shared" si="1"/>
        <v>223.73260813381776</v>
      </c>
      <c r="AZ24" s="163"/>
      <c r="BA24" s="4">
        <f t="shared" si="2"/>
        <v>1.0141923534849298</v>
      </c>
      <c r="BB24" s="328">
        <f>BA24/SUM!I24</f>
        <v>4.6779038475390422</v>
      </c>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row>
    <row r="25" spans="1:243">
      <c r="A25" s="289">
        <v>41381</v>
      </c>
      <c r="B25" s="290" t="s">
        <v>1</v>
      </c>
      <c r="C25" s="287">
        <v>5.6</v>
      </c>
      <c r="D25" s="286">
        <v>3.2</v>
      </c>
      <c r="E25" s="291">
        <f>[2]SUM!$N25</f>
        <v>0.4713514864864865</v>
      </c>
      <c r="F25" s="286">
        <v>2.1960000000000002</v>
      </c>
      <c r="G25" s="292">
        <f>F25</f>
        <v>2.1960000000000002</v>
      </c>
      <c r="H25" s="293">
        <f>1.012*$AA25-0.977</f>
        <v>22.047031975564959</v>
      </c>
      <c r="I25" s="293">
        <f>0.892*$AB25+2.285</f>
        <v>23.022141509180805</v>
      </c>
      <c r="J25" s="294">
        <f>VLOOKUP(SUM!A25,'SP01'!$A$3:$AD$176,28,0)</f>
        <v>1.0500275735473785</v>
      </c>
      <c r="K25" s="293">
        <f>K5</f>
        <v>12.825000000000001</v>
      </c>
      <c r="L25" s="295"/>
      <c r="M25" s="296">
        <f>1.012*$AA25-0.977</f>
        <v>22.047031975564959</v>
      </c>
      <c r="N25" s="296">
        <f>0.892*$AB25+2.285</f>
        <v>23.022141509180805</v>
      </c>
      <c r="O25" s="297">
        <f>0.895*AC25+1.417</f>
        <v>14.985705818350153</v>
      </c>
      <c r="P25" s="295" t="e">
        <f>NA()</f>
        <v>#N/A</v>
      </c>
      <c r="Q25" s="295" t="e">
        <f>NA()</f>
        <v>#N/A</v>
      </c>
      <c r="R25" s="298">
        <f>0.858*Raw!AF25+0.004</f>
        <v>1.1768199533898305</v>
      </c>
      <c r="S25" s="295" t="e">
        <f>NA()</f>
        <v>#N/A</v>
      </c>
      <c r="T25" s="295"/>
      <c r="U25" s="295" t="e">
        <f>NA()</f>
        <v>#N/A</v>
      </c>
      <c r="V25" s="293"/>
      <c r="W25" s="293"/>
      <c r="X25" s="295" t="e">
        <f>NA()</f>
        <v>#N/A</v>
      </c>
      <c r="Y25" s="286">
        <f>[2]SUM!$V25*32/1000</f>
        <v>7.9063820449959472</v>
      </c>
      <c r="Z25" s="295"/>
      <c r="AA25" s="293">
        <f>VLOOKUP(SUM!$A25,'SP02'!$A$3:$Z$176,2,0)</f>
        <v>22.751019738700553</v>
      </c>
      <c r="AB25" s="293">
        <f>VLOOKUP(SUM!$A25,'SP02'!$A$3:$Z$176,3,0)</f>
        <v>23.24791649011301</v>
      </c>
      <c r="AC25" s="293">
        <f>VLOOKUP(SUM!$A25,'SP02'!$A$3:$Z$176,4,0)</f>
        <v>15.160565160167769</v>
      </c>
      <c r="AD25" s="294">
        <f>VLOOKUP(SUM!$A25,'SP02'!$A$3:$Z$176,5,0)*32/1000</f>
        <v>7.6283493997175134</v>
      </c>
      <c r="AE25" s="293">
        <f>VLOOKUP(SUM!$A25,'SP02'!$A$3:$Z$176,6,0)*100</f>
        <v>101.22751478219705</v>
      </c>
      <c r="AF25" s="294">
        <f>VLOOKUP(SUM!$A25,'SP02'!$A$3:$Z$176,7,0)</f>
        <v>1.36692302259887</v>
      </c>
      <c r="AG25" s="294">
        <f>VLOOKUP(SUM!$A25,'SP02'!$A$3:$Z$176,8,0)</f>
        <v>15.825204978813559</v>
      </c>
      <c r="AH25" s="294">
        <f>VLOOKUP(SUM!$A25,'SP02'!$A$3:$Z$176,9,0)</f>
        <v>0.51138665254237303</v>
      </c>
      <c r="AI25" s="295"/>
      <c r="AJ25" s="299">
        <v>3.1538049666666677</v>
      </c>
      <c r="AK25" s="299">
        <v>1.8189255983617255E-2</v>
      </c>
      <c r="AL25" s="299">
        <v>0.27927713333333332</v>
      </c>
      <c r="AM25" s="300">
        <v>2.9997178489793608E-2</v>
      </c>
      <c r="AN25" s="299">
        <v>5.846224540663339E-2</v>
      </c>
      <c r="AO25" s="299">
        <f>SUM(Raw!AL25:AN25)</f>
        <v>0.36773655722976029</v>
      </c>
      <c r="AP25" s="295"/>
      <c r="AQ25" s="301">
        <v>0.20585519027726878</v>
      </c>
      <c r="AR25" s="294">
        <v>0.26969345108460441</v>
      </c>
      <c r="AS25" s="294">
        <v>-5.3999999999999999E-2</v>
      </c>
      <c r="AT25" s="299">
        <v>-0.25</v>
      </c>
      <c r="AU25" s="294">
        <v>9.0999999999999998E-2</v>
      </c>
      <c r="AV25" s="293">
        <v>11.57</v>
      </c>
      <c r="AW25" s="302">
        <v>289.46299312631737</v>
      </c>
      <c r="AX25" s="301">
        <v>12.963880563059702</v>
      </c>
      <c r="AY25" s="303">
        <f t="shared" si="1"/>
        <v>238.3859187411723</v>
      </c>
      <c r="AZ25" s="303"/>
      <c r="BA25" s="4">
        <f t="shared" si="2"/>
        <v>0.9751270321913037</v>
      </c>
      <c r="BB25" s="328">
        <f>BA25/SUM!I25</f>
        <v>3.6475468510016649</v>
      </c>
    </row>
    <row r="26" spans="1:243">
      <c r="A26" s="289">
        <v>41388</v>
      </c>
      <c r="B26" s="290" t="s">
        <v>1</v>
      </c>
      <c r="C26" s="287">
        <v>5.7</v>
      </c>
      <c r="D26" s="286">
        <v>3</v>
      </c>
      <c r="E26" s="291">
        <f>[2]SUM!$N26</f>
        <v>0.30375333333333332</v>
      </c>
      <c r="F26" s="286">
        <v>3.2725</v>
      </c>
      <c r="G26" s="292">
        <f>F26</f>
        <v>3.2725</v>
      </c>
      <c r="H26" s="293">
        <f>1.012*$AA26-0.977</f>
        <v>20.90302654548023</v>
      </c>
      <c r="I26" s="293">
        <f>0.892*$AB26+2.285</f>
        <v>19.725795825564976</v>
      </c>
      <c r="J26" s="294">
        <f>VLOOKUP(SUM!A26,'SP01'!$A$3:$AD$176,28,0)</f>
        <v>1.2270785261322739</v>
      </c>
      <c r="K26" s="293">
        <f t="shared" ref="K26:K44" si="3">K6</f>
        <v>13.025</v>
      </c>
      <c r="L26" s="295"/>
      <c r="M26" s="296">
        <f>1.012*$AA26-0.977</f>
        <v>20.90302654548023</v>
      </c>
      <c r="N26" s="296">
        <f>0.892*$AB26+2.285</f>
        <v>19.725795825564976</v>
      </c>
      <c r="O26" s="297">
        <f>0.895*AC26+1.417</f>
        <v>12.754390830534112</v>
      </c>
      <c r="P26" s="295" t="e">
        <f>NA()</f>
        <v>#N/A</v>
      </c>
      <c r="Q26" s="295" t="e">
        <f>NA()</f>
        <v>#N/A</v>
      </c>
      <c r="R26" s="298">
        <f>0.858*Raw!AF26+0.004</f>
        <v>1.8251777118644068</v>
      </c>
      <c r="S26" s="295" t="e">
        <f>NA()</f>
        <v>#N/A</v>
      </c>
      <c r="T26" s="295"/>
      <c r="U26" s="295" t="e">
        <f>NA()</f>
        <v>#N/A</v>
      </c>
      <c r="V26" s="293"/>
      <c r="W26" s="293"/>
      <c r="X26" s="295" t="e">
        <f>NA()</f>
        <v>#N/A</v>
      </c>
      <c r="Y26" s="286">
        <f>[2]SUM!$V26*32/1000</f>
        <v>9.3706036422989225</v>
      </c>
      <c r="Z26" s="295"/>
      <c r="AA26" s="293">
        <f>VLOOKUP(SUM!$A26,'SP02'!$A$3:$Z$176,2,0)</f>
        <v>21.620579590395483</v>
      </c>
      <c r="AB26" s="293">
        <f>VLOOKUP(SUM!$A26,'SP02'!$A$3:$Z$176,3,0)</f>
        <v>19.552461687853111</v>
      </c>
      <c r="AC26" s="293">
        <f>VLOOKUP(SUM!$A26,'SP02'!$A$3:$Z$176,4,0)</f>
        <v>12.66747578830627</v>
      </c>
      <c r="AD26" s="294">
        <f>VLOOKUP(SUM!$A26,'SP02'!$A$3:$Z$176,5,0)*32/1000</f>
        <v>7.9475423728813546</v>
      </c>
      <c r="AE26" s="293">
        <f>VLOOKUP(SUM!$A26,'SP02'!$A$3:$Z$176,6,0)*100</f>
        <v>101.09141362994566</v>
      </c>
      <c r="AF26" s="294">
        <f>VLOOKUP(SUM!$A26,'SP02'!$A$3:$Z$176,7,0)</f>
        <v>2.1225847457627118</v>
      </c>
      <c r="AG26" s="294">
        <f>VLOOKUP(SUM!$A26,'SP02'!$A$3:$Z$176,8,0)</f>
        <v>25.510856461864417</v>
      </c>
      <c r="AH26" s="294">
        <f>VLOOKUP(SUM!$A26,'SP02'!$A$3:$Z$176,9,0)</f>
        <v>0.73517355225988712</v>
      </c>
      <c r="AI26" s="295"/>
      <c r="AJ26" s="299">
        <v>6.5531864999999998</v>
      </c>
      <c r="AK26" s="299">
        <v>1.7393781068869608E-2</v>
      </c>
      <c r="AL26" s="299">
        <v>0.62925636666666684</v>
      </c>
      <c r="AM26" s="300">
        <v>0.10751366679636405</v>
      </c>
      <c r="AN26" s="299">
        <v>0.12135876475708628</v>
      </c>
      <c r="AO26" s="299">
        <f>SUM(Raw!AL26:AN26)</f>
        <v>0.85812879822011723</v>
      </c>
      <c r="AP26" s="295"/>
      <c r="AQ26" s="301">
        <v>0.38171823362672358</v>
      </c>
      <c r="AR26" s="294">
        <v>8.8864196136500512E-2</v>
      </c>
      <c r="AS26" s="294">
        <v>-7.0999999999999994E-2</v>
      </c>
      <c r="AT26" s="299">
        <v>-0.30399999999999999</v>
      </c>
      <c r="AU26" s="294">
        <v>8.5000000000000006E-2</v>
      </c>
      <c r="AV26" s="293">
        <v>33.15</v>
      </c>
      <c r="AW26" s="302">
        <v>306.73557722200547</v>
      </c>
      <c r="AX26" s="301">
        <v>12.35919908706448</v>
      </c>
      <c r="AY26" s="303">
        <f t="shared" si="1"/>
        <v>248.36069915254234</v>
      </c>
      <c r="AZ26" s="303"/>
      <c r="BA26" s="4">
        <f t="shared" si="2"/>
        <v>0.95955913849378582</v>
      </c>
      <c r="BB26" s="328">
        <f>BA26/SUM!I26</f>
        <v>1.7383909095028485</v>
      </c>
    </row>
    <row r="27" spans="1:243">
      <c r="A27" s="289">
        <v>41395</v>
      </c>
      <c r="B27" s="290" t="s">
        <v>1</v>
      </c>
      <c r="C27" s="287">
        <v>5.8</v>
      </c>
      <c r="D27" s="286">
        <v>3.4</v>
      </c>
      <c r="E27" s="291">
        <f>[2]SUM!$N27</f>
        <v>0.16612834693877551</v>
      </c>
      <c r="F27" s="286">
        <v>2.72</v>
      </c>
      <c r="G27" s="316">
        <f>[3]SP02!$R3</f>
        <v>4.5080582608695634</v>
      </c>
      <c r="H27" s="317">
        <v>23.182521739130433</v>
      </c>
      <c r="I27" s="317">
        <v>28.704934782608689</v>
      </c>
      <c r="J27" s="294">
        <f>VLOOKUP(SUM!A27,'SP01'!$A$3:$AD$176,28,0)</f>
        <v>0.85621363969213915</v>
      </c>
      <c r="K27" s="293">
        <f t="shared" si="3"/>
        <v>13.2166</v>
      </c>
      <c r="L27" s="295"/>
      <c r="M27" s="286">
        <v>23.562899999999999</v>
      </c>
      <c r="N27" s="287">
        <v>25.305499999999999</v>
      </c>
      <c r="O27" s="287">
        <v>16.4436</v>
      </c>
      <c r="P27" s="287">
        <v>7.1343899999999998</v>
      </c>
      <c r="Q27" s="287">
        <v>97.221360000000004</v>
      </c>
      <c r="R27" s="286">
        <v>1.1399999999999999</v>
      </c>
      <c r="S27" s="286">
        <v>0.63851760000000002</v>
      </c>
      <c r="T27" s="286">
        <v>1.1565000000000001</v>
      </c>
      <c r="U27" s="286">
        <v>2.14001678456683E-2</v>
      </c>
      <c r="V27" s="293">
        <v>5.97</v>
      </c>
      <c r="W27" s="293">
        <v>7.4959000000000024</v>
      </c>
      <c r="X27" s="287">
        <v>5.125</v>
      </c>
      <c r="Y27" s="286">
        <f>[2]SUM!$V27*32/1000</f>
        <v>7.4368476961167449</v>
      </c>
      <c r="Z27" s="295"/>
      <c r="AA27" s="293">
        <f>VLOOKUP(SUM!$A27,'SP02'!$A$3:$Z$176,2,0)</f>
        <v>23.137908898305085</v>
      </c>
      <c r="AB27" s="293">
        <f>VLOOKUP(SUM!$A27,'SP02'!$A$3:$Z$176,3,0)</f>
        <v>27.318161899717513</v>
      </c>
      <c r="AC27" s="293">
        <f>VLOOKUP(SUM!$A27,'SP02'!$A$3:$Z$176,4,0)</f>
        <v>18.127092652137623</v>
      </c>
      <c r="AD27" s="294">
        <f>VLOOKUP(SUM!$A27,'SP02'!$A$3:$Z$176,5,0)*32/1000</f>
        <v>6.9973813559322036</v>
      </c>
      <c r="AE27" s="293">
        <f>VLOOKUP(SUM!$A27,'SP02'!$A$3:$Z$176,6,0)*100</f>
        <v>95.723756312199981</v>
      </c>
      <c r="AF27" s="294">
        <f>VLOOKUP(SUM!$A27,'SP02'!$A$3:$Z$176,7,0)</f>
        <v>1.4695985169491523</v>
      </c>
      <c r="AG27" s="294">
        <f>VLOOKUP(SUM!$A27,'SP02'!$A$3:$Z$176,8,0)</f>
        <v>14.301041313559322</v>
      </c>
      <c r="AH27" s="294">
        <f>VLOOKUP(SUM!$A27,'SP02'!$A$3:$Z$176,9,0)</f>
        <v>0.69285911016949164</v>
      </c>
      <c r="AI27" s="295"/>
      <c r="AJ27" s="299">
        <v>3.1528837666666658</v>
      </c>
      <c r="AK27" s="299">
        <v>1.7901286725269923E-2</v>
      </c>
      <c r="AL27" s="299">
        <v>0.29248100000000005</v>
      </c>
      <c r="AM27" s="300">
        <v>6.6590859066446323E-2</v>
      </c>
      <c r="AN27" s="299">
        <v>8.83659228419858E-2</v>
      </c>
      <c r="AO27" s="299">
        <f>SUM(Raw!AL27:AN27)</f>
        <v>0.44743778190843214</v>
      </c>
      <c r="AP27" s="295"/>
      <c r="AQ27" s="301">
        <v>0.67618658528162456</v>
      </c>
      <c r="AR27" s="294">
        <v>0.33864684478097073</v>
      </c>
      <c r="AS27" s="294">
        <v>-5.7000000000000002E-2</v>
      </c>
      <c r="AT27" s="299">
        <v>-0.36799999999999999</v>
      </c>
      <c r="AU27" s="294">
        <v>6.3E-2</v>
      </c>
      <c r="AV27" s="293">
        <v>17.13</v>
      </c>
      <c r="AW27" s="302">
        <v>203.05100280669629</v>
      </c>
      <c r="AX27" s="301">
        <v>11.092636535993408</v>
      </c>
      <c r="AY27" s="303">
        <f t="shared" si="1"/>
        <v>218.66816737288136</v>
      </c>
      <c r="AZ27" s="303"/>
      <c r="BA27" s="4">
        <f t="shared" si="2"/>
        <v>0.9811296422332495</v>
      </c>
      <c r="BB27" s="328">
        <f>BA27/SUM!I27</f>
        <v>2.680185138484807</v>
      </c>
    </row>
    <row r="28" spans="1:243">
      <c r="A28" s="289">
        <v>41403</v>
      </c>
      <c r="B28" s="290" t="s">
        <v>1</v>
      </c>
      <c r="C28" s="287">
        <v>5.7</v>
      </c>
      <c r="D28" s="286">
        <v>3.75</v>
      </c>
      <c r="E28" s="291">
        <f>[2]SUM!$N28</f>
        <v>0.59086299999999981</v>
      </c>
      <c r="F28" s="286">
        <v>3.012</v>
      </c>
      <c r="G28" s="316">
        <f>[3]SP02!$R26</f>
        <v>4.5293056818181814</v>
      </c>
      <c r="H28" s="317">
        <v>21.516704545454548</v>
      </c>
      <c r="I28" s="317">
        <v>26.492563636363638</v>
      </c>
      <c r="J28" s="294">
        <f>VLOOKUP(SUM!A28,'SP01'!$A$3:$AD$176,28,0)</f>
        <v>1.1634877993392008</v>
      </c>
      <c r="K28" s="293">
        <f t="shared" si="3"/>
        <v>13.408299999999999</v>
      </c>
      <c r="L28" s="295"/>
      <c r="M28" s="286">
        <v>21.316500000000001</v>
      </c>
      <c r="N28" s="287">
        <v>23.328399999999998</v>
      </c>
      <c r="O28" s="287">
        <v>15.5533</v>
      </c>
      <c r="P28" s="287">
        <v>7.5533900000000003</v>
      </c>
      <c r="Q28" s="287">
        <v>97.69802</v>
      </c>
      <c r="R28" s="286">
        <v>1.0382</v>
      </c>
      <c r="S28" s="286">
        <v>0.63776080000000002</v>
      </c>
      <c r="T28" s="286">
        <v>1.4995000000000001</v>
      </c>
      <c r="U28" s="286">
        <v>9.6091328011411709E-2</v>
      </c>
      <c r="V28" s="293">
        <v>5.72</v>
      </c>
      <c r="W28" s="293">
        <v>6.6629000000000005</v>
      </c>
      <c r="X28" s="287">
        <v>3.875</v>
      </c>
      <c r="Y28" s="286">
        <f>[2]SUM!$V28*32/1000</f>
        <v>8.0248136569563489</v>
      </c>
      <c r="Z28" s="295"/>
      <c r="AA28" s="293">
        <f>VLOOKUP(SUM!$A28,'SP02'!$A$3:$Z$176,2,0)</f>
        <v>22.689996027542367</v>
      </c>
      <c r="AB28" s="293">
        <f>VLOOKUP(SUM!$A28,'SP02'!$A$3:$Z$176,3,0)</f>
        <v>23.768764300847455</v>
      </c>
      <c r="AC28" s="293">
        <f>VLOOKUP(SUM!$A28,'SP02'!$A$3:$Z$176,4,0)</f>
        <v>15.567341395700142</v>
      </c>
      <c r="AD28" s="294">
        <f>VLOOKUP(SUM!$A28,'SP02'!$A$3:$Z$176,5,0)*32/1000</f>
        <v>7.4971594279661042</v>
      </c>
      <c r="AE28" s="293">
        <f>VLOOKUP(SUM!$A28,'SP02'!$A$3:$Z$176,6,0)*100</f>
        <v>99.674350885209776</v>
      </c>
      <c r="AF28" s="294">
        <f>VLOOKUP(SUM!$A28,'SP02'!$A$3:$Z$176,7,0)</f>
        <v>0.96645462570621443</v>
      </c>
      <c r="AG28" s="294">
        <f>VLOOKUP(SUM!$A28,'SP02'!$A$3:$Z$176,8,0)</f>
        <v>18.019468926553674</v>
      </c>
      <c r="AH28" s="294">
        <f>VLOOKUP(SUM!$A28,'SP02'!$A$3:$Z$176,9,0)</f>
        <v>0.48363276836158198</v>
      </c>
      <c r="AI28" s="295"/>
      <c r="AJ28" s="299">
        <v>3.6577013666666667</v>
      </c>
      <c r="AK28" s="299">
        <v>1.7942078490448741E-2</v>
      </c>
      <c r="AL28" s="299">
        <v>0.33393499999999998</v>
      </c>
      <c r="AM28" s="300">
        <v>6.0741319054551157E-2</v>
      </c>
      <c r="AN28" s="299">
        <v>0.10102605024273692</v>
      </c>
      <c r="AO28" s="299">
        <f>SUM(Raw!AL28:AN28)</f>
        <v>0.49570236929728806</v>
      </c>
      <c r="AP28" s="295"/>
      <c r="AQ28" s="301">
        <v>0.65635706665166493</v>
      </c>
      <c r="AR28" s="294">
        <v>8.3396885630398099E-2</v>
      </c>
      <c r="AS28" s="294">
        <v>-6.5000000000000002E-2</v>
      </c>
      <c r="AT28" s="299">
        <v>-0.28999999999999998</v>
      </c>
      <c r="AU28" s="294">
        <v>8.1000000000000003E-2</v>
      </c>
      <c r="AV28" s="293">
        <v>27.58</v>
      </c>
      <c r="AW28" s="302">
        <v>238.33221861578636</v>
      </c>
      <c r="AX28" s="301">
        <v>14.246785856725239</v>
      </c>
      <c r="AY28" s="303">
        <f t="shared" si="1"/>
        <v>234.28623212394075</v>
      </c>
      <c r="AZ28" s="303"/>
      <c r="BA28" s="4">
        <f t="shared" si="2"/>
        <v>0.95909233958242424</v>
      </c>
      <c r="BB28" s="328">
        <f>BA28/SUM!I28</f>
        <v>1.8921271066596854</v>
      </c>
    </row>
    <row r="29" spans="1:243">
      <c r="A29" s="289">
        <v>41409</v>
      </c>
      <c r="B29" s="290" t="s">
        <v>1</v>
      </c>
      <c r="C29" s="287">
        <v>5.5</v>
      </c>
      <c r="D29" s="286">
        <v>3.6</v>
      </c>
      <c r="E29" s="291">
        <f>[2]SUM!$N29</f>
        <v>0.63564428571428566</v>
      </c>
      <c r="F29" s="286">
        <v>2.9552941176470591</v>
      </c>
      <c r="G29" s="316">
        <f>[3]SP02!$R48</f>
        <v>7.0210430434782607</v>
      </c>
      <c r="H29" s="317">
        <v>22.479104347826084</v>
      </c>
      <c r="I29" s="317">
        <v>28.335965217391305</v>
      </c>
      <c r="J29" s="294">
        <f>VLOOKUP(SUM!A29,'SP01'!$A$3:$AD$176,28,0)</f>
        <v>1.0584153913989269</v>
      </c>
      <c r="K29" s="293">
        <f t="shared" si="3"/>
        <v>13.541699999999999</v>
      </c>
      <c r="L29" s="295"/>
      <c r="M29" s="286">
        <v>21.8383</v>
      </c>
      <c r="N29" s="287">
        <v>21.470099999999999</v>
      </c>
      <c r="O29" s="287">
        <v>14.0145</v>
      </c>
      <c r="P29" s="287">
        <v>7.86557</v>
      </c>
      <c r="Q29" s="287">
        <v>101.62724</v>
      </c>
      <c r="R29" s="286">
        <v>1.2202999999999999</v>
      </c>
      <c r="S29" s="286">
        <v>0.4847629</v>
      </c>
      <c r="T29" s="286">
        <v>1.4444999999999999</v>
      </c>
      <c r="U29" s="286">
        <v>0.20141986857539249</v>
      </c>
      <c r="V29" s="293">
        <v>8.23</v>
      </c>
      <c r="W29" s="304">
        <v>11.096900000000002</v>
      </c>
      <c r="X29" s="287">
        <v>1.875</v>
      </c>
      <c r="Y29" s="286">
        <f>[2]SUM!$V29*32/1000</f>
        <v>7.9435699438797149</v>
      </c>
      <c r="Z29" s="295"/>
      <c r="AA29" s="293">
        <f>VLOOKUP(SUM!$A29,'SP02'!$A$3:$Z$176,2,0)</f>
        <v>23.448145409604518</v>
      </c>
      <c r="AB29" s="293">
        <f>VLOOKUP(SUM!$A29,'SP02'!$A$3:$Z$176,3,0)</f>
        <v>22.568534427966103</v>
      </c>
      <c r="AC29" s="293">
        <f>VLOOKUP(SUM!$A29,'SP02'!$A$3:$Z$176,4,0)</f>
        <v>14.457446517373256</v>
      </c>
      <c r="AD29" s="294">
        <f>VLOOKUP(SUM!$A29,'SP02'!$A$3:$Z$176,5,0)*32/1000</f>
        <v>7.6037169844632775</v>
      </c>
      <c r="AE29" s="293">
        <f>VLOOKUP(SUM!$A29,'SP02'!$A$3:$Z$176,6,0)*100</f>
        <v>101.77553206364223</v>
      </c>
      <c r="AF29" s="294">
        <f>VLOOKUP(SUM!$A29,'SP02'!$A$3:$Z$176,7,0)</f>
        <v>1.1150084745762707</v>
      </c>
      <c r="AG29" s="294">
        <f>VLOOKUP(SUM!$A29,'SP02'!$A$3:$Z$176,8,0)</f>
        <v>17.307671433615813</v>
      </c>
      <c r="AH29" s="294">
        <f>VLOOKUP(SUM!$A29,'SP02'!$A$3:$Z$176,9,0)</f>
        <v>0.5700090042372884</v>
      </c>
      <c r="AI29" s="295"/>
      <c r="AJ29" s="299">
        <v>3.3843352666666666</v>
      </c>
      <c r="AK29" s="299">
        <v>1.8127267033404434E-2</v>
      </c>
      <c r="AL29" s="299">
        <v>0.30361216666666668</v>
      </c>
      <c r="AM29" s="300">
        <v>7.3295192149366667E-2</v>
      </c>
      <c r="AN29" s="299">
        <v>9.49659557367315E-2</v>
      </c>
      <c r="AO29" s="299">
        <f>SUM(Raw!AL29:AN29)</f>
        <v>0.47187331455276482</v>
      </c>
      <c r="AP29" s="295"/>
      <c r="AQ29" s="301">
        <v>0.76101285942089647</v>
      </c>
      <c r="AR29" s="294">
        <v>0.10232327968684618</v>
      </c>
      <c r="AS29" s="294">
        <v>-6.4000000000000001E-2</v>
      </c>
      <c r="AT29" s="299">
        <v>-0.35699999999999998</v>
      </c>
      <c r="AU29" s="294">
        <v>0.08</v>
      </c>
      <c r="AV29" s="293">
        <v>37.6</v>
      </c>
      <c r="AW29" s="302">
        <v>262.08202174735737</v>
      </c>
      <c r="AX29" s="301">
        <v>12.024172863877938</v>
      </c>
      <c r="AY29" s="303">
        <f t="shared" si="1"/>
        <v>237.61615576447741</v>
      </c>
      <c r="AZ29" s="303"/>
      <c r="BA29" s="4">
        <f t="shared" si="2"/>
        <v>0.96070924319644269</v>
      </c>
      <c r="BB29" s="328">
        <f>BA29/SUM!I29</f>
        <v>1.8506438527573497</v>
      </c>
    </row>
    <row r="30" spans="1:243">
      <c r="A30" s="289">
        <v>41416</v>
      </c>
      <c r="B30" s="290" t="s">
        <v>1</v>
      </c>
      <c r="C30" s="287">
        <v>5.8</v>
      </c>
      <c r="D30" s="286">
        <v>4.75</v>
      </c>
      <c r="E30" s="291">
        <f>[2]SUM!$N30</f>
        <v>0.40726980769230769</v>
      </c>
      <c r="F30" s="305">
        <f>AVERAGE(F29,F31)</f>
        <v>2.8456470588235296</v>
      </c>
      <c r="G30" s="316">
        <f>[3]SP02!$R71</f>
        <v>3.2259266666666671</v>
      </c>
      <c r="H30" s="317">
        <v>26.512699999999995</v>
      </c>
      <c r="I30" s="317">
        <v>25.688504761904763</v>
      </c>
      <c r="J30" s="294">
        <f>VLOOKUP(SUM!A30,'SP01'!$A$3:$AD$176,28,0)</f>
        <v>1.03340329810738</v>
      </c>
      <c r="K30" s="293">
        <f t="shared" si="3"/>
        <v>13.675000000000001</v>
      </c>
      <c r="L30" s="295"/>
      <c r="M30" s="286">
        <v>26.778500000000001</v>
      </c>
      <c r="N30" s="287">
        <v>24.6678</v>
      </c>
      <c r="O30" s="287">
        <v>15.024699999999999</v>
      </c>
      <c r="P30" s="287">
        <v>6.8489300000000002</v>
      </c>
      <c r="Q30" s="287">
        <v>98.338890000000006</v>
      </c>
      <c r="R30" s="286">
        <v>0.66520000000000001</v>
      </c>
      <c r="S30" s="286">
        <v>0.31982969999999999</v>
      </c>
      <c r="T30" s="286">
        <v>0.85492999999999997</v>
      </c>
      <c r="U30" s="286">
        <v>7.2394275301823061E-2</v>
      </c>
      <c r="V30" s="293">
        <v>4.1900000000000004</v>
      </c>
      <c r="W30" s="293">
        <v>4.8781999999999996</v>
      </c>
      <c r="X30" s="287">
        <v>5.125</v>
      </c>
      <c r="Y30" s="286">
        <f>[2]SUM!$V30*32/1000</f>
        <v>7.3088184101862499</v>
      </c>
      <c r="Z30" s="295"/>
      <c r="AA30" s="293">
        <f>VLOOKUP(SUM!$A30,'SP02'!$A$3:$Z$176,2,0)</f>
        <v>27.026956267655365</v>
      </c>
      <c r="AB30" s="293">
        <f>VLOOKUP(SUM!$A30,'SP02'!$A$3:$Z$176,3,0)</f>
        <v>24.227572740112986</v>
      </c>
      <c r="AC30" s="293">
        <f>VLOOKUP(SUM!$A30,'SP02'!$A$3:$Z$176,4,0)</f>
        <v>14.664928550199585</v>
      </c>
      <c r="AD30" s="294">
        <f>VLOOKUP(SUM!$A30,'SP02'!$A$3:$Z$176,5,0)*32/1000</f>
        <v>6.910617584745764</v>
      </c>
      <c r="AE30" s="293">
        <f>VLOOKUP(SUM!$A30,'SP02'!$A$3:$Z$176,6,0)*100</f>
        <v>99.379276384387921</v>
      </c>
      <c r="AF30" s="294">
        <f>VLOOKUP(SUM!$A30,'SP02'!$A$3:$Z$176,7,0)</f>
        <v>0.96755685028248639</v>
      </c>
      <c r="AG30" s="294">
        <f>VLOOKUP(SUM!$A30,'SP02'!$A$3:$Z$176,8,0)</f>
        <v>12.088289018361579</v>
      </c>
      <c r="AH30" s="294">
        <f>VLOOKUP(SUM!$A30,'SP02'!$A$3:$Z$176,9,0)</f>
        <v>0.36516331214689263</v>
      </c>
      <c r="AI30" s="295"/>
      <c r="AJ30" s="299">
        <v>2.4252893000000002</v>
      </c>
      <c r="AK30" s="299">
        <v>1.8149446651327856E-2</v>
      </c>
      <c r="AL30" s="299">
        <v>0.22346776666666671</v>
      </c>
      <c r="AM30" s="300">
        <v>2.7903933324141865E-2</v>
      </c>
      <c r="AN30" s="299">
        <v>5.7288366465820396E-2</v>
      </c>
      <c r="AO30" s="299">
        <f>SUM(Raw!AL30:AN30)</f>
        <v>0.30866006645662897</v>
      </c>
      <c r="AP30" s="295"/>
      <c r="AQ30" s="301">
        <v>0.53513260942717811</v>
      </c>
      <c r="AR30" s="294">
        <v>0.27586071302443321</v>
      </c>
      <c r="AS30" s="294">
        <v>-5.8999999999999997E-2</v>
      </c>
      <c r="AT30" s="299">
        <v>-0.47099999999999997</v>
      </c>
      <c r="AU30" s="294">
        <v>5.7000000000000002E-2</v>
      </c>
      <c r="AV30" s="293">
        <v>7.97</v>
      </c>
      <c r="AW30" s="302">
        <v>227.43871387361943</v>
      </c>
      <c r="AX30" s="301">
        <v>11.609475770543378</v>
      </c>
      <c r="AY30" s="303">
        <f t="shared" si="1"/>
        <v>215.95679952330514</v>
      </c>
      <c r="AZ30" s="303"/>
      <c r="BA30" s="4">
        <f t="shared" si="2"/>
        <v>0.97566241299051837</v>
      </c>
      <c r="BB30" s="328">
        <f>BA30/SUM!I30</f>
        <v>1.4557068153342636</v>
      </c>
    </row>
    <row r="31" spans="1:243">
      <c r="A31" s="289">
        <v>41423</v>
      </c>
      <c r="B31" s="290" t="s">
        <v>1</v>
      </c>
      <c r="C31" s="287">
        <v>5.7</v>
      </c>
      <c r="D31" s="286">
        <v>2.75</v>
      </c>
      <c r="E31" s="291">
        <f>[2]SUM!$N31</f>
        <v>0.65302702702702708</v>
      </c>
      <c r="F31" s="286">
        <v>2.7359999999999998</v>
      </c>
      <c r="G31" s="316">
        <f>[3]SP02!$R92</f>
        <v>4.0752570454545456</v>
      </c>
      <c r="H31" s="317">
        <v>25.970036363636368</v>
      </c>
      <c r="I31" s="317">
        <v>28.574059090909088</v>
      </c>
      <c r="J31" s="294">
        <f>VLOOKUP(SUM!A31,'SP01'!$A$3:$AD$176,28,0)</f>
        <v>1.0965878246435994</v>
      </c>
      <c r="K31" s="293">
        <f t="shared" si="3"/>
        <v>13.791599999999999</v>
      </c>
      <c r="L31" s="295"/>
      <c r="M31" s="286">
        <v>26.201699999999999</v>
      </c>
      <c r="N31" s="287">
        <v>27.905799999999999</v>
      </c>
      <c r="O31" s="287">
        <v>17.630199999999999</v>
      </c>
      <c r="P31" s="287">
        <v>6.50251</v>
      </c>
      <c r="Q31" s="287">
        <v>94.156639999999996</v>
      </c>
      <c r="R31" s="286">
        <v>0.89100000000000001</v>
      </c>
      <c r="S31" s="286">
        <v>0.84798580000000001</v>
      </c>
      <c r="T31" s="286">
        <v>0.71123999999999998</v>
      </c>
      <c r="U31" s="286">
        <v>0.16641685185758523</v>
      </c>
      <c r="V31" s="293">
        <v>1.39</v>
      </c>
      <c r="W31" s="293">
        <v>1.6046000000000014</v>
      </c>
      <c r="X31" s="287">
        <v>4.375</v>
      </c>
      <c r="Y31" s="286">
        <f>[2]SUM!$V31*32/1000</f>
        <v>7.3088184101862499</v>
      </c>
      <c r="Z31" s="295"/>
      <c r="AA31" s="293">
        <f>VLOOKUP(SUM!$A31,'SP02'!$A$3:$Z$176,2,0)</f>
        <v>26.497540960451971</v>
      </c>
      <c r="AB31" s="293">
        <f>VLOOKUP(SUM!$A31,'SP02'!$A$3:$Z$176,3,0)</f>
        <v>28.020667725988705</v>
      </c>
      <c r="AC31" s="293">
        <f>VLOOKUP(SUM!$A31,'SP02'!$A$3:$Z$176,4,0)</f>
        <v>17.671832282298279</v>
      </c>
      <c r="AD31" s="294">
        <f>VLOOKUP(SUM!$A31,'SP02'!$A$3:$Z$176,5,0)*32/1000</f>
        <v>6.6108103813559307</v>
      </c>
      <c r="AE31" s="293">
        <f>VLOOKUP(SUM!$A31,'SP02'!$A$3:$Z$176,6,0)*100</f>
        <v>96.255658097523153</v>
      </c>
      <c r="AF31" s="294">
        <f>VLOOKUP(SUM!$A31,'SP02'!$A$3:$Z$176,7,0)</f>
        <v>0.94609427966101667</v>
      </c>
      <c r="AG31" s="294">
        <f>VLOOKUP(SUM!$A31,'SP02'!$A$3:$Z$176,8,0)</f>
        <v>9.8807168079096019</v>
      </c>
      <c r="AH31" s="294">
        <f>VLOOKUP(SUM!$A31,'SP02'!$A$3:$Z$176,9,0)</f>
        <v>0.82667937853107265</v>
      </c>
      <c r="AI31" s="295"/>
      <c r="AJ31" s="299">
        <v>1.7756130000000001</v>
      </c>
      <c r="AK31" s="299">
        <v>1.7744851269604785E-2</v>
      </c>
      <c r="AL31" s="299">
        <v>0.17095936666666664</v>
      </c>
      <c r="AM31" s="300">
        <v>7.2104448851620581E-2</v>
      </c>
      <c r="AN31" s="299">
        <v>9.9963991885325135E-2</v>
      </c>
      <c r="AO31" s="299">
        <f>SUM(Raw!AL31:AN31)</f>
        <v>0.34302780740361233</v>
      </c>
      <c r="AP31" s="295"/>
      <c r="AQ31" s="301">
        <v>0.81190862390445961</v>
      </c>
      <c r="AR31" s="294">
        <v>0.1956893727868658</v>
      </c>
      <c r="AS31" s="294">
        <v>-5.3999999999999999E-2</v>
      </c>
      <c r="AT31" s="299">
        <v>-0.33800000000000002</v>
      </c>
      <c r="AU31" s="294">
        <v>0.06</v>
      </c>
      <c r="AV31" s="293">
        <v>13.43</v>
      </c>
      <c r="AW31" s="302">
        <v>174.1979361923083</v>
      </c>
      <c r="AX31" s="301">
        <v>9.3725628779259242</v>
      </c>
      <c r="AY31" s="303">
        <f t="shared" si="1"/>
        <v>206.58782441737284</v>
      </c>
      <c r="AZ31" s="303"/>
      <c r="BA31" s="4">
        <f t="shared" si="2"/>
        <v>0.96872559584979945</v>
      </c>
      <c r="BB31" s="328">
        <f>BA31/SUM!I31</f>
        <v>2.8037217256677351</v>
      </c>
    </row>
    <row r="32" spans="1:243">
      <c r="A32" s="289">
        <v>41430</v>
      </c>
      <c r="B32" s="290" t="s">
        <v>1</v>
      </c>
      <c r="C32" s="287">
        <v>5.9</v>
      </c>
      <c r="D32" s="286">
        <v>4</v>
      </c>
      <c r="E32" s="291">
        <f>[2]SUM!$N32</f>
        <v>0.59730100000000019</v>
      </c>
      <c r="F32" s="286">
        <v>1.6454</v>
      </c>
      <c r="G32" s="316">
        <f>[3]SP02!$R114</f>
        <v>1.8069766666666665</v>
      </c>
      <c r="H32" s="317">
        <v>27.845319047619054</v>
      </c>
      <c r="I32" s="317">
        <v>27.933371428571427</v>
      </c>
      <c r="J32" s="294">
        <f>VLOOKUP(SUM!A32,'SP01'!$A$3:$AD$176,28,0)</f>
        <v>1.0873004322166113</v>
      </c>
      <c r="K32" s="293">
        <f t="shared" si="3"/>
        <v>13.875</v>
      </c>
      <c r="L32" s="295"/>
      <c r="M32" s="286">
        <v>28.392600000000002</v>
      </c>
      <c r="N32" s="287">
        <v>25.249099999999999</v>
      </c>
      <c r="O32" s="287">
        <v>14.957000000000001</v>
      </c>
      <c r="P32" s="287">
        <v>6.3955399999999996</v>
      </c>
      <c r="Q32" s="287">
        <v>94.665580000000006</v>
      </c>
      <c r="R32" s="286">
        <v>0.56740000000000002</v>
      </c>
      <c r="S32" s="286">
        <v>0.30324479999999998</v>
      </c>
      <c r="T32" s="286">
        <v>0.84838999999999998</v>
      </c>
      <c r="U32" s="286">
        <v>0.11871118324306347</v>
      </c>
      <c r="V32" s="293">
        <v>3.75</v>
      </c>
      <c r="W32" s="293">
        <v>4.5928000000000004</v>
      </c>
      <c r="X32" s="287">
        <v>1.875</v>
      </c>
      <c r="Y32" s="286">
        <f>[2]SUM!$V32*32/1000</f>
        <v>6.9970681430505719</v>
      </c>
      <c r="Z32" s="295"/>
      <c r="AA32" s="293">
        <f>VLOOKUP(SUM!$A32,'SP02'!$A$3:$Z$176,2,0)</f>
        <v>28.609664724576266</v>
      </c>
      <c r="AB32" s="293">
        <f>VLOOKUP(SUM!$A32,'SP02'!$A$3:$Z$176,3,0)</f>
        <v>27.177938912429386</v>
      </c>
      <c r="AC32" s="293">
        <f>VLOOKUP(SUM!$A32,'SP02'!$A$3:$Z$176,4,0)</f>
        <v>16.375953146324072</v>
      </c>
      <c r="AD32" s="294">
        <f>VLOOKUP(SUM!$A32,'SP02'!$A$3:$Z$176,5,0)*32/1000</f>
        <v>6.4070446680790969</v>
      </c>
      <c r="AE32" s="293">
        <f>VLOOKUP(SUM!$A32,'SP02'!$A$3:$Z$176,6,0)*100</f>
        <v>96.19203479803646</v>
      </c>
      <c r="AF32" s="294">
        <f>VLOOKUP(SUM!$A32,'SP02'!$A$3:$Z$176,7,0)</f>
        <v>0.8055158898305087</v>
      </c>
      <c r="AG32" s="294">
        <f>VLOOKUP(SUM!$A32,'SP02'!$A$3:$Z$176,8,0)</f>
        <v>10.543114583333336</v>
      </c>
      <c r="AH32" s="294">
        <f>VLOOKUP(SUM!$A32,'SP02'!$A$3:$Z$176,9,0)</f>
        <v>0.41336511299435025</v>
      </c>
      <c r="AI32" s="295"/>
      <c r="AJ32" s="299">
        <v>2.2064275333333332</v>
      </c>
      <c r="AK32" s="299">
        <v>1.8093918894307982E-2</v>
      </c>
      <c r="AL32" s="299">
        <v>0.20611850000000001</v>
      </c>
      <c r="AM32" s="300">
        <v>3.4856419214011107E-2</v>
      </c>
      <c r="AN32" s="299">
        <v>6.7612531586231928E-2</v>
      </c>
      <c r="AO32" s="299">
        <f>SUM(Raw!AL32:AN32)</f>
        <v>0.30858745080024308</v>
      </c>
      <c r="AP32" s="295"/>
      <c r="AQ32" s="301">
        <v>0.82614731992069468</v>
      </c>
      <c r="AR32" s="294">
        <v>0.29099581394243351</v>
      </c>
      <c r="AS32" s="294">
        <v>-6.0999999999999999E-2</v>
      </c>
      <c r="AT32" s="299">
        <v>-0.218</v>
      </c>
      <c r="AU32" s="294">
        <v>7.4999999999999997E-2</v>
      </c>
      <c r="AV32" s="293">
        <v>23.19</v>
      </c>
      <c r="AW32" s="302">
        <v>168.26048540941554</v>
      </c>
      <c r="AX32" s="301">
        <v>10.651382485942841</v>
      </c>
      <c r="AY32" s="303">
        <f t="shared" si="1"/>
        <v>200.22014587747177</v>
      </c>
      <c r="AZ32" s="303"/>
      <c r="BA32" s="4">
        <f t="shared" si="2"/>
        <v>0.97697753921328723</v>
      </c>
      <c r="BB32" s="328">
        <f>BA32/SUM!I32</f>
        <v>1.6921216066724472</v>
      </c>
    </row>
    <row r="33" spans="1:54">
      <c r="A33" s="289">
        <v>41437</v>
      </c>
      <c r="B33" s="290" t="s">
        <v>1</v>
      </c>
      <c r="C33" s="287">
        <v>5.7</v>
      </c>
      <c r="D33" s="286">
        <v>3</v>
      </c>
      <c r="E33" s="291">
        <f>[2]SUM!$N33</f>
        <v>0.62482708333333348</v>
      </c>
      <c r="F33" s="286">
        <v>2.31</v>
      </c>
      <c r="G33" s="316">
        <f>[3]SP02!$R135</f>
        <v>4.3280449999999995</v>
      </c>
      <c r="H33" s="317">
        <v>27.56966666666667</v>
      </c>
      <c r="I33" s="317">
        <v>26.955061904761909</v>
      </c>
      <c r="J33" s="294">
        <f>VLOOKUP(SUM!A33,'SP01'!$A$3:$AD$176,28,0)</f>
        <v>1.0852821929534473</v>
      </c>
      <c r="K33" s="293">
        <f t="shared" si="3"/>
        <v>13.933400000000002</v>
      </c>
      <c r="L33" s="295"/>
      <c r="M33" s="286">
        <v>27.6556</v>
      </c>
      <c r="N33" s="287">
        <v>25.249400000000001</v>
      </c>
      <c r="O33" s="287">
        <v>15.1896</v>
      </c>
      <c r="P33" s="287">
        <v>6.5774999999999997</v>
      </c>
      <c r="Q33" s="287">
        <v>96.165970000000002</v>
      </c>
      <c r="R33" s="286">
        <v>0.70330000000000004</v>
      </c>
      <c r="S33" s="286">
        <v>0.47349570000000002</v>
      </c>
      <c r="T33" s="286">
        <v>0.84060999999999997</v>
      </c>
      <c r="U33" s="286">
        <v>7.5458832472410933E-2</v>
      </c>
      <c r="V33" s="293">
        <v>2.65</v>
      </c>
      <c r="W33" s="293">
        <v>3.4085999999999999</v>
      </c>
      <c r="X33" s="287">
        <v>2.625</v>
      </c>
      <c r="Y33" s="286">
        <f>[2]SUM!$V33*32/1000</f>
        <v>7.0916246415525963</v>
      </c>
      <c r="Z33" s="295"/>
      <c r="AA33" s="293">
        <f>VLOOKUP(SUM!$A33,'SP02'!$A$3:$Z$176,2,0)</f>
        <v>28.91715790960453</v>
      </c>
      <c r="AB33" s="293">
        <f>VLOOKUP(SUM!$A33,'SP02'!$A$3:$Z$176,3,0)</f>
        <v>24.295132415254244</v>
      </c>
      <c r="AC33" s="293">
        <f>VLOOKUP(SUM!$A33,'SP02'!$A$3:$Z$176,4,0)</f>
        <v>14.120801890963932</v>
      </c>
      <c r="AD33" s="294">
        <f>VLOOKUP(SUM!$A33,'SP02'!$A$3:$Z$176,5,0)*32/1000</f>
        <v>6.7366009887005651</v>
      </c>
      <c r="AE33" s="293">
        <f>VLOOKUP(SUM!$A33,'SP02'!$A$3:$Z$176,6,0)*100</f>
        <v>100.04798802654167</v>
      </c>
      <c r="AF33" s="294">
        <f>VLOOKUP(SUM!$A33,'SP02'!$A$3:$Z$176,7,0)</f>
        <v>0.91407821327683558</v>
      </c>
      <c r="AG33" s="294">
        <f>VLOOKUP(SUM!$A33,'SP02'!$A$3:$Z$176,8,0)</f>
        <v>11.414127471751415</v>
      </c>
      <c r="AH33" s="294">
        <f>VLOOKUP(SUM!$A33,'SP02'!$A$3:$Z$176,9,0)</f>
        <v>0.46776641949152542</v>
      </c>
      <c r="AI33" s="295"/>
      <c r="AJ33" s="299">
        <v>2.1711148666666666</v>
      </c>
      <c r="AK33" s="299">
        <v>1.6411833047781862E-2</v>
      </c>
      <c r="AL33" s="299">
        <v>0.25808953333333334</v>
      </c>
      <c r="AM33" s="300">
        <v>5.4418089501082088E-2</v>
      </c>
      <c r="AN33" s="299">
        <v>0.10630151822887762</v>
      </c>
      <c r="AO33" s="299">
        <f>SUM(Raw!AL33:AN33)</f>
        <v>0.41880914106329303</v>
      </c>
      <c r="AP33" s="295"/>
      <c r="AQ33" s="301">
        <v>1.3087482295773378</v>
      </c>
      <c r="AR33" s="286">
        <v>0.13861219440825154</v>
      </c>
      <c r="AS33" s="286">
        <v>-3.7999999999999999E-2</v>
      </c>
      <c r="AT33" s="306">
        <v>-0.26</v>
      </c>
      <c r="AU33" s="286">
        <v>0.129</v>
      </c>
      <c r="AV33" s="287">
        <v>27.411999999999999</v>
      </c>
      <c r="AW33" s="302">
        <v>231.36430116809402</v>
      </c>
      <c r="AX33" s="301">
        <v>12.587997483386996</v>
      </c>
      <c r="AY33" s="303">
        <f t="shared" si="1"/>
        <v>210.51878089689265</v>
      </c>
      <c r="AZ33" s="303"/>
      <c r="BA33" s="4">
        <f t="shared" si="2"/>
        <v>0.96381707472358757</v>
      </c>
      <c r="BB33" s="328">
        <f>BA33/SUM!I33</f>
        <v>1.391318929601425</v>
      </c>
    </row>
    <row r="34" spans="1:54">
      <c r="A34" s="289">
        <v>41444</v>
      </c>
      <c r="B34" s="290" t="s">
        <v>1</v>
      </c>
      <c r="C34" s="287">
        <v>5.8</v>
      </c>
      <c r="D34" s="286">
        <v>3</v>
      </c>
      <c r="E34" s="291">
        <f>[2]SUM!$N34</f>
        <v>0.50620118367346945</v>
      </c>
      <c r="F34" s="286">
        <v>4.5628571428571432</v>
      </c>
      <c r="G34" s="316">
        <f>[3]SP02!$R156</f>
        <v>6.8625249999999998</v>
      </c>
      <c r="H34" s="317">
        <v>28.923981818181815</v>
      </c>
      <c r="I34" s="317">
        <v>27.312345454545458</v>
      </c>
      <c r="J34" s="294">
        <f>VLOOKUP(SUM!A34,'SP01'!$A$3:$AD$176,28,0)</f>
        <v>1.1300144573099722</v>
      </c>
      <c r="K34" s="293">
        <f t="shared" si="3"/>
        <v>13.958299999999998</v>
      </c>
      <c r="L34" s="295"/>
      <c r="M34" s="286">
        <v>28.618200000000002</v>
      </c>
      <c r="N34" s="287">
        <v>25.361000000000001</v>
      </c>
      <c r="O34" s="287">
        <v>14.9687</v>
      </c>
      <c r="P34" s="287">
        <v>6.3391700000000002</v>
      </c>
      <c r="Q34" s="287">
        <v>94.242419999999996</v>
      </c>
      <c r="R34" s="286">
        <v>1.2212000000000001</v>
      </c>
      <c r="S34" s="286">
        <v>0.67324649999999997</v>
      </c>
      <c r="T34" s="286">
        <v>0.81040999999999996</v>
      </c>
      <c r="U34" s="286">
        <v>0.19744063660743721</v>
      </c>
      <c r="V34" s="293">
        <v>3.08</v>
      </c>
      <c r="W34" s="293">
        <v>4.1685999999999979</v>
      </c>
      <c r="X34" s="287">
        <v>2.125</v>
      </c>
      <c r="Y34" s="294">
        <f>[2]SUM!$V34*32/1000</f>
        <v>6.8472651392264243</v>
      </c>
      <c r="Z34" s="295"/>
      <c r="AA34" s="293">
        <f>VLOOKUP(SUM!$A34,'SP02'!$A$3:$Z$176,2,0)</f>
        <v>29.262782874293787</v>
      </c>
      <c r="AB34" s="293">
        <f>VLOOKUP(SUM!$A34,'SP02'!$A$3:$Z$176,3,0)</f>
        <v>24.319707274011304</v>
      </c>
      <c r="AC34" s="293">
        <f>VLOOKUP(SUM!$A34,'SP02'!$A$3:$Z$176,4,0)</f>
        <v>14.0291741738982</v>
      </c>
      <c r="AD34" s="294">
        <f>VLOOKUP(SUM!$A34,'SP02'!$A$3:$Z$176,5,0)*32/1000</f>
        <v>6.751997351694917</v>
      </c>
      <c r="AE34" s="293">
        <f>VLOOKUP(SUM!$A34,'SP02'!$A$3:$Z$176,6,0)*100</f>
        <v>100.86826761830368</v>
      </c>
      <c r="AF34" s="294">
        <f>VLOOKUP(SUM!$A34,'SP02'!$A$3:$Z$176,7,0)</f>
        <v>1.4148022598870051</v>
      </c>
      <c r="AG34" s="294">
        <f>VLOOKUP(SUM!$A34,'SP02'!$A$3:$Z$176,8,0)</f>
        <v>10.926110169491528</v>
      </c>
      <c r="AH34" s="294">
        <f>VLOOKUP(SUM!$A34,'SP02'!$A$3:$Z$176,9,0)</f>
        <v>0.74620727401129916</v>
      </c>
      <c r="AI34" s="295"/>
      <c r="AJ34" s="299">
        <v>2.1374910666666667</v>
      </c>
      <c r="AK34" s="299">
        <v>1.6156151648865493E-2</v>
      </c>
      <c r="AL34" s="299">
        <v>0.2573986333333334</v>
      </c>
      <c r="AM34" s="300">
        <v>7.6701298030623921E-2</v>
      </c>
      <c r="AN34" s="299">
        <v>0.10977644472650011</v>
      </c>
      <c r="AO34" s="299">
        <f>SUM(Raw!AL34:AN34)</f>
        <v>0.44387637609045744</v>
      </c>
      <c r="AP34" s="295"/>
      <c r="AQ34" s="301">
        <v>1.3610981587604316</v>
      </c>
      <c r="AR34" s="286">
        <v>0.17844175190610073</v>
      </c>
      <c r="AS34" s="286">
        <v>-3.7999999999999999E-2</v>
      </c>
      <c r="AT34" s="306">
        <v>-0.20499999999999999</v>
      </c>
      <c r="AU34" s="286">
        <v>0.128</v>
      </c>
      <c r="AV34" s="287">
        <v>23.94</v>
      </c>
      <c r="AW34" s="302">
        <v>192.94261552342431</v>
      </c>
      <c r="AX34" s="301">
        <v>12.792281765817815</v>
      </c>
      <c r="AY34" s="303">
        <f t="shared" si="1"/>
        <v>210.99991724046615</v>
      </c>
      <c r="AZ34" s="303"/>
      <c r="BA34" s="4">
        <f t="shared" si="2"/>
        <v>0.96723970573914608</v>
      </c>
      <c r="BB34" s="328">
        <f>BA34/SUM!I34</f>
        <v>1.3962596714142355</v>
      </c>
    </row>
    <row r="35" spans="1:54">
      <c r="A35" s="289">
        <v>41451</v>
      </c>
      <c r="B35" s="290" t="s">
        <v>1</v>
      </c>
      <c r="C35" s="287">
        <v>5.7</v>
      </c>
      <c r="D35" s="307">
        <v>3</v>
      </c>
      <c r="E35" s="291">
        <f>[2]SUM!$N35</f>
        <v>0.54040980392156868</v>
      </c>
      <c r="F35" s="308">
        <v>3.37</v>
      </c>
      <c r="G35" s="316">
        <f>[3]SP02!$R178</f>
        <v>5.843563333333333</v>
      </c>
      <c r="H35" s="317">
        <v>29.172476190476189</v>
      </c>
      <c r="I35" s="317">
        <v>25.602509523809523</v>
      </c>
      <c r="J35" s="294">
        <f>VLOOKUP(SUM!A35,'SP01'!$A$3:$AD$176,28,0)</f>
        <v>1.0277260418373884</v>
      </c>
      <c r="K35" s="293">
        <f t="shared" si="3"/>
        <v>13.958300000000001</v>
      </c>
      <c r="L35" s="295"/>
      <c r="M35" s="286">
        <v>29.3902</v>
      </c>
      <c r="N35" s="287">
        <v>21.043800000000001</v>
      </c>
      <c r="O35" s="287">
        <v>11.4992</v>
      </c>
      <c r="P35" s="287">
        <v>6.5094799999999999</v>
      </c>
      <c r="Q35" s="287">
        <v>95.706280000000007</v>
      </c>
      <c r="R35" s="286">
        <v>1.0004999999999999</v>
      </c>
      <c r="S35" s="286">
        <v>0.61944239999999995</v>
      </c>
      <c r="T35" s="286">
        <v>1.2092000000000001</v>
      </c>
      <c r="U35" s="286">
        <v>0.21037834103935493</v>
      </c>
      <c r="V35" s="293">
        <v>6.85</v>
      </c>
      <c r="W35" s="293">
        <v>8.9052000000000007</v>
      </c>
      <c r="X35" s="287">
        <v>3.375</v>
      </c>
      <c r="Y35" s="294">
        <f>[2]SUM!$V35*32/1000</f>
        <v>7.1894123269913637</v>
      </c>
      <c r="Z35" s="295"/>
      <c r="AA35" s="293">
        <f>VLOOKUP(SUM!$A35,'SP02'!$A$3:$Z$176,2,0)</f>
        <v>30.118736882062151</v>
      </c>
      <c r="AB35" s="293">
        <f>VLOOKUP(SUM!$A35,'SP02'!$A$3:$Z$176,3,0)</f>
        <v>23.696185911016954</v>
      </c>
      <c r="AC35" s="293">
        <f>VLOOKUP(SUM!$A35,'SP02'!$A$3:$Z$176,4,0)</f>
        <v>13.284005768797984</v>
      </c>
      <c r="AD35" s="294">
        <f>VLOOKUP(SUM!$A35,'SP02'!$A$3:$Z$176,5,0)*32/1000</f>
        <v>6.770536193502827</v>
      </c>
      <c r="AE35" s="293">
        <f>VLOOKUP(SUM!$A35,'SP02'!$A$3:$Z$176,6,0)*100</f>
        <v>102.23250280991299</v>
      </c>
      <c r="AF35" s="294">
        <f>VLOOKUP(SUM!$A35,'SP02'!$A$3:$Z$176,7,0)</f>
        <v>1.131833333333333</v>
      </c>
      <c r="AG35" s="294">
        <f>VLOOKUP(SUM!$A35,'SP02'!$A$3:$Z$176,8,0)</f>
        <v>12.65905896892655</v>
      </c>
      <c r="AH35" s="294">
        <f>VLOOKUP(SUM!$A35,'SP02'!$A$3:$Z$176,9,0)</f>
        <v>0.65007750706214695</v>
      </c>
      <c r="AI35" s="295"/>
      <c r="AJ35" s="309" t="e">
        <f>NA()</f>
        <v>#N/A</v>
      </c>
      <c r="AK35" s="309" t="e">
        <f>NA()</f>
        <v>#N/A</v>
      </c>
      <c r="AL35" s="309" t="e">
        <f>NA()</f>
        <v>#N/A</v>
      </c>
      <c r="AM35" s="309" t="e">
        <f>NA()</f>
        <v>#N/A</v>
      </c>
      <c r="AN35" s="309" t="e">
        <f>NA()</f>
        <v>#N/A</v>
      </c>
      <c r="AO35" s="299">
        <f>AO15</f>
        <v>0.50329662205299919</v>
      </c>
      <c r="AP35" s="295"/>
      <c r="AQ35" s="301" t="e">
        <f>NA()</f>
        <v>#N/A</v>
      </c>
      <c r="AR35" s="310"/>
      <c r="AS35" s="310"/>
      <c r="AT35" s="311"/>
      <c r="AU35" s="310"/>
      <c r="AV35" s="310"/>
      <c r="AW35" s="312" t="e">
        <v>#N/A</v>
      </c>
      <c r="AX35" s="310" t="e">
        <f>NA()</f>
        <v>#N/A</v>
      </c>
      <c r="AY35" s="303">
        <f t="shared" si="1"/>
        <v>211.57925604696334</v>
      </c>
      <c r="AZ35" s="303"/>
      <c r="BA35" s="4">
        <f t="shared" si="2"/>
        <v>0.95199999999999996</v>
      </c>
      <c r="BB35" s="328">
        <f>BA35/SUM!I35</f>
        <v>1.2603400975501124</v>
      </c>
    </row>
    <row r="36" spans="1:54">
      <c r="A36" s="313">
        <v>41472</v>
      </c>
      <c r="B36" s="290" t="s">
        <v>1</v>
      </c>
      <c r="C36" s="287">
        <v>5.8</v>
      </c>
      <c r="D36" s="286">
        <v>2</v>
      </c>
      <c r="E36" s="291">
        <f>[2]SUM!$N36</f>
        <v>0.58804549019607855</v>
      </c>
      <c r="F36" s="286">
        <v>8.2333333333333343</v>
      </c>
      <c r="G36" s="316">
        <f>[3]SP02!$R199</f>
        <v>8.7046683333333323</v>
      </c>
      <c r="H36" s="317">
        <v>28.358233333333335</v>
      </c>
      <c r="I36" s="317">
        <v>21.087191666666666</v>
      </c>
      <c r="J36" s="294">
        <f>VLOOKUP(SUM!A36,'SP01'!$A$3:$AD$176,28,0)</f>
        <v>0.88906680266955873</v>
      </c>
      <c r="K36" s="293">
        <f t="shared" si="3"/>
        <v>13.7417</v>
      </c>
      <c r="L36" s="295"/>
      <c r="M36" s="286">
        <v>28.066400000000002</v>
      </c>
      <c r="N36" s="287">
        <v>15.6448</v>
      </c>
      <c r="O36" s="287">
        <v>7.8894000000000002</v>
      </c>
      <c r="P36" s="287">
        <v>6.5975000000000001</v>
      </c>
      <c r="Q36" s="287">
        <v>92.063400000000001</v>
      </c>
      <c r="R36" s="286">
        <v>2.4289000000000001</v>
      </c>
      <c r="S36" s="286">
        <v>1.0431235999999999</v>
      </c>
      <c r="T36" s="286">
        <v>3.3691</v>
      </c>
      <c r="U36" s="286">
        <v>7.2329193287314977E-2</v>
      </c>
      <c r="V36" s="304">
        <v>10.039999999999999</v>
      </c>
      <c r="W36" s="304">
        <v>13.4329</v>
      </c>
      <c r="X36" s="304">
        <v>4.125</v>
      </c>
      <c r="Y36" s="294">
        <f>[2]SUM!$V36*32/1000</f>
        <v>7.2651766797101303</v>
      </c>
      <c r="Z36" s="295"/>
      <c r="AA36" s="293">
        <f>VLOOKUP(SUM!$A36,'SP02'!$A$3:$Z$176,2,0)</f>
        <v>29.174818273305089</v>
      </c>
      <c r="AB36" s="293">
        <f>VLOOKUP(SUM!$A36,'SP02'!$A$3:$Z$176,3,0)</f>
        <v>14.606302789548026</v>
      </c>
      <c r="AC36" s="293">
        <f>VLOOKUP(SUM!$A36,'SP02'!$A$3:$Z$176,4,0)</f>
        <v>6.8201714950828318</v>
      </c>
      <c r="AD36" s="294">
        <f>VLOOKUP(SUM!$A36,'SP02'!$A$3:$Z$176,5,0)*32/1000</f>
        <v>7.4622692443502823</v>
      </c>
      <c r="AE36" s="293">
        <f>VLOOKUP(SUM!$A36,'SP02'!$A$3:$Z$176,6,0)*100</f>
        <v>105.50649152049274</v>
      </c>
      <c r="AF36" s="294">
        <f>VLOOKUP(SUM!$A36,'SP02'!$A$3:$Z$176,7,0)</f>
        <v>2.6386649011299443</v>
      </c>
      <c r="AG36" s="294">
        <f>VLOOKUP(SUM!$A36,'SP02'!$A$3:$Z$176,8,0)</f>
        <v>48.719382591807907</v>
      </c>
      <c r="AH36" s="294">
        <f>VLOOKUP(SUM!$A36,'SP02'!$A$3:$Z$176,9,0)</f>
        <v>1.3307851341807917</v>
      </c>
      <c r="AI36" s="295"/>
      <c r="AJ36" s="299">
        <v>11.221137200000001</v>
      </c>
      <c r="AK36" s="299">
        <v>1.6402732442723077E-2</v>
      </c>
      <c r="AL36" s="299">
        <v>1.203624566666667</v>
      </c>
      <c r="AM36" s="300">
        <v>0.2452114988308281</v>
      </c>
      <c r="AN36" s="299">
        <v>0.12589425368522</v>
      </c>
      <c r="AO36" s="299">
        <f>SUM(Raw!AL36:AN36)</f>
        <v>1.5747303191827151</v>
      </c>
      <c r="AP36" s="295"/>
      <c r="AQ36" s="301">
        <v>1.4003606056477513</v>
      </c>
      <c r="AR36" s="286">
        <v>0.2338460350954828</v>
      </c>
      <c r="AS36" s="286">
        <v>-6.4000000000000001E-2</v>
      </c>
      <c r="AT36" s="306">
        <v>-0.27800000000000002</v>
      </c>
      <c r="AU36" s="286">
        <v>0.11799999999999999</v>
      </c>
      <c r="AV36" s="287">
        <v>35.506</v>
      </c>
      <c r="AW36" s="302" t="e">
        <v>#N/A</v>
      </c>
      <c r="AX36" s="310" t="e">
        <f>NA()</f>
        <v>#N/A</v>
      </c>
      <c r="AY36" s="303">
        <f t="shared" si="1"/>
        <v>233.19591388594631</v>
      </c>
      <c r="AZ36" s="303"/>
      <c r="BA36" s="4">
        <f t="shared" si="2"/>
        <v>0.97202092491092951</v>
      </c>
      <c r="BB36" s="328">
        <f>BA36/SUM!I36</f>
        <v>1.7641528780555493</v>
      </c>
    </row>
    <row r="37" spans="1:54">
      <c r="A37" s="289">
        <v>41479</v>
      </c>
      <c r="B37" s="290" t="s">
        <v>1</v>
      </c>
      <c r="C37" s="287">
        <v>5.7</v>
      </c>
      <c r="D37" s="286">
        <v>2</v>
      </c>
      <c r="E37" s="291">
        <f>[2]SUM!$N37</f>
        <v>0.35544938775510204</v>
      </c>
      <c r="F37" s="286">
        <v>7.9857142857142858</v>
      </c>
      <c r="G37" s="316">
        <f>[3]SP02!$R223</f>
        <v>6.9538217391304338</v>
      </c>
      <c r="H37" s="317">
        <v>28.472347826086953</v>
      </c>
      <c r="I37" s="317">
        <v>20.207126086956521</v>
      </c>
      <c r="J37" s="294">
        <f>VLOOKUP(SUM!A37,'SP01'!$A$3:$AD$176,28,0)</f>
        <v>0.99412593728013621</v>
      </c>
      <c r="K37" s="293">
        <f t="shared" si="3"/>
        <v>13.625</v>
      </c>
      <c r="L37" s="295"/>
      <c r="M37" s="286">
        <v>28.614699999999999</v>
      </c>
      <c r="N37" s="287">
        <v>21.675000000000001</v>
      </c>
      <c r="O37" s="287">
        <v>12.216900000000001</v>
      </c>
      <c r="P37" s="287">
        <v>6.2440899999999999</v>
      </c>
      <c r="Q37" s="287">
        <v>90.935169999999999</v>
      </c>
      <c r="R37" s="286">
        <v>1.8444</v>
      </c>
      <c r="S37" s="286">
        <v>1.1339650999999999</v>
      </c>
      <c r="T37" s="286">
        <v>1.6878</v>
      </c>
      <c r="U37" s="286">
        <v>0.12431897621493415</v>
      </c>
      <c r="V37" s="293"/>
      <c r="W37" s="293">
        <v>2.7038000000000011</v>
      </c>
      <c r="X37" s="287">
        <v>1.625</v>
      </c>
      <c r="Y37" s="294">
        <f>[2]SUM!$V37*32/1000</f>
        <v>6.7230721988224538</v>
      </c>
      <c r="Z37" s="295"/>
      <c r="AA37" s="293">
        <f>VLOOKUP(SUM!$A37,'SP02'!$A$3:$Z$176,2,0)</f>
        <v>28.669546557203393</v>
      </c>
      <c r="AB37" s="293">
        <f>VLOOKUP(SUM!$A37,'SP02'!$A$3:$Z$176,3,0)</f>
        <v>18.311039194915249</v>
      </c>
      <c r="AC37" s="293">
        <f>VLOOKUP(SUM!$A37,'SP02'!$A$3:$Z$176,4,0)</f>
        <v>9.737157592862328</v>
      </c>
      <c r="AD37" s="294">
        <f>VLOOKUP(SUM!$A37,'SP02'!$A$3:$Z$176,5,0)*32/1000</f>
        <v>7.1125602048022589</v>
      </c>
      <c r="AE37" s="293">
        <f>VLOOKUP(SUM!$A37,'SP02'!$A$3:$Z$176,6,0)*100</f>
        <v>101.76062840011051</v>
      </c>
      <c r="AF37" s="294">
        <f>VLOOKUP(SUM!$A37,'SP02'!$A$3:$Z$176,7,0)</f>
        <v>2.2975349576271182</v>
      </c>
      <c r="AG37" s="294">
        <f>VLOOKUP(SUM!$A37,'SP02'!$A$3:$Z$176,8,0)</f>
        <v>40.472458686440667</v>
      </c>
      <c r="AH37" s="294">
        <f>VLOOKUP(SUM!$A37,'SP02'!$A$3:$Z$176,9,0)</f>
        <v>1.6224011299435031</v>
      </c>
      <c r="AI37" s="295"/>
      <c r="AJ37" s="299">
        <v>6.9474600999999998</v>
      </c>
      <c r="AK37" s="299">
        <v>1.7274285630810671E-2</v>
      </c>
      <c r="AL37" s="299">
        <v>0.67262953333333342</v>
      </c>
      <c r="AM37" s="300">
        <v>0.24963017921000474</v>
      </c>
      <c r="AN37" s="299">
        <v>0.22011892772809949</v>
      </c>
      <c r="AO37" s="299">
        <f>SUM(Raw!AL37:AN37)</f>
        <v>1.1423786402714375</v>
      </c>
      <c r="AP37" s="295"/>
      <c r="AQ37" s="301">
        <v>1.1742379948707782</v>
      </c>
      <c r="AR37" s="286">
        <v>1.0263349296022888</v>
      </c>
      <c r="AS37" s="286">
        <v>0.115</v>
      </c>
      <c r="AT37" s="306">
        <v>0.20599999999999999</v>
      </c>
      <c r="AU37" s="286">
        <v>0.151</v>
      </c>
      <c r="AV37" s="287">
        <v>45.564</v>
      </c>
      <c r="AW37" s="302" t="e">
        <v>#N/A</v>
      </c>
      <c r="AX37" s="310" t="e">
        <f>NA()</f>
        <v>#N/A</v>
      </c>
      <c r="AY37" s="303">
        <f t="shared" si="1"/>
        <v>222.2675064000706</v>
      </c>
      <c r="AZ37" s="303"/>
      <c r="BA37" s="4">
        <f t="shared" si="2"/>
        <v>1.0430546426630918</v>
      </c>
      <c r="BB37" s="328">
        <f>BA37/SUM!I37</f>
        <v>1.7599814145424482</v>
      </c>
    </row>
    <row r="38" spans="1:54">
      <c r="A38" s="313">
        <v>41486</v>
      </c>
      <c r="B38" s="290" t="s">
        <v>1</v>
      </c>
      <c r="C38" s="287">
        <v>5.9</v>
      </c>
      <c r="D38" s="286">
        <v>2</v>
      </c>
      <c r="E38" s="291">
        <f>[2]SUM!$N38</f>
        <v>0.30618839999999997</v>
      </c>
      <c r="F38" s="294">
        <v>7.6766666666666685</v>
      </c>
      <c r="G38" s="316">
        <f>[3]SP02!$R246</f>
        <v>6.1051154545454542</v>
      </c>
      <c r="H38" s="317">
        <v>28.851036363636368</v>
      </c>
      <c r="I38" s="317">
        <v>26.281272727272725</v>
      </c>
      <c r="J38" s="294">
        <f>VLOOKUP(SUM!A38,'SP01'!$A$3:$AD$176,28,0)</f>
        <v>1.05905015017397</v>
      </c>
      <c r="K38" s="293">
        <f t="shared" si="3"/>
        <v>13.483299999999998</v>
      </c>
      <c r="L38" s="295"/>
      <c r="M38" s="286">
        <v>30.096599999999999</v>
      </c>
      <c r="N38" s="287">
        <v>12.1265</v>
      </c>
      <c r="O38" s="287">
        <v>4.6417999999999999</v>
      </c>
      <c r="P38" s="287">
        <v>6.8819100000000004</v>
      </c>
      <c r="Q38" s="287">
        <v>97.477530000000002</v>
      </c>
      <c r="R38" s="286">
        <v>2.0213999999999999</v>
      </c>
      <c r="S38" s="286">
        <v>1.1171928</v>
      </c>
      <c r="T38" s="286">
        <v>3.5779999999999998</v>
      </c>
      <c r="U38" s="286">
        <v>9.6499569368778446E-2</v>
      </c>
      <c r="V38" s="304">
        <v>16.600000000000001</v>
      </c>
      <c r="W38" s="304">
        <v>20.867899999999999</v>
      </c>
      <c r="X38" s="304">
        <v>1.875</v>
      </c>
      <c r="Y38" s="294">
        <f>[2]SUM!$V38*32/1000</f>
        <v>7.6494703036961269</v>
      </c>
      <c r="Z38" s="295"/>
      <c r="AA38" s="293">
        <f>VLOOKUP(SUM!$A38,'SP02'!$A$3:$Z$176,2,0)</f>
        <v>30.199753495762707</v>
      </c>
      <c r="AB38" s="293">
        <f>VLOOKUP(SUM!$A38,'SP02'!$A$3:$Z$176,3,0)</f>
        <v>12.578972104519771</v>
      </c>
      <c r="AC38" s="293">
        <f>VLOOKUP(SUM!$A38,'SP02'!$A$3:$Z$176,4,0)</f>
        <v>4.9915491797530605</v>
      </c>
      <c r="AD38" s="294">
        <f>VLOOKUP(SUM!$A38,'SP02'!$A$3:$Z$176,5,0)*32/1000</f>
        <v>7.4579851694915282</v>
      </c>
      <c r="AE38" s="293">
        <f>VLOOKUP(SUM!$A38,'SP02'!$A$3:$Z$176,6,0)*100</f>
        <v>106.08038244978475</v>
      </c>
      <c r="AF38" s="294">
        <f>VLOOKUP(SUM!$A38,'SP02'!$A$3:$Z$176,7,0)</f>
        <v>2.6738112641242928</v>
      </c>
      <c r="AG38" s="294">
        <f>VLOOKUP(SUM!$A38,'SP02'!$A$3:$Z$176,8,0)</f>
        <v>49.306208686440669</v>
      </c>
      <c r="AH38" s="294">
        <f>VLOOKUP(SUM!$A38,'SP02'!$A$3:$Z$176,9,0)</f>
        <v>1.5294613347457624</v>
      </c>
      <c r="AI38" s="295"/>
      <c r="AJ38" s="299">
        <v>10.6806231</v>
      </c>
      <c r="AK38" s="299">
        <v>1.7809087781763905E-2</v>
      </c>
      <c r="AL38" s="299">
        <v>0.97570433333333351</v>
      </c>
      <c r="AM38" s="300">
        <v>0.37096953426603002</v>
      </c>
      <c r="AN38" s="299">
        <v>0.22230545225332582</v>
      </c>
      <c r="AO38" s="299">
        <f>SUM(Raw!AL38:AN38)</f>
        <v>1.5689793198526893</v>
      </c>
      <c r="AP38" s="295"/>
      <c r="AQ38" s="301">
        <v>1.9194974033800958</v>
      </c>
      <c r="AR38" s="294">
        <v>0.28498425849840231</v>
      </c>
      <c r="AS38" s="294">
        <v>-0.05</v>
      </c>
      <c r="AT38" s="299">
        <v>-6.3E-2</v>
      </c>
      <c r="AU38" s="294">
        <v>0.20100000000000001</v>
      </c>
      <c r="AV38" s="293">
        <v>60.924999999999997</v>
      </c>
      <c r="AW38" s="302" t="e">
        <v>#N/A</v>
      </c>
      <c r="AX38" s="310" t="e">
        <f>NA()</f>
        <v>#N/A</v>
      </c>
      <c r="AY38" s="303">
        <f t="shared" si="1"/>
        <v>233.06203654661024</v>
      </c>
      <c r="AZ38" s="303"/>
      <c r="BA38" s="4">
        <f t="shared" si="2"/>
        <v>0.97645496825754785</v>
      </c>
      <c r="BB38" s="328">
        <f>BA38/SUM!I38</f>
        <v>1.3135935054277319</v>
      </c>
    </row>
    <row r="39" spans="1:54">
      <c r="A39" s="313">
        <v>41493</v>
      </c>
      <c r="B39" s="290" t="s">
        <v>1</v>
      </c>
      <c r="C39" s="287">
        <v>5.8</v>
      </c>
      <c r="D39" s="286">
        <v>2</v>
      </c>
      <c r="E39" s="291">
        <f>[2]SUM!$N39</f>
        <v>0.54796979999999995</v>
      </c>
      <c r="F39" s="286">
        <v>8.8509090909090915</v>
      </c>
      <c r="G39" s="316">
        <f>[3]SP02!$R268</f>
        <v>5.9049280434782609</v>
      </c>
      <c r="H39" s="317">
        <v>29.403047826086951</v>
      </c>
      <c r="I39" s="317">
        <v>23.517708695652171</v>
      </c>
      <c r="J39" s="294">
        <f>VLOOKUP(SUM!A39,'SP01'!$A$3:$AD$176,28,0)</f>
        <v>1.1036779028967723</v>
      </c>
      <c r="K39" s="293">
        <f t="shared" si="3"/>
        <v>13.316699999999999</v>
      </c>
      <c r="L39" s="295"/>
      <c r="M39" s="286">
        <v>30.408999999999999</v>
      </c>
      <c r="N39" s="287">
        <v>12.0166</v>
      </c>
      <c r="O39" s="287">
        <v>4.4607999999999999</v>
      </c>
      <c r="P39" s="287">
        <v>6.4627600000000003</v>
      </c>
      <c r="Q39" s="287">
        <v>91.964579999999998</v>
      </c>
      <c r="R39" s="286">
        <v>2.1473</v>
      </c>
      <c r="S39" s="286">
        <v>1.2698779</v>
      </c>
      <c r="T39" s="286">
        <v>3.6602999999999999</v>
      </c>
      <c r="U39" s="286">
        <v>1.8287336095308564E-2</v>
      </c>
      <c r="V39" s="304">
        <v>15.23</v>
      </c>
      <c r="W39" s="304">
        <v>19.513099999999998</v>
      </c>
      <c r="X39" s="304">
        <v>3.125</v>
      </c>
      <c r="Y39" s="294">
        <f>[2]SUM!$V39*32/1000</f>
        <v>6.8197810348468098</v>
      </c>
      <c r="Z39" s="295"/>
      <c r="AA39" s="293">
        <f>VLOOKUP(SUM!$A39,'SP02'!$A$3:$Z$176,2,0)</f>
        <v>31.485812252824857</v>
      </c>
      <c r="AB39" s="293">
        <f>VLOOKUP(SUM!$A39,'SP02'!$A$3:$Z$176,3,0)</f>
        <v>10.816254413841806</v>
      </c>
      <c r="AC39" s="293">
        <f>VLOOKUP(SUM!$A39,'SP02'!$A$3:$Z$176,4,0)</f>
        <v>3.268542236901693</v>
      </c>
      <c r="AD39" s="294">
        <f>VLOOKUP(SUM!$A39,'SP02'!$A$3:$Z$176,5,0)*32/1000</f>
        <v>7.1611825564971756</v>
      </c>
      <c r="AE39" s="293">
        <f>VLOOKUP(SUM!$A39,'SP02'!$A$3:$Z$176,6,0)*100</f>
        <v>103.07340455704193</v>
      </c>
      <c r="AF39" s="294">
        <f>VLOOKUP(SUM!$A39,'SP02'!$A$3:$Z$176,7,0)</f>
        <v>2.0671608403954802</v>
      </c>
      <c r="AG39" s="294">
        <f>VLOOKUP(SUM!$A39,'SP02'!$A$3:$Z$176,8,0)</f>
        <v>53.724941913841796</v>
      </c>
      <c r="AH39" s="294">
        <f>VLOOKUP(SUM!$A39,'SP02'!$A$3:$Z$176,9,0)</f>
        <v>1.6514177259887013</v>
      </c>
      <c r="AI39" s="295"/>
      <c r="AJ39" s="299">
        <v>10.958288133333333</v>
      </c>
      <c r="AK39" s="299">
        <v>1.7780919311025132E-2</v>
      </c>
      <c r="AL39" s="299">
        <v>1.0067180666666666</v>
      </c>
      <c r="AM39" s="300">
        <v>0.41103218205809955</v>
      </c>
      <c r="AN39" s="299">
        <v>0.24526928642665879</v>
      </c>
      <c r="AO39" s="299">
        <f>SUM(Raw!AL39:AN39)</f>
        <v>1.663019535151425</v>
      </c>
      <c r="AP39" s="295"/>
      <c r="AQ39" s="301">
        <v>1.7624476158308151</v>
      </c>
      <c r="AR39" s="286">
        <v>0.22493907726554482</v>
      </c>
      <c r="AS39" s="286">
        <v>-5.1999999999999998E-2</v>
      </c>
      <c r="AT39" s="306">
        <v>-0.18099999999999999</v>
      </c>
      <c r="AU39" s="286">
        <v>0.13900000000000001</v>
      </c>
      <c r="AV39" s="287">
        <v>63.021000000000001</v>
      </c>
      <c r="AW39" s="302" t="e">
        <v>#N/A</v>
      </c>
      <c r="AX39" s="310" t="e">
        <f>NA()</f>
        <v>#N/A</v>
      </c>
      <c r="AY39" s="303">
        <f t="shared" si="1"/>
        <v>223.78695489053675</v>
      </c>
      <c r="AZ39" s="303"/>
      <c r="BA39" s="4">
        <f t="shared" si="2"/>
        <v>0.97125069054553548</v>
      </c>
      <c r="BB39" s="328">
        <f>BA39/SUM!I39</f>
        <v>3.0855490808859738</v>
      </c>
    </row>
    <row r="40" spans="1:54">
      <c r="A40" s="313">
        <v>41500</v>
      </c>
      <c r="B40" s="290" t="s">
        <v>1</v>
      </c>
      <c r="C40" s="287">
        <v>5.9</v>
      </c>
      <c r="D40" s="286">
        <v>1.5</v>
      </c>
      <c r="E40" s="291">
        <f>[2]SUM!$N40</f>
        <v>0.39829959183673475</v>
      </c>
      <c r="F40" s="286">
        <v>9.9239999999999995</v>
      </c>
      <c r="G40" s="316">
        <f>[3]SP02!$R291</f>
        <v>2.4313591304347826</v>
      </c>
      <c r="H40" s="317">
        <v>29.586282608695644</v>
      </c>
      <c r="I40" s="317">
        <v>26.51509130434783</v>
      </c>
      <c r="J40" s="294">
        <f>VLOOKUP(SUM!A40,'SP01'!$A$3:$AD$176,28,0)</f>
        <v>0.93068282935816982</v>
      </c>
      <c r="K40" s="293">
        <f t="shared" si="3"/>
        <v>13.1417</v>
      </c>
      <c r="L40" s="295"/>
      <c r="M40" s="286">
        <v>29.650700000000001</v>
      </c>
      <c r="N40" s="287">
        <v>10.960900000000001</v>
      </c>
      <c r="O40" s="287">
        <v>3.9159000000000002</v>
      </c>
      <c r="P40" s="287">
        <v>6.0730899999999997</v>
      </c>
      <c r="Q40" s="287">
        <v>84.829899999999995</v>
      </c>
      <c r="R40" s="286">
        <v>2.3414999999999999</v>
      </c>
      <c r="S40" s="286">
        <v>1.3421928000000001</v>
      </c>
      <c r="T40" s="286">
        <v>3.6879</v>
      </c>
      <c r="U40" s="286">
        <v>3.5536249220942402E-2</v>
      </c>
      <c r="V40" s="304">
        <v>14.63</v>
      </c>
      <c r="W40" s="304">
        <v>19.515500000000003</v>
      </c>
      <c r="X40" s="304">
        <v>1.625</v>
      </c>
      <c r="Y40" s="294">
        <f>[2]SUM!$V40*32/1000</f>
        <v>7.3495798332367892</v>
      </c>
      <c r="Z40" s="295"/>
      <c r="AA40" s="293">
        <f>VLOOKUP(SUM!$A40,'SP02'!$A$3:$Z$176,2,0)</f>
        <v>29.978338294491522</v>
      </c>
      <c r="AB40" s="293">
        <f>VLOOKUP(SUM!$A40,'SP02'!$A$3:$Z$176,3,0)</f>
        <v>11.663917196327681</v>
      </c>
      <c r="AC40" s="293">
        <f>VLOOKUP(SUM!$A40,'SP02'!$A$3:$Z$176,4,0)</f>
        <v>4.3815307082386248</v>
      </c>
      <c r="AD40" s="294">
        <f>VLOOKUP(SUM!$A40,'SP02'!$A$3:$Z$176,5,0)*32/1000</f>
        <v>7.0136864406779678</v>
      </c>
      <c r="AE40" s="293">
        <f>VLOOKUP(SUM!$A40,'SP02'!$A$3:$Z$176,6,0)*100</f>
        <v>98.900310837855315</v>
      </c>
      <c r="AF40" s="294">
        <f>VLOOKUP(SUM!$A40,'SP02'!$A$3:$Z$176,7,0)</f>
        <v>2.6075340748587577</v>
      </c>
      <c r="AG40" s="294">
        <f>VLOOKUP(SUM!$A40,'SP02'!$A$3:$Z$176,8,0)</f>
        <v>51.742545727401108</v>
      </c>
      <c r="AH40" s="294">
        <f>VLOOKUP(SUM!$A40,'SP02'!$A$3:$Z$176,9,0)</f>
        <v>1.6190789194915256</v>
      </c>
      <c r="AI40" s="295"/>
      <c r="AJ40" s="299">
        <v>12.1494765</v>
      </c>
      <c r="AK40" s="299">
        <v>1.7727500887060228E-2</v>
      </c>
      <c r="AL40" s="299">
        <v>1.1310800666666667</v>
      </c>
      <c r="AM40" s="300">
        <v>0.4618087561283658</v>
      </c>
      <c r="AN40" s="299">
        <v>0.2760191686989466</v>
      </c>
      <c r="AO40" s="299">
        <f>SUM(Raw!AL40:AN40)</f>
        <v>1.868907991493979</v>
      </c>
      <c r="AP40" s="295"/>
      <c r="AQ40" s="301">
        <v>2.2903094017603411</v>
      </c>
      <c r="AR40" s="286">
        <v>0.21797156373126228</v>
      </c>
      <c r="AS40" s="286">
        <v>-3.5999999999999997E-2</v>
      </c>
      <c r="AT40" s="306">
        <v>-6.3E-2</v>
      </c>
      <c r="AU40" s="286">
        <v>0.14499999999999999</v>
      </c>
      <c r="AV40" s="287">
        <v>64.248000000000005</v>
      </c>
      <c r="AW40" s="302" t="e">
        <v>#N/A</v>
      </c>
      <c r="AX40" s="310" t="e">
        <f>NA()</f>
        <v>#N/A</v>
      </c>
      <c r="AY40" s="303">
        <f t="shared" si="1"/>
        <v>219.17770127118649</v>
      </c>
      <c r="AZ40" s="303"/>
      <c r="BA40" s="4">
        <f t="shared" si="2"/>
        <v>0.97064859623928079</v>
      </c>
      <c r="BB40" s="328">
        <f>BA40/SUM!I40</f>
        <v>2.4859375232126015</v>
      </c>
    </row>
    <row r="41" spans="1:54">
      <c r="A41" s="313">
        <v>41507</v>
      </c>
      <c r="B41" s="290" t="s">
        <v>1</v>
      </c>
      <c r="C41" s="287">
        <v>5.9</v>
      </c>
      <c r="D41" s="286">
        <v>1.25</v>
      </c>
      <c r="E41" s="291">
        <f>[2]SUM!$N41</f>
        <v>0.5209803999999999</v>
      </c>
      <c r="F41" s="286">
        <v>10.976666666666668</v>
      </c>
      <c r="G41" s="316">
        <f>[3]SP02!$R314</f>
        <v>5.3287595652173909</v>
      </c>
      <c r="H41" s="317">
        <v>28.118791304347827</v>
      </c>
      <c r="I41" s="317">
        <v>20.757260869565215</v>
      </c>
      <c r="J41" s="294">
        <f>VLOOKUP(SUM!A41,'SP01'!$A$3:$AD$176,28,0)</f>
        <v>1.0137011320684099</v>
      </c>
      <c r="K41" s="293">
        <f t="shared" si="3"/>
        <v>12.958299999999999</v>
      </c>
      <c r="L41" s="295"/>
      <c r="M41" s="286">
        <v>27.915400000000002</v>
      </c>
      <c r="N41" s="287">
        <v>14.617800000000001</v>
      </c>
      <c r="O41" s="287">
        <v>7.1696</v>
      </c>
      <c r="P41" s="287">
        <v>7.2175399999999996</v>
      </c>
      <c r="Q41" s="287">
        <v>99.882599999999996</v>
      </c>
      <c r="R41" s="286">
        <v>2.0465</v>
      </c>
      <c r="S41" s="286">
        <v>1.4157232</v>
      </c>
      <c r="T41" s="286">
        <v>3.3582000000000001</v>
      </c>
      <c r="U41" s="286" t="e">
        <f>NA()</f>
        <v>#N/A</v>
      </c>
      <c r="V41" s="304">
        <v>9.9600000000000009</v>
      </c>
      <c r="W41" s="304">
        <v>13.4061</v>
      </c>
      <c r="X41" s="304">
        <v>3.875</v>
      </c>
      <c r="Y41" s="294">
        <f>[2]SUM!$V41*32/1000</f>
        <v>7.6247580479833523</v>
      </c>
      <c r="Z41" s="295"/>
      <c r="AA41" s="293">
        <f>VLOOKUP(SUM!$A41,'SP02'!$A$3:$Z$176,2,0)</f>
        <v>28.639444120762722</v>
      </c>
      <c r="AB41" s="293">
        <f>VLOOKUP(SUM!$A41,'SP02'!$A$3:$Z$176,3,0)</f>
        <v>14.666594456214689</v>
      </c>
      <c r="AC41" s="293">
        <f>VLOOKUP(SUM!$A41,'SP02'!$A$3:$Z$176,4,0)</f>
        <v>7.0314019860498513</v>
      </c>
      <c r="AD41" s="294">
        <f>VLOOKUP(SUM!$A41,'SP02'!$A$3:$Z$176,5,0)*32/1000</f>
        <v>7.6768236228813587</v>
      </c>
      <c r="AE41" s="293">
        <f>VLOOKUP(SUM!$A41,'SP02'!$A$3:$Z$176,6,0)*100</f>
        <v>107.57580705997911</v>
      </c>
      <c r="AF41" s="294">
        <f>VLOOKUP(SUM!$A41,'SP02'!$A$3:$Z$176,7,0)</f>
        <v>2.2179193149717511</v>
      </c>
      <c r="AG41" s="294">
        <f>VLOOKUP(SUM!$A41,'SP02'!$A$3:$Z$176,8,0)</f>
        <v>47.89519526836159</v>
      </c>
      <c r="AH41" s="294">
        <f>VLOOKUP(SUM!$A41,'SP02'!$A$3:$Z$176,9,0)</f>
        <v>1.7158116172316387</v>
      </c>
      <c r="AI41" s="295"/>
      <c r="AJ41" s="299">
        <v>9.1955719333333334</v>
      </c>
      <c r="AK41" s="299">
        <v>1.7508601725036946E-2</v>
      </c>
      <c r="AL41" s="299">
        <v>0.86585123333333336</v>
      </c>
      <c r="AM41" s="300">
        <v>0.40994994774032767</v>
      </c>
      <c r="AN41" s="299">
        <v>0.25079362601175659</v>
      </c>
      <c r="AO41" s="299">
        <f>SUM(Raw!AL41:AN41)</f>
        <v>1.5265948070854174</v>
      </c>
      <c r="AP41" s="295"/>
      <c r="AQ41" s="301">
        <v>1.7</v>
      </c>
      <c r="AR41" s="286">
        <v>0.26587824288364365</v>
      </c>
      <c r="AS41" s="286">
        <v>-5.0999999999999997E-2</v>
      </c>
      <c r="AT41" s="306">
        <v>-0.32200000000000001</v>
      </c>
      <c r="AU41" s="286">
        <v>0.151</v>
      </c>
      <c r="AV41" s="287">
        <v>54.167000000000002</v>
      </c>
      <c r="AW41" s="302" t="e">
        <v>#N/A</v>
      </c>
      <c r="AX41" s="310" t="e">
        <f>NA()</f>
        <v>#N/A</v>
      </c>
      <c r="AY41" s="303">
        <f t="shared" si="1"/>
        <v>239.90073821504245</v>
      </c>
      <c r="AZ41" s="303"/>
      <c r="BA41" s="4">
        <f t="shared" si="2"/>
        <v>0.97479598057348982</v>
      </c>
      <c r="BB41" s="328">
        <f>BA41/SUM!I41</f>
        <v>0.65959245781124531</v>
      </c>
    </row>
    <row r="42" spans="1:54">
      <c r="A42" s="313">
        <v>41521</v>
      </c>
      <c r="B42" s="290" t="s">
        <v>1</v>
      </c>
      <c r="C42" s="287">
        <v>5.9</v>
      </c>
      <c r="D42" s="286">
        <v>1.75</v>
      </c>
      <c r="E42" s="291">
        <f>[2]SUM!$N42</f>
        <v>0.5480376086956521</v>
      </c>
      <c r="F42" s="286">
        <v>6.7240000000000002</v>
      </c>
      <c r="G42" s="316">
        <f>[3]SP02!$R337</f>
        <v>28.692752391304349</v>
      </c>
      <c r="H42" s="317">
        <v>28.769065217391308</v>
      </c>
      <c r="I42" s="317">
        <v>23.260543478260871</v>
      </c>
      <c r="J42" s="294">
        <f>VLOOKUP(SUM!A42,'SP01'!$A$3:$AD$176,28,0)</f>
        <v>1.3226260215624828</v>
      </c>
      <c r="K42" s="293">
        <f t="shared" si="3"/>
        <v>12.549999999999999</v>
      </c>
      <c r="L42" s="295"/>
      <c r="M42" s="286">
        <v>28.954699999999999</v>
      </c>
      <c r="N42" s="287">
        <v>15.5181</v>
      </c>
      <c r="O42" s="287">
        <v>7.5217999999999998</v>
      </c>
      <c r="P42" s="287">
        <v>7.6079800000000004</v>
      </c>
      <c r="Q42" s="287">
        <v>107.70265999999999</v>
      </c>
      <c r="R42" s="286">
        <v>2.657</v>
      </c>
      <c r="S42" s="286">
        <v>0.44457590000000002</v>
      </c>
      <c r="T42" s="286">
        <v>3.3136999999999999</v>
      </c>
      <c r="U42" s="286">
        <v>2.400473841185265E-2</v>
      </c>
      <c r="V42" s="304">
        <v>10.87</v>
      </c>
      <c r="W42" s="304">
        <v>14.307400000000001</v>
      </c>
      <c r="X42" s="304">
        <v>2.625</v>
      </c>
      <c r="Y42" s="294">
        <f>[2]SUM!$V42*32/1000</f>
        <v>8.1741866495681013</v>
      </c>
      <c r="Z42" s="295"/>
      <c r="AA42" s="293">
        <f>VLOOKUP(SUM!$A42,'SP02'!$A$3:$Z$176,2,0)</f>
        <v>30.002858598386368</v>
      </c>
      <c r="AB42" s="293">
        <f>VLOOKUP(SUM!$A42,'SP02'!$A$3:$Z$176,3,0)</f>
        <v>13.922814261358992</v>
      </c>
      <c r="AC42" s="293">
        <f>VLOOKUP(SUM!$A42,'SP02'!$A$3:$Z$176,4,0)</f>
        <v>6.0508035771941771</v>
      </c>
      <c r="AD42" s="294">
        <f>VLOOKUP(SUM!$A42,'SP02'!$A$3:$Z$176,5,0)*32/1000</f>
        <v>9.0191408805536177</v>
      </c>
      <c r="AE42" s="293">
        <f>VLOOKUP(SUM!$A42,'SP02'!$A$3:$Z$176,6,0)*100</f>
        <v>128.88765998649799</v>
      </c>
      <c r="AF42" s="294" t="e">
        <f>NA()</f>
        <v>#N/A</v>
      </c>
      <c r="AG42" s="294">
        <f>VLOOKUP(SUM!$A42,'SP02'!$A$3:$Z$176,8,0)</f>
        <v>48.897638114214914</v>
      </c>
      <c r="AH42" s="294">
        <f>VLOOKUP(SUM!$A42,'SP02'!$A$3:$Z$176,9,0)</f>
        <v>1.3159648140231233</v>
      </c>
      <c r="AI42" s="295"/>
      <c r="AJ42" s="299">
        <v>9.3333680999999995</v>
      </c>
      <c r="AK42" s="299">
        <v>1.7855166335966309E-2</v>
      </c>
      <c r="AL42" s="299">
        <v>0.84665956666666675</v>
      </c>
      <c r="AM42" s="300">
        <v>8.9368122552070633E-2</v>
      </c>
      <c r="AN42" s="299">
        <v>9.8132198888188943E-2</v>
      </c>
      <c r="AO42" s="299">
        <f>SUM(Raw!AL42:AN42)</f>
        <v>1.0341598881069263</v>
      </c>
      <c r="AP42" s="295"/>
      <c r="AQ42" s="301">
        <v>0.22164284533164594</v>
      </c>
      <c r="AR42" s="286">
        <v>1.0337626176679797</v>
      </c>
      <c r="AS42" s="286">
        <v>-3.1E-2</v>
      </c>
      <c r="AT42" s="306">
        <v>-0.32200000000000001</v>
      </c>
      <c r="AU42" s="286">
        <v>0.13300000000000001</v>
      </c>
      <c r="AV42" s="287">
        <v>45.207999999999998</v>
      </c>
      <c r="AW42" s="302" t="e">
        <v>#N/A</v>
      </c>
      <c r="AX42" s="310" t="e">
        <f>NA()</f>
        <v>#N/A</v>
      </c>
      <c r="AY42" s="303">
        <f t="shared" si="1"/>
        <v>281.84815251730055</v>
      </c>
      <c r="AZ42" s="303"/>
      <c r="BA42" s="4">
        <f t="shared" si="2"/>
        <v>1.0437443967462359</v>
      </c>
      <c r="BB42" s="328">
        <f>BA42/SUM!I42</f>
        <v>1.0504601911945501</v>
      </c>
    </row>
    <row r="43" spans="1:54">
      <c r="A43" s="289">
        <v>41528</v>
      </c>
      <c r="B43" s="290" t="s">
        <v>1</v>
      </c>
      <c r="C43" s="287">
        <v>5.9</v>
      </c>
      <c r="D43" s="286">
        <v>2.75</v>
      </c>
      <c r="E43" s="291">
        <f>[2]SUM!$N43</f>
        <v>0.60960227272727274</v>
      </c>
      <c r="F43" s="286">
        <v>4.706666666666667</v>
      </c>
      <c r="G43" s="316">
        <f>[3]SP02!$R360</f>
        <v>11.876010750000001</v>
      </c>
      <c r="H43" s="317">
        <v>29.872880000000002</v>
      </c>
      <c r="I43" s="317">
        <v>23.593300000000006</v>
      </c>
      <c r="J43" s="294">
        <f>VLOOKUP(SUM!A43,'SP01'!$A$3:$AD$176,28,0)</f>
        <v>0.90721028965745654</v>
      </c>
      <c r="K43" s="293">
        <f t="shared" si="3"/>
        <v>12.3504</v>
      </c>
      <c r="L43" s="295"/>
      <c r="M43" s="286">
        <v>29.339300000000001</v>
      </c>
      <c r="N43" s="287">
        <v>17.6403</v>
      </c>
      <c r="O43" s="287">
        <v>8.9807000000000006</v>
      </c>
      <c r="P43" s="287">
        <v>6.89846</v>
      </c>
      <c r="Q43" s="286">
        <v>99.452479999999994</v>
      </c>
      <c r="R43" s="286">
        <v>1.3563000000000001</v>
      </c>
      <c r="S43" s="286">
        <v>0.64819020000000005</v>
      </c>
      <c r="T43" s="286">
        <v>2.5223</v>
      </c>
      <c r="U43" s="286">
        <v>0.38261535213282399</v>
      </c>
      <c r="V43" s="293">
        <v>8.48</v>
      </c>
      <c r="W43" s="304">
        <v>11.624099999999999</v>
      </c>
      <c r="X43" s="287">
        <v>2.3250000000000002</v>
      </c>
      <c r="Y43" s="294">
        <f>[2]SUM!$V43*32/1000</f>
        <v>7.1810528035707737</v>
      </c>
      <c r="Z43" s="295"/>
      <c r="AA43" s="293">
        <f>VLOOKUP(SUM!$A43,'SP02'!$A$3:$Z$176,2,0)</f>
        <v>29.773425017655367</v>
      </c>
      <c r="AB43" s="293">
        <f>VLOOKUP(SUM!$A43,'SP02'!$A$3:$Z$176,3,0)</f>
        <v>15.955174435028242</v>
      </c>
      <c r="AC43" s="293">
        <f>VLOOKUP(SUM!$A43,'SP02'!$A$3:$Z$176,4,0)</f>
        <v>7.6358287688286088</v>
      </c>
      <c r="AD43" s="294">
        <f>VLOOKUP(SUM!$A43,'SP02'!$A$3:$Z$176,5,0)*32/1000</f>
        <v>7.9079593926553686</v>
      </c>
      <c r="AE43" s="293">
        <f>VLOOKUP(SUM!$A43,'SP02'!$A$3:$Z$176,6,0)*100</f>
        <v>113.73280649567583</v>
      </c>
      <c r="AF43" s="294">
        <f>VLOOKUP(SUM!$A43,'SP02'!$A$3:$Z$176,7,0)</f>
        <v>3.0018667019774004</v>
      </c>
      <c r="AG43" s="294">
        <f>VLOOKUP(SUM!$A43,'SP02'!$A$3:$Z$176,8,0)</f>
        <v>41.333298728813553</v>
      </c>
      <c r="AH43" s="294">
        <f>VLOOKUP(SUM!$A43,'SP02'!$A$3:$Z$176,9,0)</f>
        <v>1.21672863700565</v>
      </c>
      <c r="AI43" s="295"/>
      <c r="AJ43" s="299">
        <v>7.6159442333333347</v>
      </c>
      <c r="AK43" s="299">
        <v>1.8030901077519895E-2</v>
      </c>
      <c r="AL43" s="299">
        <v>0.68521926666666677</v>
      </c>
      <c r="AM43" s="300">
        <v>0.13503069990748143</v>
      </c>
      <c r="AN43" s="299">
        <v>9.8759087127979844E-2</v>
      </c>
      <c r="AO43" s="299">
        <f>SUM(Raw!AL43:AN43)</f>
        <v>0.91900905370212804</v>
      </c>
      <c r="AP43" s="295"/>
      <c r="AQ43" s="301">
        <v>1.1487901126289966</v>
      </c>
      <c r="AR43" s="286">
        <v>0.25998556829141783</v>
      </c>
      <c r="AS43" s="286">
        <v>-2.7E-2</v>
      </c>
      <c r="AT43" s="306">
        <v>-0.35499999999999998</v>
      </c>
      <c r="AU43" s="286">
        <v>0.128</v>
      </c>
      <c r="AV43" s="287">
        <v>46.851999999999997</v>
      </c>
      <c r="AW43" s="302" t="e">
        <v>#N/A</v>
      </c>
      <c r="AX43" s="310" t="e">
        <f>NA()</f>
        <v>#N/A</v>
      </c>
      <c r="AY43" s="303">
        <f t="shared" si="1"/>
        <v>247.12373102048028</v>
      </c>
      <c r="AZ43" s="303"/>
      <c r="BA43" s="4">
        <f t="shared" si="2"/>
        <v>0.97428488476664876</v>
      </c>
      <c r="BB43" s="328">
        <f>BA43/SUM!I43</f>
        <v>3.782601601318218</v>
      </c>
    </row>
    <row r="44" spans="1:54">
      <c r="A44" s="289">
        <v>41542</v>
      </c>
      <c r="B44" s="290" t="s">
        <v>1</v>
      </c>
      <c r="C44" s="287">
        <v>6</v>
      </c>
      <c r="D44" s="286">
        <v>2.5</v>
      </c>
      <c r="E44" s="291">
        <f>[2]SUM!$N44</f>
        <v>0.51318085106382971</v>
      </c>
      <c r="F44" s="286">
        <v>5.3879999999999999</v>
      </c>
      <c r="G44" s="316">
        <f>[3]SP02!$R380</f>
        <v>5.4692115909090901</v>
      </c>
      <c r="H44" s="317">
        <v>27.941377272727276</v>
      </c>
      <c r="I44" s="317">
        <v>23.697904545454545</v>
      </c>
      <c r="J44" s="294">
        <f>VLOOKUP(SUM!A44,'SP01'!$A$3:$AD$176,28,0)</f>
        <v>0.96924827548174697</v>
      </c>
      <c r="K44" s="293">
        <f t="shared" si="3"/>
        <v>11.9251</v>
      </c>
      <c r="L44" s="295"/>
      <c r="M44" s="287">
        <v>27.269600000000001</v>
      </c>
      <c r="N44" s="287">
        <v>20.524999999999999</v>
      </c>
      <c r="O44" s="287">
        <v>11.7745</v>
      </c>
      <c r="P44" s="287">
        <v>5.7651300000000001</v>
      </c>
      <c r="Q44" s="286">
        <v>81.557599999999994</v>
      </c>
      <c r="R44" s="286">
        <v>1.1758999999999999</v>
      </c>
      <c r="S44" s="286">
        <v>0.36231869999999999</v>
      </c>
      <c r="T44" s="286">
        <v>1.9827999999999999</v>
      </c>
      <c r="U44" s="286">
        <v>0.64185075378132483</v>
      </c>
      <c r="V44" s="293">
        <v>5.45</v>
      </c>
      <c r="W44" s="293">
        <v>7.9246000000000016</v>
      </c>
      <c r="X44" s="287">
        <v>3.875</v>
      </c>
      <c r="Y44" s="286">
        <f>[2]SUM!$V44*32/1000</f>
        <v>6.3985673284857469</v>
      </c>
      <c r="Z44" s="295"/>
      <c r="AA44" s="293">
        <f>VLOOKUP(SUM!$A44,'SP02'!$A$3:$Z$176,2,0)</f>
        <v>28.029073313732276</v>
      </c>
      <c r="AB44" s="293">
        <f>VLOOKUP(SUM!$A44,'SP02'!$A$3:$Z$176,3,0)</f>
        <v>19.729792978208234</v>
      </c>
      <c r="AC44" s="293">
        <f>VLOOKUP(SUM!$A44,'SP02'!$A$3:$Z$176,4,0)</f>
        <v>10.9934013184163</v>
      </c>
      <c r="AD44" s="294">
        <f>VLOOKUP(SUM!$A44,'SP02'!$A$3:$Z$176,5,0)*32/1000</f>
        <v>6.8325176409546859</v>
      </c>
      <c r="AE44" s="293">
        <f>VLOOKUP(SUM!$A44,'SP02'!$A$3:$Z$176,6,0)*100</f>
        <v>97.484489970776551</v>
      </c>
      <c r="AF44" s="294">
        <f>VLOOKUP(SUM!$A44,'SP02'!$A$3:$Z$176,7,0)</f>
        <v>1.8449906606710471</v>
      </c>
      <c r="AG44" s="294">
        <f>VLOOKUP(SUM!$A44,'SP02'!$A$3:$Z$176,8,0)</f>
        <v>30.803992736077486</v>
      </c>
      <c r="AH44" s="294">
        <f>VLOOKUP(SUM!$A44,'SP02'!$A$3:$Z$176,9,0)</f>
        <v>0.75106139744033229</v>
      </c>
      <c r="AI44" s="295"/>
      <c r="AJ44" s="299">
        <v>4.9793930666666668</v>
      </c>
      <c r="AK44" s="299">
        <v>1.8173050185567939E-2</v>
      </c>
      <c r="AL44" s="299">
        <v>0.44202246666666667</v>
      </c>
      <c r="AM44" s="300">
        <v>9.5220194321991566E-2</v>
      </c>
      <c r="AN44" s="299">
        <v>0.11230547964194761</v>
      </c>
      <c r="AO44" s="299">
        <f>SUM(Raw!AL44:AN44)</f>
        <v>0.64954814063060584</v>
      </c>
      <c r="AP44" s="295"/>
      <c r="AQ44" s="301">
        <v>0.78011659174806036</v>
      </c>
      <c r="AR44" s="286">
        <v>0.84932955575545732</v>
      </c>
      <c r="AS44" s="286">
        <v>2E-3</v>
      </c>
      <c r="AT44" s="306">
        <v>0.12</v>
      </c>
      <c r="AU44" s="286">
        <v>0.14399999999999999</v>
      </c>
      <c r="AV44" s="287">
        <v>41.378999999999998</v>
      </c>
      <c r="AW44" s="302" t="e">
        <v>#N/A</v>
      </c>
      <c r="AX44" s="310" t="e">
        <f>NA()</f>
        <v>#N/A</v>
      </c>
      <c r="AY44" s="303">
        <f t="shared" si="1"/>
        <v>213.51617627983393</v>
      </c>
      <c r="AZ44" s="303"/>
      <c r="BA44" s="4">
        <f t="shared" si="2"/>
        <v>1.0267516555504208</v>
      </c>
      <c r="BB44" s="328">
        <f>BA44/SUM!I44</f>
        <v>3.8224102731073213</v>
      </c>
    </row>
    <row r="45" spans="1:54" ht="39.6">
      <c r="A45" s="314" t="str">
        <f>A4&amp;".C"</f>
        <v>Date.C</v>
      </c>
      <c r="B45" s="315" t="str">
        <f t="shared" ref="B45:AY45" si="4">B4&amp;".C"</f>
        <v>Site.C</v>
      </c>
      <c r="C45" s="315" t="str">
        <f t="shared" si="4"/>
        <v>Bottom.Depth.C</v>
      </c>
      <c r="D45" s="315" t="str">
        <f t="shared" si="4"/>
        <v>Secchi.C</v>
      </c>
      <c r="E45" s="315" t="str">
        <f t="shared" si="4"/>
        <v>I.C</v>
      </c>
      <c r="F45" s="315" t="str">
        <f t="shared" si="4"/>
        <v>chl.a.C</v>
      </c>
      <c r="G45" s="315" t="str">
        <f t="shared" si="4"/>
        <v>wc.chl.a.C</v>
      </c>
      <c r="H45" s="315" t="str">
        <f>H4&amp;".C"</f>
        <v>wc.temp.ctd.C</v>
      </c>
      <c r="I45" s="315" t="str">
        <f>I4&amp;".C"</f>
        <v>wc.sal.ctd.C</v>
      </c>
      <c r="J45" s="315" t="str">
        <f t="shared" si="4"/>
        <v>Tide.R.C</v>
      </c>
      <c r="K45" s="315" t="str">
        <f t="shared" si="4"/>
        <v>dayhrs.C</v>
      </c>
      <c r="L45" s="315" t="str">
        <f t="shared" si="4"/>
        <v>null.1.C</v>
      </c>
      <c r="M45" s="315" t="str">
        <f t="shared" si="4"/>
        <v>Temp.ctd.C</v>
      </c>
      <c r="N45" s="315" t="str">
        <f t="shared" si="4"/>
        <v>Sal.ctd.C</v>
      </c>
      <c r="O45" s="315" t="str">
        <f t="shared" si="4"/>
        <v>SigT.ctd.C</v>
      </c>
      <c r="P45" s="315" t="str">
        <f t="shared" si="4"/>
        <v>DO.ctd.C</v>
      </c>
      <c r="Q45" s="315" t="str">
        <f t="shared" si="4"/>
        <v>Dosat.ctd.C</v>
      </c>
      <c r="R45" s="315" t="str">
        <f t="shared" si="4"/>
        <v>FL.ctd.C</v>
      </c>
      <c r="S45" s="315" t="str">
        <f t="shared" si="4"/>
        <v>Turb.ctd.C</v>
      </c>
      <c r="T45" s="315" t="str">
        <f t="shared" si="4"/>
        <v>FDOM.ctd.C</v>
      </c>
      <c r="U45" s="315" t="str">
        <f t="shared" si="4"/>
        <v>Kd.ctd.C</v>
      </c>
      <c r="V45" s="315" t="str">
        <f t="shared" si="4"/>
        <v>dSigT.C</v>
      </c>
      <c r="W45" s="315" t="str">
        <f t="shared" si="4"/>
        <v>dSal.C</v>
      </c>
      <c r="X45" s="315" t="str">
        <f t="shared" si="4"/>
        <v>Pycno.C</v>
      </c>
      <c r="Y45" s="315"/>
      <c r="Z45" s="315" t="str">
        <f t="shared" si="4"/>
        <v>null.2.C</v>
      </c>
      <c r="AA45" s="315" t="str">
        <f t="shared" si="4"/>
        <v>Temp.wqm.C</v>
      </c>
      <c r="AB45" s="315" t="str">
        <f t="shared" si="4"/>
        <v>Sal.wqm.C</v>
      </c>
      <c r="AC45" s="315" t="str">
        <f t="shared" si="4"/>
        <v>SigT.wqm.C</v>
      </c>
      <c r="AD45" s="315" t="str">
        <f t="shared" si="4"/>
        <v>DO.wqm.C</v>
      </c>
      <c r="AE45" s="315" t="str">
        <f t="shared" si="4"/>
        <v>Dosat.wqm.C</v>
      </c>
      <c r="AF45" s="315" t="str">
        <f t="shared" si="4"/>
        <v>FL.wqm.C</v>
      </c>
      <c r="AG45" s="315" t="str">
        <f t="shared" si="4"/>
        <v>FDOM.wqm.C</v>
      </c>
      <c r="AH45" s="315" t="str">
        <f t="shared" si="4"/>
        <v>Turb.wqm.C</v>
      </c>
      <c r="AI45" s="315" t="str">
        <f t="shared" si="4"/>
        <v>null.3.C</v>
      </c>
      <c r="AJ45" s="315" t="str">
        <f t="shared" si="4"/>
        <v>ag.350.C</v>
      </c>
      <c r="AK45" s="315" t="str">
        <f t="shared" si="4"/>
        <v>S.350.440.C</v>
      </c>
      <c r="AL45" s="315" t="str">
        <f t="shared" si="4"/>
        <v>ag.490.C</v>
      </c>
      <c r="AM45" s="315" t="str">
        <f t="shared" si="4"/>
        <v>ad.490.C</v>
      </c>
      <c r="AN45" s="315" t="str">
        <f t="shared" si="4"/>
        <v>aph.490.C</v>
      </c>
      <c r="AO45" s="288" t="str">
        <f>AO4&amp;".C"</f>
        <v>aT.490.C</v>
      </c>
      <c r="AP45" s="315" t="str">
        <f t="shared" si="4"/>
        <v>null.4.C</v>
      </c>
      <c r="AQ45" s="315" t="str">
        <f t="shared" si="4"/>
        <v>Cyano.C</v>
      </c>
      <c r="AR45" s="315" t="str">
        <f t="shared" si="4"/>
        <v>NH.4.C</v>
      </c>
      <c r="AS45" s="315" t="str">
        <f t="shared" si="4"/>
        <v>NO.2.C</v>
      </c>
      <c r="AT45" s="315" t="str">
        <f t="shared" si="4"/>
        <v>NO.x.C</v>
      </c>
      <c r="AU45" s="315" t="str">
        <f t="shared" si="4"/>
        <v>PO.4.C</v>
      </c>
      <c r="AV45" s="315" t="str">
        <f t="shared" si="4"/>
        <v>SiO.2.C</v>
      </c>
      <c r="AW45" s="315" t="str">
        <f t="shared" si="4"/>
        <v>DOC.C</v>
      </c>
      <c r="AX45" s="315" t="str">
        <f t="shared" si="4"/>
        <v>TN.C</v>
      </c>
      <c r="AY45" s="315" t="str">
        <f t="shared" si="4"/>
        <v>DO.wqm.mmol.C</v>
      </c>
      <c r="AZ45" s="315"/>
    </row>
  </sheetData>
  <dataConsolidate/>
  <phoneticPr fontId="59" type="noConversion"/>
  <pageMargins left="0.75" right="0.75" top="1" bottom="1" header="0.5" footer="0.5"/>
  <pageSetup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L208"/>
  <sheetViews>
    <sheetView zoomScale="85" zoomScaleNormal="85" workbookViewId="0">
      <pane xSplit="1" ySplit="2" topLeftCell="J3" activePane="bottomRight" state="frozen"/>
      <selection pane="topRight" activeCell="B1" sqref="B1"/>
      <selection pane="bottomLeft" activeCell="A3" sqref="A3"/>
      <selection pane="bottomRight" activeCell="A2" sqref="A2:AF2"/>
    </sheetView>
  </sheetViews>
  <sheetFormatPr defaultColWidth="7.109375" defaultRowHeight="13.2"/>
  <cols>
    <col min="1" max="1" width="6.6640625" style="2" customWidth="1"/>
    <col min="2" max="2" width="5.5546875" style="4" bestFit="1" customWidth="1"/>
    <col min="3" max="4" width="6.5546875" style="4" bestFit="1" customWidth="1"/>
    <col min="5" max="5" width="5.88671875" style="4" customWidth="1"/>
    <col min="6" max="6" width="7.109375" style="4" bestFit="1" customWidth="1"/>
    <col min="7" max="7" width="5.5546875" style="4" bestFit="1" customWidth="1"/>
    <col min="8" max="8" width="6.5546875" style="3" bestFit="1" customWidth="1"/>
    <col min="9" max="9" width="8.33203125" style="4" bestFit="1" customWidth="1"/>
    <col min="10" max="10" width="6.6640625" style="4" bestFit="1" customWidth="1"/>
    <col min="11" max="11" width="8.44140625" style="4" bestFit="1" customWidth="1"/>
    <col min="12" max="12" width="5.33203125" style="4" bestFit="1" customWidth="1"/>
    <col min="13" max="13" width="7.44140625" style="4" customWidth="1"/>
    <col min="14" max="15" width="8.88671875" style="4" bestFit="1" customWidth="1"/>
    <col min="16" max="16" width="7.6640625" style="4" bestFit="1" customWidth="1"/>
    <col min="17" max="18" width="7.33203125" style="4" bestFit="1" customWidth="1"/>
    <col min="19" max="19" width="7.33203125" style="4" customWidth="1"/>
    <col min="20" max="20" width="7.5546875" style="4" customWidth="1"/>
    <col min="21" max="21" width="6.44140625" style="4" bestFit="1" customWidth="1"/>
    <col min="22" max="22" width="6.5546875" style="4" bestFit="1" customWidth="1"/>
    <col min="23" max="23" width="8.44140625" bestFit="1" customWidth="1"/>
    <col min="24" max="24" width="7.6640625" style="19" customWidth="1"/>
    <col min="25" max="25" width="7.33203125" style="19" bestFit="1" customWidth="1"/>
    <col min="26" max="26" width="6.33203125" style="19" bestFit="1" customWidth="1"/>
    <col min="28" max="28" width="9" customWidth="1"/>
    <col min="29" max="29" width="5.88671875" style="19" customWidth="1"/>
    <col min="31" max="31" width="7.109375" style="161"/>
  </cols>
  <sheetData>
    <row r="1" spans="1:38">
      <c r="A1" s="18" t="s">
        <v>333</v>
      </c>
      <c r="X1" s="19" t="s">
        <v>54</v>
      </c>
      <c r="AH1" t="s">
        <v>215</v>
      </c>
    </row>
    <row r="2" spans="1:38">
      <c r="A2" t="s">
        <v>2</v>
      </c>
      <c r="B2" t="s">
        <v>14</v>
      </c>
      <c r="C2" t="s">
        <v>15</v>
      </c>
      <c r="D2" t="s">
        <v>16</v>
      </c>
      <c r="E2" t="s">
        <v>17</v>
      </c>
      <c r="F2" t="s">
        <v>18</v>
      </c>
      <c r="G2" t="s">
        <v>19</v>
      </c>
      <c r="H2" t="s">
        <v>20</v>
      </c>
      <c r="I2" t="s">
        <v>21</v>
      </c>
      <c r="J2" t="s">
        <v>22</v>
      </c>
      <c r="K2" t="s">
        <v>23</v>
      </c>
      <c r="L2" t="s">
        <v>24</v>
      </c>
      <c r="M2" t="s">
        <v>25</v>
      </c>
      <c r="N2" s="161" t="s">
        <v>330</v>
      </c>
      <c r="O2" s="161" t="s">
        <v>331</v>
      </c>
      <c r="P2" s="166" t="s">
        <v>26</v>
      </c>
      <c r="Q2" s="166" t="s">
        <v>27</v>
      </c>
      <c r="R2" s="166" t="s">
        <v>28</v>
      </c>
      <c r="S2" s="166" t="s">
        <v>181</v>
      </c>
      <c r="T2" t="s">
        <v>5</v>
      </c>
      <c r="U2" t="s">
        <v>6</v>
      </c>
      <c r="V2" t="s">
        <v>7</v>
      </c>
      <c r="W2" t="s">
        <v>8</v>
      </c>
      <c r="X2" s="19" t="s">
        <v>33</v>
      </c>
      <c r="Y2" s="19" t="s">
        <v>182</v>
      </c>
      <c r="Z2" s="19" t="s">
        <v>28</v>
      </c>
      <c r="AA2" s="222" t="s">
        <v>34</v>
      </c>
      <c r="AB2" s="223" t="s">
        <v>183</v>
      </c>
      <c r="AC2" s="19" t="s">
        <v>7</v>
      </c>
      <c r="AD2" t="s">
        <v>185</v>
      </c>
      <c r="AE2" s="161" t="s">
        <v>232</v>
      </c>
      <c r="AF2" t="s">
        <v>125</v>
      </c>
      <c r="AH2" t="s">
        <v>167</v>
      </c>
      <c r="AI2" t="s">
        <v>168</v>
      </c>
      <c r="AJ2" t="s">
        <v>213</v>
      </c>
    </row>
    <row r="3" spans="1:38">
      <c r="A3" s="2">
        <v>41376</v>
      </c>
      <c r="B3" s="4">
        <v>21.745903389830506</v>
      </c>
      <c r="C3" s="4">
        <v>22.21816603892027</v>
      </c>
      <c r="D3" s="4">
        <v>14.647592061650219</v>
      </c>
      <c r="E3" s="7">
        <v>247.06159761456365</v>
      </c>
      <c r="F3" s="4">
        <v>1.025089037881294</v>
      </c>
      <c r="G3" s="4">
        <v>1.9824500941619587</v>
      </c>
      <c r="H3" s="4">
        <v>16.978687696170738</v>
      </c>
      <c r="I3" s="4">
        <v>0.85818644067796601</v>
      </c>
      <c r="J3" s="4">
        <v>-11.780325040173418</v>
      </c>
      <c r="K3" s="4">
        <v>-5.2176992953307337</v>
      </c>
      <c r="L3" s="4">
        <v>-1.8568243319813591</v>
      </c>
      <c r="M3" s="4">
        <v>0.19908612989167362</v>
      </c>
      <c r="N3" s="4">
        <f>L3/J3</f>
        <v>0.15762080635714146</v>
      </c>
      <c r="O3" s="4">
        <f>M3/K3</f>
        <v>-3.8155922490557055E-2</v>
      </c>
      <c r="P3" s="3"/>
      <c r="Q3" s="7">
        <v>-130.00285020533786</v>
      </c>
      <c r="R3" s="7">
        <v>-187.08791045628672</v>
      </c>
      <c r="T3" s="4">
        <v>3.8844074074074078</v>
      </c>
      <c r="U3" s="4">
        <v>19.026851851851848</v>
      </c>
      <c r="V3" s="7">
        <v>245.42500000000001</v>
      </c>
      <c r="W3" s="7">
        <v>27</v>
      </c>
      <c r="X3" s="20"/>
      <c r="Y3" s="20"/>
      <c r="Z3" s="20"/>
      <c r="AA3" s="223"/>
      <c r="AB3" s="199"/>
      <c r="AC3" s="20"/>
      <c r="AD3" s="4">
        <v>0.23069999999999999</v>
      </c>
      <c r="AE3" s="3">
        <v>1.6057762711864401</v>
      </c>
      <c r="AF3" s="3">
        <f t="shared" ref="AF3:AF34" si="0">3.48*G3-1.41</f>
        <v>5.4889263276836164</v>
      </c>
      <c r="AH3" t="s">
        <v>214</v>
      </c>
      <c r="AI3" t="s">
        <v>214</v>
      </c>
    </row>
    <row r="4" spans="1:38">
      <c r="A4" s="2">
        <v>41377</v>
      </c>
      <c r="B4" s="4">
        <v>22.249104272598881</v>
      </c>
      <c r="C4" s="4">
        <v>22.640152542372874</v>
      </c>
      <c r="D4" s="4">
        <v>14.834296830848713</v>
      </c>
      <c r="E4" s="7">
        <v>248.00448556673726</v>
      </c>
      <c r="F4" s="4">
        <v>1.0409051773893052</v>
      </c>
      <c r="G4" s="4">
        <v>1.5944120762711875</v>
      </c>
      <c r="H4" s="4">
        <v>15.944847457627118</v>
      </c>
      <c r="I4" s="4">
        <v>0.81616313559321985</v>
      </c>
      <c r="J4" s="4">
        <v>3.671457634875015</v>
      </c>
      <c r="K4" s="4">
        <v>-5.8291779327040629</v>
      </c>
      <c r="L4" s="4">
        <v>-4.4355980176943163E-3</v>
      </c>
      <c r="M4" s="4">
        <v>0.20394960835197443</v>
      </c>
      <c r="N4" s="4">
        <f t="shared" ref="N4:N67" si="1">L4/J4</f>
        <v>-1.2081299741990117E-3</v>
      </c>
      <c r="O4" s="4">
        <f t="shared" ref="O4:O67" si="2">M4/K4</f>
        <v>-3.4987713654739211E-2</v>
      </c>
      <c r="P4" s="3">
        <v>122.98092980335078</v>
      </c>
      <c r="Q4" s="7">
        <v>-144.79506098534489</v>
      </c>
      <c r="R4" s="7">
        <v>-21.814131181994114</v>
      </c>
      <c r="S4" s="4">
        <f t="shared" ref="S4:S67" si="3">P4/-Q4</f>
        <v>0.84934478404479563</v>
      </c>
      <c r="T4" s="4">
        <v>2.7526354166666667</v>
      </c>
      <c r="U4" s="4">
        <v>19.80854166666667</v>
      </c>
      <c r="V4" s="7">
        <v>610.45000000000005</v>
      </c>
      <c r="W4" s="7">
        <v>48</v>
      </c>
      <c r="X4" s="13"/>
      <c r="Y4" s="21"/>
      <c r="Z4" s="21"/>
      <c r="AA4" s="223"/>
      <c r="AB4" s="199"/>
      <c r="AC4" s="21"/>
      <c r="AD4" s="4">
        <v>0.39219999999999999</v>
      </c>
      <c r="AE4" s="3">
        <v>1.70420550847458</v>
      </c>
      <c r="AF4" s="3">
        <f t="shared" si="0"/>
        <v>4.1385540254237325</v>
      </c>
      <c r="AH4">
        <v>136.18332599999999</v>
      </c>
      <c r="AI4">
        <v>-125.599991</v>
      </c>
    </row>
    <row r="5" spans="1:38">
      <c r="A5" s="2">
        <v>41378</v>
      </c>
      <c r="B5" s="4">
        <v>20.969072951977402</v>
      </c>
      <c r="C5" s="4">
        <v>24.429520127118632</v>
      </c>
      <c r="D5" s="4">
        <v>16.522318316123911</v>
      </c>
      <c r="E5" s="7">
        <v>220.94013175317806</v>
      </c>
      <c r="F5" s="4">
        <v>0.91428024866729585</v>
      </c>
      <c r="G5" s="4">
        <v>2.0818264477401125</v>
      </c>
      <c r="H5" s="4">
        <v>15.062862994350285</v>
      </c>
      <c r="I5" s="4">
        <v>1.3527383474576269</v>
      </c>
      <c r="J5" s="4">
        <v>2.9578424451306908</v>
      </c>
      <c r="K5" s="4">
        <v>-1.8477894785573492</v>
      </c>
      <c r="L5" s="4">
        <v>1.24516657476565</v>
      </c>
      <c r="M5" s="4">
        <v>0.27174851819342566</v>
      </c>
      <c r="N5" s="4">
        <f t="shared" si="1"/>
        <v>0.42097123084276822</v>
      </c>
      <c r="O5" s="4">
        <f t="shared" si="2"/>
        <v>-0.14706681759309059</v>
      </c>
      <c r="P5" s="3">
        <v>48.860726805727239</v>
      </c>
      <c r="Q5" s="7">
        <v>-50.86891192201859</v>
      </c>
      <c r="R5" s="7">
        <v>-2.0081851162913509</v>
      </c>
      <c r="S5" s="4">
        <f t="shared" si="3"/>
        <v>0.96052234969425188</v>
      </c>
      <c r="T5" s="4">
        <v>4.6893958333333332</v>
      </c>
      <c r="U5" s="4">
        <v>18.578229166666667</v>
      </c>
      <c r="V5" s="7"/>
      <c r="W5" s="7">
        <v>48</v>
      </c>
      <c r="X5" s="13"/>
      <c r="Y5" s="21"/>
      <c r="Z5" s="21"/>
      <c r="AA5" s="223"/>
      <c r="AB5" s="199"/>
      <c r="AC5" s="21"/>
      <c r="AD5" s="4">
        <v>0.40710000000000002</v>
      </c>
      <c r="AE5" s="3">
        <v>1.7710557909604501</v>
      </c>
      <c r="AF5" s="3">
        <f t="shared" si="0"/>
        <v>5.8347560381355912</v>
      </c>
      <c r="AH5">
        <v>5.0780770000000004</v>
      </c>
      <c r="AI5">
        <v>-61.114116000000003</v>
      </c>
    </row>
    <row r="6" spans="1:38">
      <c r="A6" s="2">
        <v>41379</v>
      </c>
      <c r="B6" s="4">
        <v>21.468564389124285</v>
      </c>
      <c r="C6" s="4">
        <v>23.964330508474575</v>
      </c>
      <c r="D6" s="4">
        <v>16.040699514688807</v>
      </c>
      <c r="E6" s="7">
        <v>235.26178495762713</v>
      </c>
      <c r="F6" s="4">
        <v>0.98031449566868722</v>
      </c>
      <c r="G6" s="4">
        <v>1.6644578036723161</v>
      </c>
      <c r="H6" s="4">
        <v>15.602390713276831</v>
      </c>
      <c r="I6" s="4">
        <v>0.77169279661016954</v>
      </c>
      <c r="J6" s="4">
        <v>4.8324315545820085</v>
      </c>
      <c r="K6" s="4">
        <v>-4.7446107830708408</v>
      </c>
      <c r="L6" s="4">
        <v>2.380194030900272E-2</v>
      </c>
      <c r="M6" s="4">
        <v>0.19186960632252592</v>
      </c>
      <c r="N6" s="4">
        <f t="shared" si="1"/>
        <v>4.9254583412431836E-3</v>
      </c>
      <c r="O6" s="4">
        <f t="shared" si="2"/>
        <v>-4.0439482835374477E-2</v>
      </c>
      <c r="P6" s="3">
        <v>124.25015254674771</v>
      </c>
      <c r="Q6" s="7">
        <v>-118.47552934544078</v>
      </c>
      <c r="R6" s="7">
        <v>5.7746232013069374</v>
      </c>
      <c r="S6" s="4">
        <f t="shared" si="3"/>
        <v>1.048741062675228</v>
      </c>
      <c r="T6" s="4">
        <v>3.0215937499999987</v>
      </c>
      <c r="U6" s="4">
        <v>20.483229166666664</v>
      </c>
      <c r="V6" s="7">
        <v>283.46800000000002</v>
      </c>
      <c r="W6" s="7">
        <v>48</v>
      </c>
      <c r="X6" s="13">
        <f t="shared" ref="X6:X37" si="4">AVERAGE(P3:P9)</f>
        <v>126.31215746112559</v>
      </c>
      <c r="Y6" s="13">
        <f t="shared" ref="Y6:Y37" si="5">AVERAGE(Q3:Q9)</f>
        <v>-124.69235068261712</v>
      </c>
      <c r="Z6" s="21">
        <f t="shared" ref="Z6:Z37" si="6">AVERAGE(R3:R9)</f>
        <v>-24.579795751787877</v>
      </c>
      <c r="AA6" s="224">
        <f t="shared" ref="AA6:AA37" si="7">-Y6</f>
        <v>124.69235068261712</v>
      </c>
      <c r="AB6" s="199">
        <f t="shared" ref="AB6:AB37" si="8">X6/-Y6</f>
        <v>1.0129904261940768</v>
      </c>
      <c r="AC6" s="21">
        <f>AVERAGE(V3:V9)</f>
        <v>416.50203846153846</v>
      </c>
      <c r="AD6" s="4">
        <v>0.3881</v>
      </c>
      <c r="AE6" s="3">
        <v>1.7631391242937899</v>
      </c>
      <c r="AF6" s="3">
        <f t="shared" si="0"/>
        <v>4.3823131567796603</v>
      </c>
      <c r="AH6">
        <v>194.785796</v>
      </c>
      <c r="AI6">
        <v>-195.06547900000001</v>
      </c>
      <c r="AJ6" s="244">
        <f t="shared" ref="AJ6:AJ37" si="9">AVERAGE(AH3:AH9)</f>
        <v>158.76881116666667</v>
      </c>
      <c r="AK6" s="244">
        <f>-AVERAGE(AI3:AI9)</f>
        <v>166.7180415</v>
      </c>
      <c r="AL6" s="3">
        <f>-AK6</f>
        <v>-166.7180415</v>
      </c>
    </row>
    <row r="7" spans="1:38">
      <c r="A7" s="2">
        <v>41380</v>
      </c>
      <c r="B7" s="4">
        <v>22.626431638418083</v>
      </c>
      <c r="C7" s="4">
        <v>23.684876412429375</v>
      </c>
      <c r="D7" s="4">
        <v>15.521320038021855</v>
      </c>
      <c r="E7" s="7">
        <v>254.56810557909606</v>
      </c>
      <c r="F7" s="4">
        <v>1.0825009392001343</v>
      </c>
      <c r="G7" s="4">
        <v>1.3998548728813553</v>
      </c>
      <c r="H7" s="4">
        <v>15.079151836158189</v>
      </c>
      <c r="I7" s="4">
        <v>0.7784957627118646</v>
      </c>
      <c r="J7" s="4">
        <v>7.5205589349324828</v>
      </c>
      <c r="K7" s="4">
        <v>-3.3362088691771912</v>
      </c>
      <c r="L7" s="4">
        <v>-0.25321286755510697</v>
      </c>
      <c r="M7" s="4">
        <v>-6.017270285793664E-2</v>
      </c>
      <c r="N7" s="4">
        <f t="shared" si="1"/>
        <v>-3.3669421348319004E-2</v>
      </c>
      <c r="O7" s="4">
        <f t="shared" si="2"/>
        <v>1.8036251690913174E-2</v>
      </c>
      <c r="P7" s="3">
        <v>140.88505160228894</v>
      </c>
      <c r="Q7" s="7">
        <v>-78.624867991662128</v>
      </c>
      <c r="R7" s="7">
        <v>62.260183610626811</v>
      </c>
      <c r="S7" s="4">
        <f t="shared" si="3"/>
        <v>1.7918637601684657</v>
      </c>
      <c r="T7" s="4">
        <v>3.291254316675444</v>
      </c>
      <c r="U7" s="4">
        <v>21.248778781777819</v>
      </c>
      <c r="V7" s="7">
        <v>575.20000000000005</v>
      </c>
      <c r="W7">
        <v>48</v>
      </c>
      <c r="X7" s="13">
        <f t="shared" si="4"/>
        <v>117.68961892901143</v>
      </c>
      <c r="Y7" s="13">
        <f t="shared" si="5"/>
        <v>-117.6125362015428</v>
      </c>
      <c r="Z7" s="21">
        <f t="shared" si="6"/>
        <v>7.708272746862832E-2</v>
      </c>
      <c r="AA7" s="224">
        <f t="shared" si="7"/>
        <v>117.6125362015428</v>
      </c>
      <c r="AB7" s="199">
        <f t="shared" si="8"/>
        <v>1.000655395504239</v>
      </c>
      <c r="AC7" s="21">
        <f t="shared" ref="AC7:AC70" si="10">AVERAGE(V4:V10)</f>
        <v>450.71744615384614</v>
      </c>
      <c r="AD7" s="4">
        <v>0.37219999999999998</v>
      </c>
      <c r="AE7" s="3">
        <v>1.7593008474576299</v>
      </c>
      <c r="AF7" s="3">
        <f t="shared" si="0"/>
        <v>3.4614949576271163</v>
      </c>
      <c r="AH7">
        <v>214.40363400000001</v>
      </c>
      <c r="AI7">
        <v>-164.30043599999999</v>
      </c>
      <c r="AJ7" s="244">
        <f t="shared" si="9"/>
        <v>147.69645285714287</v>
      </c>
      <c r="AK7" s="244">
        <f t="shared" ref="AK7:AK70" si="11">-AVERAGE(AI4:AI10)</f>
        <v>155.535066</v>
      </c>
      <c r="AL7" s="3">
        <f t="shared" ref="AL7:AL70" si="12">-AK7</f>
        <v>-155.535066</v>
      </c>
    </row>
    <row r="8" spans="1:38">
      <c r="A8" s="2">
        <v>41381</v>
      </c>
      <c r="B8" s="4">
        <v>23.171923234463275</v>
      </c>
      <c r="C8" s="4">
        <v>23.220986935028247</v>
      </c>
      <c r="D8" s="4">
        <v>15.025193342477813</v>
      </c>
      <c r="E8" s="7">
        <v>250.76342359639833</v>
      </c>
      <c r="F8" s="4">
        <v>1.073502273767353</v>
      </c>
      <c r="G8" s="4">
        <v>1.3436776129943511</v>
      </c>
      <c r="H8" s="4">
        <v>15.636722281073453</v>
      </c>
      <c r="I8" s="4">
        <v>0.82900847457627114</v>
      </c>
      <c r="J8" s="4">
        <v>4.283399397181908</v>
      </c>
      <c r="K8" s="4">
        <v>-8.5275783115944037</v>
      </c>
      <c r="L8" s="4">
        <v>-0.37950176781899841</v>
      </c>
      <c r="M8" s="4">
        <v>0.12757180516012223</v>
      </c>
      <c r="N8" s="4">
        <f t="shared" si="1"/>
        <v>-8.8598268017845011E-2</v>
      </c>
      <c r="O8" s="4">
        <f t="shared" si="2"/>
        <v>-1.4959910129077441E-2</v>
      </c>
      <c r="P8" s="3">
        <v>170.91499144919416</v>
      </c>
      <c r="Q8" s="7">
        <v>-207.72360280210859</v>
      </c>
      <c r="R8" s="7">
        <v>-36.808611352914426</v>
      </c>
      <c r="S8" s="4">
        <f t="shared" si="3"/>
        <v>0.82280005326125227</v>
      </c>
      <c r="T8" s="4">
        <v>3.2067708333333349</v>
      </c>
      <c r="U8" s="4">
        <v>21.862395833333334</v>
      </c>
      <c r="V8" s="7">
        <v>384.34423076923082</v>
      </c>
      <c r="W8">
        <v>48</v>
      </c>
      <c r="X8" s="13">
        <f t="shared" si="4"/>
        <v>113.43083951958474</v>
      </c>
      <c r="Y8" s="13">
        <f t="shared" si="5"/>
        <v>-108.02653413793099</v>
      </c>
      <c r="Z8" s="21">
        <f t="shared" si="6"/>
        <v>5.4043053816537121</v>
      </c>
      <c r="AA8" s="224">
        <f t="shared" si="7"/>
        <v>108.02653413793099</v>
      </c>
      <c r="AB8" s="199">
        <f t="shared" si="8"/>
        <v>1.0500275735473785</v>
      </c>
      <c r="AC8" s="21">
        <f t="shared" si="10"/>
        <v>452.11052307692307</v>
      </c>
      <c r="AD8" s="4">
        <v>0.29360000000000003</v>
      </c>
      <c r="AE8" s="3">
        <v>1.7691207627118599</v>
      </c>
      <c r="AF8" s="3">
        <f t="shared" si="0"/>
        <v>3.2659980932203414</v>
      </c>
      <c r="AH8">
        <v>183.882339</v>
      </c>
      <c r="AI8">
        <v>-237.72800100000001</v>
      </c>
      <c r="AJ8" s="244">
        <f t="shared" si="9"/>
        <v>147.03661742857142</v>
      </c>
      <c r="AK8" s="244">
        <f t="shared" si="11"/>
        <v>151.18103271428572</v>
      </c>
      <c r="AL8" s="3">
        <f t="shared" si="12"/>
        <v>-151.18103271428572</v>
      </c>
    </row>
    <row r="9" spans="1:38">
      <c r="A9" s="2">
        <v>41382</v>
      </c>
      <c r="B9" s="4">
        <v>23.266759145480233</v>
      </c>
      <c r="C9" s="4">
        <v>23.632603107344632</v>
      </c>
      <c r="D9" s="4">
        <v>15.30986083592321</v>
      </c>
      <c r="E9" s="7">
        <v>236.88233249470341</v>
      </c>
      <c r="F9" s="4">
        <v>1.0180098160277606</v>
      </c>
      <c r="G9" s="4">
        <v>1.4692471751412424</v>
      </c>
      <c r="H9" s="4">
        <v>15.205149011299442</v>
      </c>
      <c r="I9" s="4">
        <v>1.1156154661016948</v>
      </c>
      <c r="J9" s="4">
        <v>5.3118505163916048</v>
      </c>
      <c r="K9" s="4">
        <v>-5.553097158853495</v>
      </c>
      <c r="L9" s="4">
        <v>-0.36810426063198481</v>
      </c>
      <c r="M9" s="4">
        <v>0.37838748808013029</v>
      </c>
      <c r="N9" s="4">
        <f t="shared" si="1"/>
        <v>-6.9298685928014761E-2</v>
      </c>
      <c r="O9" s="4">
        <f t="shared" si="2"/>
        <v>-6.8139900537640338E-2</v>
      </c>
      <c r="P9" s="3">
        <v>149.9810925594447</v>
      </c>
      <c r="Q9" s="7">
        <v>-142.355631526407</v>
      </c>
      <c r="R9" s="7">
        <v>7.6254610330377091</v>
      </c>
      <c r="S9" s="4">
        <f t="shared" si="3"/>
        <v>1.053566275891398</v>
      </c>
      <c r="T9" s="4">
        <v>3.61403125</v>
      </c>
      <c r="U9" s="4">
        <v>22.374895833333326</v>
      </c>
      <c r="V9" s="7">
        <v>400.125</v>
      </c>
      <c r="W9">
        <v>48</v>
      </c>
      <c r="X9" s="13">
        <f t="shared" si="4"/>
        <v>121.61486838907675</v>
      </c>
      <c r="Y9" s="13">
        <f t="shared" si="5"/>
        <v>-112.95282038931124</v>
      </c>
      <c r="Z9" s="21">
        <f t="shared" si="6"/>
        <v>8.6620479997654733</v>
      </c>
      <c r="AA9" s="224">
        <f t="shared" si="7"/>
        <v>112.95282038931124</v>
      </c>
      <c r="AB9" s="199">
        <f t="shared" si="8"/>
        <v>1.0766873104178387</v>
      </c>
      <c r="AC9" s="21">
        <f t="shared" si="10"/>
        <v>477.46421794871793</v>
      </c>
      <c r="AD9" s="4">
        <v>0.26979999999999998</v>
      </c>
      <c r="AE9" s="3">
        <v>1.83415607344633</v>
      </c>
      <c r="AF9" s="3">
        <f t="shared" si="0"/>
        <v>3.7029801694915232</v>
      </c>
      <c r="AH9">
        <v>218.279695</v>
      </c>
      <c r="AI9">
        <v>-216.500226</v>
      </c>
      <c r="AJ9" s="244">
        <f t="shared" si="9"/>
        <v>158.26772157142858</v>
      </c>
      <c r="AK9" s="244">
        <f t="shared" si="11"/>
        <v>152.26794571428573</v>
      </c>
      <c r="AL9" s="3">
        <f t="shared" si="12"/>
        <v>-152.26794571428573</v>
      </c>
    </row>
    <row r="10" spans="1:38">
      <c r="A10" s="2">
        <v>41383</v>
      </c>
      <c r="B10" s="4">
        <v>21.579070409604512</v>
      </c>
      <c r="C10" s="4">
        <v>23.144691031073449</v>
      </c>
      <c r="D10" s="4">
        <v>15.389368568935646</v>
      </c>
      <c r="E10" s="7">
        <v>224.7888638771185</v>
      </c>
      <c r="F10" s="4">
        <v>0.93401384407887644</v>
      </c>
      <c r="G10" s="4">
        <v>2.1449449152542375</v>
      </c>
      <c r="H10" s="4">
        <v>16.300857168079094</v>
      </c>
      <c r="I10" s="4">
        <v>1.8018654661016944</v>
      </c>
      <c r="J10" s="4">
        <v>2.0098464247323493</v>
      </c>
      <c r="K10" s="4">
        <v>-1.9034555686818548</v>
      </c>
      <c r="L10" s="4">
        <v>0.25553981231282669</v>
      </c>
      <c r="M10" s="4">
        <v>1.448383966227212</v>
      </c>
      <c r="N10" s="4">
        <f t="shared" si="1"/>
        <v>0.12714394949199009</v>
      </c>
      <c r="O10" s="4">
        <f t="shared" si="2"/>
        <v>-0.76092344368732467</v>
      </c>
      <c r="P10" s="3">
        <v>65.954387736326453</v>
      </c>
      <c r="Q10" s="7">
        <v>-80.444148837817622</v>
      </c>
      <c r="R10" s="7">
        <v>-14.489761101491169</v>
      </c>
      <c r="S10" s="4">
        <f t="shared" si="3"/>
        <v>0.81987799845202192</v>
      </c>
      <c r="T10" s="4">
        <v>5.8775081715083273</v>
      </c>
      <c r="U10" s="4">
        <v>15.789119832728831</v>
      </c>
      <c r="V10" s="7"/>
      <c r="W10">
        <v>48</v>
      </c>
      <c r="X10" s="13">
        <f t="shared" si="4"/>
        <v>117.0512105583483</v>
      </c>
      <c r="Y10" s="13">
        <f t="shared" si="5"/>
        <v>-103.92789419542525</v>
      </c>
      <c r="Z10" s="21">
        <f t="shared" si="6"/>
        <v>13.123316362923051</v>
      </c>
      <c r="AA10" s="224">
        <f t="shared" si="7"/>
        <v>103.92789419542525</v>
      </c>
      <c r="AB10" s="199">
        <f t="shared" si="8"/>
        <v>1.1262732826881496</v>
      </c>
      <c r="AC10" s="21">
        <f t="shared" si="10"/>
        <v>507.13589743589745</v>
      </c>
      <c r="AD10" s="4">
        <v>0.29420000000000002</v>
      </c>
      <c r="AE10" s="3">
        <v>1.7779449152542399</v>
      </c>
      <c r="AF10" s="3">
        <f t="shared" si="0"/>
        <v>6.0544083050847464</v>
      </c>
      <c r="AH10">
        <v>81.262303000000003</v>
      </c>
      <c r="AI10">
        <v>-88.437213</v>
      </c>
      <c r="AJ10" s="244">
        <f t="shared" si="9"/>
        <v>148.48687057142857</v>
      </c>
      <c r="AK10" s="244">
        <f t="shared" si="11"/>
        <v>144.11216814285714</v>
      </c>
      <c r="AL10" s="3">
        <f t="shared" si="12"/>
        <v>-144.11216814285714</v>
      </c>
    </row>
    <row r="11" spans="1:38">
      <c r="A11" s="2">
        <v>41384</v>
      </c>
      <c r="B11" s="4">
        <v>20.543324593926553</v>
      </c>
      <c r="C11" s="4">
        <v>22.841987994350276</v>
      </c>
      <c r="D11" s="4">
        <v>15.425903651940693</v>
      </c>
      <c r="E11" s="7">
        <v>248.76530499646904</v>
      </c>
      <c r="F11" s="4">
        <v>1.0123492935139027</v>
      </c>
      <c r="G11" s="4">
        <v>2.3209955861581921</v>
      </c>
      <c r="H11" s="4">
        <v>17.121345692090397</v>
      </c>
      <c r="I11" s="4">
        <v>1.4375995762711853</v>
      </c>
      <c r="J11" s="4">
        <v>4.4565403241965331</v>
      </c>
      <c r="K11" s="4">
        <v>-3.203884211457265</v>
      </c>
      <c r="L11" s="4">
        <v>0.48063003380632108</v>
      </c>
      <c r="M11" s="4">
        <v>3.3326061045333782E-2</v>
      </c>
      <c r="N11" s="4">
        <f t="shared" si="1"/>
        <v>0.10784824075230903</v>
      </c>
      <c r="O11" s="4">
        <f t="shared" si="2"/>
        <v>-1.0401768243108777E-2</v>
      </c>
      <c r="P11" s="3">
        <v>93.169473937363833</v>
      </c>
      <c r="Q11" s="7">
        <v>-77.693046540062369</v>
      </c>
      <c r="R11" s="7">
        <v>15.476427397301464</v>
      </c>
      <c r="S11" s="4">
        <f t="shared" si="3"/>
        <v>1.1991996463843266</v>
      </c>
      <c r="T11" s="4">
        <v>5.8902916666666663</v>
      </c>
      <c r="U11" s="4">
        <v>15.47802083333333</v>
      </c>
      <c r="V11" s="7">
        <v>617.41538461538448</v>
      </c>
      <c r="W11">
        <v>48</v>
      </c>
      <c r="X11" s="13">
        <f t="shared" si="4"/>
        <v>107.31894010080757</v>
      </c>
      <c r="Y11" s="13">
        <f t="shared" si="5"/>
        <v>-100.78011621661028</v>
      </c>
      <c r="Z11" s="21">
        <f t="shared" si="6"/>
        <v>6.5388238841972735</v>
      </c>
      <c r="AA11" s="224">
        <f t="shared" si="7"/>
        <v>100.78011621661028</v>
      </c>
      <c r="AB11" s="199">
        <f t="shared" si="8"/>
        <v>1.0648820831893382</v>
      </c>
      <c r="AC11" s="21">
        <f t="shared" si="10"/>
        <v>489.71217948717953</v>
      </c>
      <c r="AD11" s="4">
        <v>0.14710000000000001</v>
      </c>
      <c r="AE11" s="3">
        <v>1.6931850282485901</v>
      </c>
      <c r="AF11" s="3">
        <f t="shared" si="0"/>
        <v>6.6670646398305085</v>
      </c>
      <c r="AH11">
        <v>131.56447800000001</v>
      </c>
      <c r="AI11">
        <v>-95.121758</v>
      </c>
      <c r="AJ11" s="244">
        <f t="shared" si="9"/>
        <v>137.96614928571429</v>
      </c>
      <c r="AK11" s="244">
        <f t="shared" si="11"/>
        <v>134.69792342857141</v>
      </c>
      <c r="AL11" s="3">
        <f t="shared" si="12"/>
        <v>-134.69792342857141</v>
      </c>
    </row>
    <row r="12" spans="1:38">
      <c r="A12" s="2">
        <v>41385</v>
      </c>
      <c r="B12" s="4">
        <v>20.789761970338983</v>
      </c>
      <c r="C12" s="4">
        <v>21.416925141242928</v>
      </c>
      <c r="D12" s="4">
        <v>14.286460472286242</v>
      </c>
      <c r="E12" s="7">
        <v>260.96562168961867</v>
      </c>
      <c r="F12" s="4">
        <v>1.0576589010281126</v>
      </c>
      <c r="G12" s="4">
        <v>2.2756714336158193</v>
      </c>
      <c r="H12" s="4">
        <v>18.510155543785316</v>
      </c>
      <c r="I12" s="4">
        <v>1.1203644067796612</v>
      </c>
      <c r="J12" s="4">
        <v>4.7076662828027604</v>
      </c>
      <c r="K12" s="4">
        <v>-3.9683016958129897</v>
      </c>
      <c r="L12" s="4">
        <v>4.6056177887321227E-2</v>
      </c>
      <c r="M12" s="4">
        <v>-0.41193020907630901</v>
      </c>
      <c r="N12" s="4">
        <f t="shared" si="1"/>
        <v>9.7832291247078752E-3</v>
      </c>
      <c r="O12" s="4">
        <f t="shared" si="2"/>
        <v>0.10380516418672056</v>
      </c>
      <c r="P12" s="3">
        <v>106.14892889217134</v>
      </c>
      <c r="Q12" s="7">
        <v>-85.352915681680358</v>
      </c>
      <c r="R12" s="7">
        <v>20.796013210490983</v>
      </c>
      <c r="S12" s="4">
        <f t="shared" si="3"/>
        <v>1.24364736745548</v>
      </c>
      <c r="T12" s="4">
        <v>4.0662812500000003</v>
      </c>
      <c r="U12" s="4">
        <v>18.07739583333333</v>
      </c>
      <c r="V12" s="7">
        <v>604.23269230769233</v>
      </c>
      <c r="W12">
        <v>48</v>
      </c>
      <c r="X12" s="13">
        <f t="shared" si="4"/>
        <v>85.018233302798834</v>
      </c>
      <c r="Y12" s="13">
        <f t="shared" si="5"/>
        <v>-78.367669774749714</v>
      </c>
      <c r="Z12" s="21">
        <f t="shared" si="6"/>
        <v>6.6505635280491093</v>
      </c>
      <c r="AA12" s="224">
        <f t="shared" si="7"/>
        <v>78.367669774749714</v>
      </c>
      <c r="AB12" s="199">
        <f t="shared" si="8"/>
        <v>1.0848636120885651</v>
      </c>
      <c r="AC12" s="21">
        <f t="shared" si="10"/>
        <v>470.96314102564094</v>
      </c>
      <c r="AD12" s="4">
        <v>0.14019999999999999</v>
      </c>
      <c r="AE12" s="3">
        <v>1.77091101694915</v>
      </c>
      <c r="AF12" s="3">
        <f t="shared" si="0"/>
        <v>6.509336588983051</v>
      </c>
      <c r="AH12">
        <v>83.695806000000005</v>
      </c>
      <c r="AI12">
        <v>-68.722506999999993</v>
      </c>
      <c r="AJ12" s="244">
        <f t="shared" si="9"/>
        <v>116.96460871428573</v>
      </c>
      <c r="AK12" s="244">
        <f t="shared" si="11"/>
        <v>115.36252071428571</v>
      </c>
      <c r="AL12" s="3">
        <f t="shared" si="12"/>
        <v>-115.36252071428571</v>
      </c>
    </row>
    <row r="13" spans="1:38">
      <c r="A13" s="2">
        <v>41386</v>
      </c>
      <c r="B13" s="4">
        <v>20.930042461158184</v>
      </c>
      <c r="C13" s="4">
        <v>20.527373764124299</v>
      </c>
      <c r="D13" s="4">
        <v>13.577172143028081</v>
      </c>
      <c r="E13" s="7">
        <v>271.39313537252821</v>
      </c>
      <c r="F13" s="4">
        <v>1.0978436226976043</v>
      </c>
      <c r="G13" s="4">
        <v>1.9997900776836159</v>
      </c>
      <c r="H13" s="4">
        <v>20.474858050847459</v>
      </c>
      <c r="I13" s="4">
        <v>0.888861228813559</v>
      </c>
      <c r="J13" s="4">
        <v>3.9962042261010451</v>
      </c>
      <c r="K13" s="4">
        <v>-2.6755786036536211</v>
      </c>
      <c r="L13" s="4">
        <v>-0.84574405845225742</v>
      </c>
      <c r="M13" s="4">
        <v>-0.37136835414367653</v>
      </c>
      <c r="N13" s="4">
        <f t="shared" si="1"/>
        <v>-0.21163684601710658</v>
      </c>
      <c r="O13" s="4">
        <f t="shared" si="2"/>
        <v>0.13879926892693661</v>
      </c>
      <c r="P13" s="3">
        <v>92.304547731648654</v>
      </c>
      <c r="Q13" s="7">
        <v>-55.30104598823867</v>
      </c>
      <c r="R13" s="7">
        <v>37.003501743409984</v>
      </c>
      <c r="S13" s="4">
        <f t="shared" si="3"/>
        <v>1.6691284239231177</v>
      </c>
      <c r="T13" s="4">
        <v>4.3979687500000004</v>
      </c>
      <c r="U13" s="4">
        <v>19.434687499999999</v>
      </c>
      <c r="V13" s="7">
        <v>461.49807692307695</v>
      </c>
      <c r="W13">
        <v>48</v>
      </c>
      <c r="X13" s="13">
        <f t="shared" si="4"/>
        <v>73.840177056197987</v>
      </c>
      <c r="Y13" s="13">
        <f t="shared" si="5"/>
        <v>-64.388733005547294</v>
      </c>
      <c r="Z13" s="21">
        <f t="shared" si="6"/>
        <v>9.4514440506507071</v>
      </c>
      <c r="AA13" s="224">
        <f t="shared" si="7"/>
        <v>64.388733005547294</v>
      </c>
      <c r="AB13" s="199">
        <f t="shared" si="8"/>
        <v>1.1467872344970109</v>
      </c>
      <c r="AC13" s="21">
        <f t="shared" si="10"/>
        <v>486.91858974358973</v>
      </c>
      <c r="AD13" s="4">
        <v>0.1605</v>
      </c>
      <c r="AE13" s="3">
        <v>1.78223870056497</v>
      </c>
      <c r="AF13" s="3">
        <f t="shared" si="0"/>
        <v>5.5492694703389835</v>
      </c>
      <c r="AH13">
        <v>126.319839</v>
      </c>
      <c r="AI13">
        <v>-137.97503599999999</v>
      </c>
      <c r="AJ13" s="244">
        <f t="shared" si="9"/>
        <v>95.481612285714306</v>
      </c>
      <c r="AK13" s="244">
        <f t="shared" si="11"/>
        <v>87.882025714285717</v>
      </c>
      <c r="AL13" s="3">
        <f t="shared" si="12"/>
        <v>-87.882025714285717</v>
      </c>
    </row>
    <row r="14" spans="1:38">
      <c r="A14" s="2">
        <v>41387</v>
      </c>
      <c r="B14" s="4">
        <v>21.118255579096047</v>
      </c>
      <c r="C14" s="4">
        <v>19.100513947740115</v>
      </c>
      <c r="D14" s="4">
        <v>12.45188251784603</v>
      </c>
      <c r="E14" s="7">
        <v>270.47190037959029</v>
      </c>
      <c r="F14" s="4">
        <v>1.0884804936332872</v>
      </c>
      <c r="G14" s="4">
        <v>2.2528483403954795</v>
      </c>
      <c r="H14" s="4">
        <v>25.134566913841809</v>
      </c>
      <c r="I14" s="4">
        <v>0.90044385593220311</v>
      </c>
      <c r="J14" s="4">
        <v>2.8034617084460143</v>
      </c>
      <c r="K14" s="4">
        <v>-2.4339781385549837</v>
      </c>
      <c r="L14" s="4">
        <v>-0.43546237414582623</v>
      </c>
      <c r="M14" s="4">
        <v>-7.6043882723424813E-2</v>
      </c>
      <c r="N14" s="4">
        <f t="shared" si="1"/>
        <v>-0.15533023791047504</v>
      </c>
      <c r="O14" s="4">
        <f t="shared" si="2"/>
        <v>3.1242631771775456E-2</v>
      </c>
      <c r="P14" s="3">
        <v>72.759158399503761</v>
      </c>
      <c r="Q14" s="7">
        <v>-56.59042213995739</v>
      </c>
      <c r="R14" s="7">
        <v>16.168736259546371</v>
      </c>
      <c r="S14" s="4">
        <f t="shared" si="3"/>
        <v>1.2857150671107991</v>
      </c>
      <c r="T14" s="4">
        <v>2.7071874999999999</v>
      </c>
      <c r="U14" s="4">
        <v>19.850729166666664</v>
      </c>
      <c r="V14" s="7">
        <v>470.65769230769234</v>
      </c>
      <c r="W14">
        <v>48</v>
      </c>
      <c r="X14" s="13">
        <f t="shared" si="4"/>
        <v>72.486481370002053</v>
      </c>
      <c r="Y14" s="13">
        <f t="shared" si="5"/>
        <v>-60.885670220060824</v>
      </c>
      <c r="Z14" s="21">
        <f t="shared" si="6"/>
        <v>11.600811149941251</v>
      </c>
      <c r="AA14" s="224">
        <f t="shared" si="7"/>
        <v>60.885670220060824</v>
      </c>
      <c r="AB14" s="199">
        <f t="shared" si="8"/>
        <v>1.1905343426131647</v>
      </c>
      <c r="AC14" s="21">
        <f t="shared" si="10"/>
        <v>500.01373626373618</v>
      </c>
      <c r="AD14" s="4">
        <v>0.2702</v>
      </c>
      <c r="AE14" s="3">
        <v>1.80193502824859</v>
      </c>
      <c r="AF14" s="3">
        <f t="shared" si="0"/>
        <v>6.4299122245762685</v>
      </c>
      <c r="AH14">
        <v>140.75858500000001</v>
      </c>
      <c r="AI14">
        <v>-98.400722999999999</v>
      </c>
      <c r="AJ14" s="244">
        <f t="shared" si="9"/>
        <v>103.032809</v>
      </c>
      <c r="AK14" s="244">
        <f t="shared" si="11"/>
        <v>95.086884999999981</v>
      </c>
      <c r="AL14" s="3">
        <f t="shared" si="12"/>
        <v>-95.086884999999981</v>
      </c>
    </row>
    <row r="15" spans="1:38">
      <c r="A15" s="2">
        <v>41388</v>
      </c>
      <c r="B15" s="4">
        <v>21.649027454096039</v>
      </c>
      <c r="C15" s="4">
        <v>19.703350105932202</v>
      </c>
      <c r="D15" s="4">
        <v>12.77428748503945</v>
      </c>
      <c r="E15" s="7">
        <v>252.91013418079083</v>
      </c>
      <c r="F15" s="4">
        <v>1.0305918168965478</v>
      </c>
      <c r="G15" s="4">
        <v>2.1542913135593218</v>
      </c>
      <c r="H15" s="4">
        <v>22.97193396892655</v>
      </c>
      <c r="I15" s="4">
        <v>0.88474999999999993</v>
      </c>
      <c r="J15" s="4">
        <v>-1.0818797202565198</v>
      </c>
      <c r="K15" s="4">
        <v>-2.0036148603932555</v>
      </c>
      <c r="L15" s="4">
        <v>-0.10292729236259206</v>
      </c>
      <c r="M15" s="4">
        <v>0.11457171081860117</v>
      </c>
      <c r="N15" s="4">
        <f t="shared" si="1"/>
        <v>9.5137463467923594E-2</v>
      </c>
      <c r="O15" s="4">
        <f t="shared" si="2"/>
        <v>-5.7182502028415697E-2</v>
      </c>
      <c r="P15" s="3">
        <v>14.810043863132995</v>
      </c>
      <c r="Q15" s="7">
        <v>-50.836477709084569</v>
      </c>
      <c r="R15" s="7">
        <v>-36.026433845951573</v>
      </c>
      <c r="S15" s="4">
        <f t="shared" si="3"/>
        <v>0.29132710468031531</v>
      </c>
      <c r="T15" s="4">
        <v>2.4733854166666669</v>
      </c>
      <c r="U15" s="4">
        <v>20.315520833333334</v>
      </c>
      <c r="V15" s="7">
        <v>271.85000000000002</v>
      </c>
      <c r="W15">
        <v>48</v>
      </c>
      <c r="X15" s="13">
        <f t="shared" si="4"/>
        <v>73.580545887627778</v>
      </c>
      <c r="Y15" s="13">
        <f t="shared" si="5"/>
        <v>-59.964007453990853</v>
      </c>
      <c r="Z15" s="21">
        <f t="shared" si="6"/>
        <v>13.616538433636928</v>
      </c>
      <c r="AA15" s="224">
        <f t="shared" si="7"/>
        <v>59.964007453990853</v>
      </c>
      <c r="AB15" s="199">
        <f t="shared" si="8"/>
        <v>1.2270785261322739</v>
      </c>
      <c r="AC15" s="21">
        <f t="shared" si="10"/>
        <v>481.88681318681319</v>
      </c>
      <c r="AD15" s="4">
        <v>0.38529999999999998</v>
      </c>
      <c r="AE15" s="3">
        <v>1.7977153954802301</v>
      </c>
      <c r="AF15" s="3">
        <f t="shared" si="0"/>
        <v>6.0869337711864393</v>
      </c>
      <c r="AH15">
        <v>36.871555000000001</v>
      </c>
      <c r="AI15">
        <v>-102.380182</v>
      </c>
      <c r="AJ15" s="244">
        <f t="shared" si="9"/>
        <v>109.11394228571427</v>
      </c>
      <c r="AK15" s="244">
        <f t="shared" si="11"/>
        <v>105.57177928571427</v>
      </c>
      <c r="AL15" s="3">
        <f t="shared" si="12"/>
        <v>-105.57177928571427</v>
      </c>
    </row>
    <row r="16" spans="1:38">
      <c r="A16" s="2">
        <v>41389</v>
      </c>
      <c r="B16" s="4">
        <v>22.183285469632764</v>
      </c>
      <c r="C16" s="4">
        <v>21.346641242937849</v>
      </c>
      <c r="D16" s="4">
        <v>13.876001945617761</v>
      </c>
      <c r="E16" s="7">
        <v>247.51212703036728</v>
      </c>
      <c r="F16" s="4">
        <v>1.0290306317467235</v>
      </c>
      <c r="G16" s="4">
        <v>1.8281802612994342</v>
      </c>
      <c r="H16" s="4">
        <v>19.657340042372891</v>
      </c>
      <c r="I16" s="4">
        <v>0.9021663135593222</v>
      </c>
      <c r="J16" s="4">
        <v>3.570623826443069</v>
      </c>
      <c r="K16" s="4">
        <v>-2.2039768622566585</v>
      </c>
      <c r="L16" s="4">
        <v>-5.7988334830884329E-2</v>
      </c>
      <c r="M16" s="4">
        <v>-0.3496821063404088</v>
      </c>
      <c r="N16" s="4">
        <f t="shared" si="1"/>
        <v>-1.6240393177639853E-2</v>
      </c>
      <c r="O16" s="4">
        <f t="shared" si="2"/>
        <v>0.1586596086051322</v>
      </c>
      <c r="P16" s="3">
        <v>71.734698833238909</v>
      </c>
      <c r="Q16" s="7">
        <v>-44.503074141990012</v>
      </c>
      <c r="R16" s="7">
        <v>27.231624691248896</v>
      </c>
      <c r="S16" s="4">
        <f t="shared" si="3"/>
        <v>1.6119043507952864</v>
      </c>
      <c r="T16" s="4">
        <v>5.1608020833333326</v>
      </c>
      <c r="U16" s="4">
        <v>19.486562500000002</v>
      </c>
      <c r="V16" s="7">
        <v>495.85769230769228</v>
      </c>
      <c r="W16">
        <v>48</v>
      </c>
      <c r="X16" s="13">
        <f t="shared" si="4"/>
        <v>61.511095133586743</v>
      </c>
      <c r="Y16" s="13">
        <f t="shared" si="5"/>
        <v>-51.887360639104983</v>
      </c>
      <c r="Z16" s="21">
        <f t="shared" si="6"/>
        <v>9.6237344944817558</v>
      </c>
      <c r="AA16" s="224">
        <f t="shared" si="7"/>
        <v>51.887360639104983</v>
      </c>
      <c r="AB16" s="199">
        <f t="shared" si="8"/>
        <v>1.1854735792290199</v>
      </c>
      <c r="AC16" s="21">
        <f t="shared" si="10"/>
        <v>463.67923280423281</v>
      </c>
      <c r="AD16" s="4">
        <v>0.37269999999999998</v>
      </c>
      <c r="AE16" s="3">
        <v>1.7956497175141199</v>
      </c>
      <c r="AF16" s="3">
        <f t="shared" si="0"/>
        <v>4.9520673093220307</v>
      </c>
      <c r="AH16">
        <v>67.898719999999997</v>
      </c>
      <c r="AI16">
        <v>-24.136761</v>
      </c>
      <c r="AJ16" s="244">
        <f t="shared" si="9"/>
        <v>106.23290214285713</v>
      </c>
      <c r="AK16" s="244">
        <f t="shared" si="11"/>
        <v>107.02398471428572</v>
      </c>
      <c r="AL16" s="3">
        <f t="shared" si="12"/>
        <v>-107.02398471428572</v>
      </c>
    </row>
    <row r="17" spans="1:38">
      <c r="A17" s="2">
        <v>41390</v>
      </c>
      <c r="B17" s="4">
        <v>21.983638541666661</v>
      </c>
      <c r="C17" s="4">
        <v>18.561802789548029</v>
      </c>
      <c r="D17" s="4">
        <v>11.826272388869741</v>
      </c>
      <c r="E17" s="7">
        <v>268.60971155543785</v>
      </c>
      <c r="F17" s="4">
        <v>1.0949237727281893</v>
      </c>
      <c r="G17" s="4">
        <v>1.9404699858757057</v>
      </c>
      <c r="H17" s="4">
        <v>26.885162782485882</v>
      </c>
      <c r="I17" s="4">
        <v>1.0453739406779663</v>
      </c>
      <c r="J17" s="4">
        <v>1.5056865115402287</v>
      </c>
      <c r="K17" s="4">
        <v>-2.49064332186413</v>
      </c>
      <c r="L17" s="4">
        <v>-0.48102999546698771</v>
      </c>
      <c r="M17" s="4">
        <v>-0.16053043272194961</v>
      </c>
      <c r="N17" s="4">
        <f t="shared" si="1"/>
        <v>-0.3194755294546156</v>
      </c>
      <c r="O17" s="4">
        <f t="shared" si="2"/>
        <v>6.4453400979872177E-2</v>
      </c>
      <c r="P17" s="3">
        <v>56.478517932954951</v>
      </c>
      <c r="Q17" s="7">
        <v>-55.922709339412336</v>
      </c>
      <c r="R17" s="7">
        <v>0.55580859354261491</v>
      </c>
      <c r="S17" s="4">
        <f t="shared" si="3"/>
        <v>1.0099388709901238</v>
      </c>
      <c r="T17" s="4">
        <v>3.3057372799145308</v>
      </c>
      <c r="U17" s="4">
        <v>20.231310541310545</v>
      </c>
      <c r="V17" s="7">
        <v>578.58461538461529</v>
      </c>
      <c r="W17">
        <v>48</v>
      </c>
      <c r="X17" s="13">
        <f t="shared" si="4"/>
        <v>49.050469073314844</v>
      </c>
      <c r="Y17" s="13">
        <f t="shared" si="5"/>
        <v>-44.375347844375632</v>
      </c>
      <c r="Z17" s="21">
        <f t="shared" si="6"/>
        <v>4.6751212289392186</v>
      </c>
      <c r="AA17" s="224">
        <f t="shared" si="7"/>
        <v>44.375347844375632</v>
      </c>
      <c r="AB17" s="199">
        <f t="shared" si="8"/>
        <v>1.1053540187523683</v>
      </c>
      <c r="AC17" s="21">
        <f t="shared" si="10"/>
        <v>461.52236467236469</v>
      </c>
      <c r="AD17" s="4">
        <v>0.51439999999999997</v>
      </c>
      <c r="AE17" s="3">
        <v>1.7990395480226</v>
      </c>
      <c r="AF17" s="3">
        <f t="shared" si="0"/>
        <v>5.3428355508474557</v>
      </c>
      <c r="AH17">
        <v>134.12067999999999</v>
      </c>
      <c r="AI17">
        <v>-138.871228</v>
      </c>
      <c r="AJ17" s="244">
        <f t="shared" si="9"/>
        <v>92.131947714285701</v>
      </c>
      <c r="AK17" s="244">
        <f t="shared" si="11"/>
        <v>90.486383285714282</v>
      </c>
      <c r="AL17" s="3">
        <f t="shared" si="12"/>
        <v>-90.486383285714282</v>
      </c>
    </row>
    <row r="18" spans="1:38">
      <c r="A18" s="2">
        <v>41391</v>
      </c>
      <c r="B18" s="4">
        <v>23.171909880995301</v>
      </c>
      <c r="C18" s="4">
        <v>20.796891813919945</v>
      </c>
      <c r="D18" s="4">
        <v>13.197856157629259</v>
      </c>
      <c r="E18" s="7">
        <v>257.16340042372872</v>
      </c>
      <c r="F18" s="4">
        <v>1.0856379707752879</v>
      </c>
      <c r="G18" s="4">
        <v>1.9978532275513876</v>
      </c>
      <c r="H18" s="4">
        <v>22.038764514965738</v>
      </c>
      <c r="I18" s="4">
        <v>1.0913974035340788</v>
      </c>
      <c r="J18" s="4">
        <v>4.5267673350172899</v>
      </c>
      <c r="K18" s="4">
        <v>-3.0659852287295233</v>
      </c>
      <c r="L18" s="4">
        <v>-0.21143373574045102</v>
      </c>
      <c r="M18" s="4">
        <v>-9.759326299733205E-2</v>
      </c>
      <c r="N18" s="4">
        <f t="shared" si="1"/>
        <v>-4.6707444870179846E-2</v>
      </c>
      <c r="O18" s="4">
        <f t="shared" si="2"/>
        <v>3.1830963203228653E-2</v>
      </c>
      <c r="P18" s="3">
        <v>100.82792556074384</v>
      </c>
      <c r="Q18" s="7">
        <v>-71.241407177572626</v>
      </c>
      <c r="R18" s="7">
        <v>29.58651838317121</v>
      </c>
      <c r="S18" s="4">
        <f t="shared" si="3"/>
        <v>1.4152994663542424</v>
      </c>
      <c r="T18" s="4">
        <v>2.57909574468085</v>
      </c>
      <c r="U18" s="4">
        <v>21.734574468085111</v>
      </c>
      <c r="V18" s="7">
        <v>490.52692307692308</v>
      </c>
      <c r="W18">
        <v>47</v>
      </c>
      <c r="X18" s="13">
        <f t="shared" si="4"/>
        <v>50.806978710317445</v>
      </c>
      <c r="Y18" s="13">
        <f t="shared" si="5"/>
        <v>-53.56482557823329</v>
      </c>
      <c r="Z18" s="21">
        <f t="shared" si="6"/>
        <v>-2.7578468679158479</v>
      </c>
      <c r="AA18" s="224">
        <f t="shared" si="7"/>
        <v>53.56482557823329</v>
      </c>
      <c r="AB18" s="199">
        <f t="shared" si="8"/>
        <v>0.94851384582802545</v>
      </c>
      <c r="AC18" s="21">
        <f t="shared" si="10"/>
        <v>449.15962555962557</v>
      </c>
      <c r="AD18" s="4">
        <v>0.54079999999999995</v>
      </c>
      <c r="AE18" s="3">
        <v>1.7597528248587599</v>
      </c>
      <c r="AF18" s="3">
        <f t="shared" si="0"/>
        <v>5.5425292318788291</v>
      </c>
      <c r="AH18">
        <v>174.13241099999999</v>
      </c>
      <c r="AI18">
        <v>-168.516018</v>
      </c>
      <c r="AJ18" s="244">
        <f t="shared" si="9"/>
        <v>83.632485428571428</v>
      </c>
      <c r="AK18" s="244">
        <f t="shared" si="11"/>
        <v>93.747576428571421</v>
      </c>
      <c r="AL18" s="3">
        <f t="shared" si="12"/>
        <v>-93.747576428571421</v>
      </c>
    </row>
    <row r="19" spans="1:38">
      <c r="A19" s="2">
        <v>41392</v>
      </c>
      <c r="B19" s="4">
        <v>23.834342037429391</v>
      </c>
      <c r="C19" s="4">
        <v>21.810017302259883</v>
      </c>
      <c r="D19" s="4">
        <v>13.77944346548445</v>
      </c>
      <c r="E19" s="7">
        <v>247.96906448622883</v>
      </c>
      <c r="F19" s="4">
        <v>1.0651360124024827</v>
      </c>
      <c r="G19" s="4">
        <v>1.8260169491525422</v>
      </c>
      <c r="H19" s="4">
        <v>19.078468749999995</v>
      </c>
      <c r="I19" s="4">
        <v>0.97894703389830529</v>
      </c>
      <c r="J19" s="4">
        <v>0.34076142400899445</v>
      </c>
      <c r="K19" s="4">
        <v>-1.2166321651110752</v>
      </c>
      <c r="L19" s="4">
        <v>-0.103829688954334</v>
      </c>
      <c r="M19" s="4">
        <v>-1.5949332716103923E-2</v>
      </c>
      <c r="N19" s="4">
        <f t="shared" si="1"/>
        <v>-0.30469906990291662</v>
      </c>
      <c r="O19" s="4">
        <f t="shared" si="2"/>
        <v>1.3109412337991073E-2</v>
      </c>
      <c r="P19" s="3">
        <v>21.662773613884081</v>
      </c>
      <c r="Q19" s="7">
        <v>-28.816387977479295</v>
      </c>
      <c r="R19" s="7">
        <v>-7.1536143635952136</v>
      </c>
      <c r="S19" s="4">
        <f t="shared" si="3"/>
        <v>0.75175187226150841</v>
      </c>
      <c r="T19" s="4">
        <v>1.6504166666666669</v>
      </c>
      <c r="U19" s="4">
        <v>22.161249999999999</v>
      </c>
      <c r="V19" s="7">
        <v>476.77962962962954</v>
      </c>
      <c r="W19">
        <v>48</v>
      </c>
      <c r="X19" s="13">
        <f t="shared" si="4"/>
        <v>62.378500976595255</v>
      </c>
      <c r="Y19" s="13">
        <f t="shared" si="5"/>
        <v>-65.322595617196413</v>
      </c>
      <c r="Z19" s="21">
        <f t="shared" si="6"/>
        <v>-2.9440946406011608</v>
      </c>
      <c r="AA19" s="224">
        <f t="shared" si="7"/>
        <v>65.322595617196413</v>
      </c>
      <c r="AB19" s="199">
        <f t="shared" si="8"/>
        <v>0.95492991953574313</v>
      </c>
      <c r="AC19" s="21">
        <f t="shared" si="10"/>
        <v>430.54719169719175</v>
      </c>
      <c r="AD19" s="4">
        <v>0.50580000000000003</v>
      </c>
      <c r="AE19" s="3">
        <v>1.7881144067796599</v>
      </c>
      <c r="AF19" s="3">
        <f t="shared" si="0"/>
        <v>4.9445389830508466</v>
      </c>
      <c r="AH19">
        <v>63.528525000000002</v>
      </c>
      <c r="AI19">
        <v>-78.887945000000002</v>
      </c>
      <c r="AJ19" s="244">
        <f t="shared" si="9"/>
        <v>91.285637714285713</v>
      </c>
      <c r="AK19" s="244">
        <f t="shared" si="11"/>
        <v>95.132469285714279</v>
      </c>
      <c r="AL19" s="3">
        <f t="shared" si="12"/>
        <v>-95.132469285714279</v>
      </c>
    </row>
    <row r="20" spans="1:38">
      <c r="A20" s="2">
        <v>41393</v>
      </c>
      <c r="B20" s="4">
        <v>24.004416560734466</v>
      </c>
      <c r="C20" s="4">
        <v>23.788679378531068</v>
      </c>
      <c r="D20" s="4">
        <v>15.221494708057442</v>
      </c>
      <c r="E20" s="7">
        <v>240.64260571151127</v>
      </c>
      <c r="F20" s="4">
        <v>1.0485161459387407</v>
      </c>
      <c r="G20" s="4">
        <v>1.5630420197740111</v>
      </c>
      <c r="H20" s="4">
        <v>16.897520480225989</v>
      </c>
      <c r="I20" s="4">
        <v>0.89504343220338967</v>
      </c>
      <c r="J20" s="4">
        <v>4.353449541289231E-2</v>
      </c>
      <c r="K20" s="4">
        <v>-0.15157315652968853</v>
      </c>
      <c r="L20" s="4">
        <v>-0.22909432685389014</v>
      </c>
      <c r="M20" s="4">
        <v>-3.8366638815807326E-2</v>
      </c>
      <c r="N20" s="4">
        <f t="shared" si="1"/>
        <v>-5.2623632060300878</v>
      </c>
      <c r="O20" s="4">
        <f t="shared" si="2"/>
        <v>0.2531229123561366</v>
      </c>
      <c r="P20" s="3">
        <v>5.0801653097453636</v>
      </c>
      <c r="Q20" s="7">
        <v>-2.7169564251331404</v>
      </c>
      <c r="R20" s="7">
        <v>2.3632088846122232</v>
      </c>
      <c r="S20" s="4">
        <f t="shared" si="3"/>
        <v>1.8698000684705194</v>
      </c>
      <c r="T20" s="4">
        <v>2.3636041666666663</v>
      </c>
      <c r="U20" s="4">
        <v>21.917291666666667</v>
      </c>
      <c r="V20" s="7">
        <v>446.4</v>
      </c>
      <c r="W20">
        <v>48</v>
      </c>
      <c r="X20" s="13">
        <f t="shared" si="4"/>
        <v>67.692442625149923</v>
      </c>
      <c r="Y20" s="13">
        <f t="shared" si="5"/>
        <v>-73.5944624927793</v>
      </c>
      <c r="Z20" s="21">
        <f t="shared" si="6"/>
        <v>-5.9020198676293827</v>
      </c>
      <c r="AA20" s="224">
        <f t="shared" si="7"/>
        <v>73.5944624927793</v>
      </c>
      <c r="AB20" s="199">
        <f t="shared" si="8"/>
        <v>0.9198034788526589</v>
      </c>
      <c r="AC20" s="21">
        <f t="shared" si="10"/>
        <v>399.79953194953197</v>
      </c>
      <c r="AD20" s="4">
        <v>0.48709999999999998</v>
      </c>
      <c r="AE20" s="3">
        <v>1.8183474576271199</v>
      </c>
      <c r="AF20" s="3">
        <f t="shared" si="0"/>
        <v>4.0293862288135589</v>
      </c>
      <c r="AH20">
        <v>27.613157999999999</v>
      </c>
      <c r="AI20">
        <v>-22.211825999999999</v>
      </c>
      <c r="AJ20" s="244">
        <f t="shared" si="9"/>
        <v>96.740058142857137</v>
      </c>
      <c r="AK20" s="244">
        <f t="shared" si="11"/>
        <v>108.0066682857143</v>
      </c>
      <c r="AL20" s="3">
        <f t="shared" si="12"/>
        <v>-108.0066682857143</v>
      </c>
    </row>
    <row r="21" spans="1:38">
      <c r="A21" s="2">
        <v>41394</v>
      </c>
      <c r="B21" s="4">
        <v>23.949641525423733</v>
      </c>
      <c r="C21" s="4">
        <v>24.706439795197749</v>
      </c>
      <c r="D21" s="4">
        <v>15.929369665914876</v>
      </c>
      <c r="E21" s="7">
        <v>232.42207914018365</v>
      </c>
      <c r="F21" s="4">
        <v>1.0170207739732655</v>
      </c>
      <c r="G21" s="4">
        <v>1.4404223163841803</v>
      </c>
      <c r="H21" s="4">
        <v>15.743362111581925</v>
      </c>
      <c r="I21" s="4">
        <v>0.73570550847457616</v>
      </c>
      <c r="J21" s="4">
        <v>1.1912747778554063</v>
      </c>
      <c r="K21" s="4">
        <v>-4.8483297686713476</v>
      </c>
      <c r="L21" s="4">
        <v>-0.23037922412104128</v>
      </c>
      <c r="M21" s="4">
        <v>0.18986882620202708</v>
      </c>
      <c r="N21" s="4">
        <f t="shared" si="1"/>
        <v>-0.19338882044978886</v>
      </c>
      <c r="O21" s="4">
        <f t="shared" si="2"/>
        <v>-3.916169799936265E-2</v>
      </c>
      <c r="P21" s="3">
        <v>85.054725858521948</v>
      </c>
      <c r="Q21" s="7">
        <v>-120.91676627696104</v>
      </c>
      <c r="R21" s="7">
        <v>-35.862040418439094</v>
      </c>
      <c r="S21" s="4">
        <f t="shared" si="3"/>
        <v>0.70341548552252264</v>
      </c>
      <c r="T21" s="4">
        <v>3.6749895833333337</v>
      </c>
      <c r="U21" s="4">
        <v>22.178333333333327</v>
      </c>
      <c r="V21" s="7">
        <v>384.1185185185185</v>
      </c>
      <c r="W21">
        <v>48</v>
      </c>
      <c r="X21" s="13">
        <f t="shared" si="4"/>
        <v>70.657319798061252</v>
      </c>
      <c r="Y21" s="13">
        <f t="shared" si="5"/>
        <v>-76.681032284778567</v>
      </c>
      <c r="Z21" s="21">
        <f t="shared" si="6"/>
        <v>-6.0237124867173231</v>
      </c>
      <c r="AA21" s="224">
        <f t="shared" si="7"/>
        <v>76.681032284778567</v>
      </c>
      <c r="AB21" s="199">
        <f t="shared" si="8"/>
        <v>0.92144455666237757</v>
      </c>
      <c r="AC21" s="21">
        <f t="shared" si="10"/>
        <v>348.37342287342284</v>
      </c>
      <c r="AD21" s="4">
        <v>0.43540000000000001</v>
      </c>
      <c r="AE21" s="3">
        <v>1.8618220338983</v>
      </c>
      <c r="AF21" s="3">
        <f t="shared" si="0"/>
        <v>3.6026696610169475</v>
      </c>
      <c r="AH21">
        <v>81.262349</v>
      </c>
      <c r="AI21">
        <v>-121.22907499999999</v>
      </c>
      <c r="AJ21" s="244">
        <f t="shared" si="9"/>
        <v>92.922554142857138</v>
      </c>
      <c r="AK21" s="244">
        <f t="shared" si="11"/>
        <v>103.16867742857143</v>
      </c>
      <c r="AL21" s="3">
        <f t="shared" si="12"/>
        <v>-103.16867742857143</v>
      </c>
    </row>
    <row r="22" spans="1:38">
      <c r="A22" s="2">
        <v>41395</v>
      </c>
      <c r="B22" s="4">
        <v>23.099892266949158</v>
      </c>
      <c r="C22" s="4">
        <v>27.15217637711865</v>
      </c>
      <c r="D22" s="4">
        <v>18.011921794616317</v>
      </c>
      <c r="E22" s="7">
        <v>220.88115179201978</v>
      </c>
      <c r="F22" s="4">
        <v>0.96557650693653418</v>
      </c>
      <c r="G22" s="4">
        <v>1.4977471751412434</v>
      </c>
      <c r="H22" s="4">
        <v>13.048155896892657</v>
      </c>
      <c r="I22" s="4">
        <v>1.0126419491525427</v>
      </c>
      <c r="J22" s="4">
        <v>1.7624180530877427</v>
      </c>
      <c r="K22" s="4">
        <v>-3.9036538915336343</v>
      </c>
      <c r="L22" s="4">
        <v>3.3192214408935411E-2</v>
      </c>
      <c r="M22" s="4">
        <v>1.6438822743758021</v>
      </c>
      <c r="N22" s="4">
        <f t="shared" si="1"/>
        <v>1.883333772641679E-2</v>
      </c>
      <c r="O22" s="4">
        <f t="shared" si="2"/>
        <v>-0.42111373601566088</v>
      </c>
      <c r="P22" s="3">
        <v>95.810699727077676</v>
      </c>
      <c r="Q22" s="7">
        <v>-133.14086798182643</v>
      </c>
      <c r="R22" s="7">
        <v>-37.330168254748756</v>
      </c>
      <c r="S22" s="4">
        <f t="shared" si="3"/>
        <v>0.71961901089720792</v>
      </c>
      <c r="T22" s="4">
        <v>9.1973958333333332</v>
      </c>
      <c r="U22" s="4">
        <v>21.157604166666673</v>
      </c>
      <c r="V22" s="7">
        <v>141.56296296296296</v>
      </c>
      <c r="W22">
        <v>48</v>
      </c>
      <c r="X22" s="13">
        <f t="shared" si="4"/>
        <v>76.101658739475099</v>
      </c>
      <c r="Y22" s="13">
        <f t="shared" si="5"/>
        <v>-88.881623944741492</v>
      </c>
      <c r="Z22" s="21">
        <f t="shared" si="6"/>
        <v>-12.779965205266391</v>
      </c>
      <c r="AA22" s="224">
        <f t="shared" si="7"/>
        <v>88.881623944741492</v>
      </c>
      <c r="AB22" s="199">
        <f t="shared" si="8"/>
        <v>0.85621363969213915</v>
      </c>
      <c r="AC22" s="21">
        <f t="shared" si="10"/>
        <v>364.59708994708996</v>
      </c>
      <c r="AD22" s="4">
        <v>0.36080000000000001</v>
      </c>
      <c r="AE22" s="3">
        <v>1.9496045197740099</v>
      </c>
      <c r="AF22" s="3">
        <f t="shared" si="0"/>
        <v>3.8021601694915272</v>
      </c>
      <c r="AH22">
        <v>90.443620999999993</v>
      </c>
      <c r="AI22">
        <v>-112.074432</v>
      </c>
      <c r="AJ22" s="244">
        <f t="shared" si="9"/>
        <v>90.576960999999983</v>
      </c>
      <c r="AK22" s="244">
        <f t="shared" si="11"/>
        <v>103.00549671428571</v>
      </c>
      <c r="AL22" s="3">
        <f t="shared" si="12"/>
        <v>-103.00549671428571</v>
      </c>
    </row>
    <row r="23" spans="1:38">
      <c r="A23" s="2">
        <v>41396</v>
      </c>
      <c r="B23" s="4">
        <v>22.697491013418073</v>
      </c>
      <c r="C23" s="4">
        <v>27.19479201977401</v>
      </c>
      <c r="D23" s="4">
        <v>18.155118869496427</v>
      </c>
      <c r="E23" s="7">
        <v>225.53538245939274</v>
      </c>
      <c r="F23" s="4">
        <v>0.97931539685658631</v>
      </c>
      <c r="G23" s="4">
        <v>1.4113566384180796</v>
      </c>
      <c r="H23" s="4">
        <v>13.375208686440685</v>
      </c>
      <c r="I23" s="4">
        <v>0.91337817796610155</v>
      </c>
      <c r="J23" s="4">
        <v>4.7515201803174802</v>
      </c>
      <c r="K23" s="4">
        <v>-3.5736251991699546</v>
      </c>
      <c r="L23" s="4">
        <v>0.74510426559432852</v>
      </c>
      <c r="M23" s="4">
        <v>0.6932973954579712</v>
      </c>
      <c r="N23" s="4">
        <f t="shared" si="1"/>
        <v>0.15681386952344653</v>
      </c>
      <c r="O23" s="4">
        <f t="shared" si="2"/>
        <v>-0.19400394748139879</v>
      </c>
      <c r="P23" s="3">
        <v>108.93229037312157</v>
      </c>
      <c r="Q23" s="7">
        <v>-102.40614227107024</v>
      </c>
      <c r="R23" s="7">
        <v>6.5261481020513372</v>
      </c>
      <c r="S23" s="4">
        <f t="shared" si="3"/>
        <v>1.0637280924495383</v>
      </c>
      <c r="T23" s="4">
        <v>6.6619479166666657</v>
      </c>
      <c r="U23" s="4">
        <v>20.67927083333333</v>
      </c>
      <c r="V23" s="7">
        <v>280.62407407407414</v>
      </c>
      <c r="W23">
        <v>48</v>
      </c>
      <c r="X23" s="13">
        <f t="shared" si="4"/>
        <v>91.606386692990867</v>
      </c>
      <c r="Y23" s="13">
        <f t="shared" si="5"/>
        <v>-96.463826674637033</v>
      </c>
      <c r="Z23" s="21">
        <f t="shared" si="6"/>
        <v>-4.8574399816461726</v>
      </c>
      <c r="AA23" s="224">
        <f t="shared" si="7"/>
        <v>96.463826674637033</v>
      </c>
      <c r="AB23" s="199">
        <f t="shared" si="8"/>
        <v>0.94964495864310017</v>
      </c>
      <c r="AC23" s="21">
        <f t="shared" si="10"/>
        <v>373.71746031746034</v>
      </c>
      <c r="AD23" s="4">
        <v>0.29709999999999998</v>
      </c>
      <c r="AE23" s="3">
        <v>1.9177436440678</v>
      </c>
      <c r="AF23" s="3">
        <f t="shared" si="0"/>
        <v>3.5015211016949168</v>
      </c>
      <c r="AH23">
        <v>106.079663</v>
      </c>
      <c r="AI23">
        <v>-114.256154</v>
      </c>
      <c r="AJ23" s="244">
        <f t="shared" si="9"/>
        <v>106.06394871428571</v>
      </c>
      <c r="AK23" s="244">
        <f t="shared" si="11"/>
        <v>110.45395142857144</v>
      </c>
      <c r="AL23" s="3">
        <f t="shared" si="12"/>
        <v>-110.45395142857144</v>
      </c>
    </row>
    <row r="24" spans="1:38">
      <c r="A24" s="2">
        <v>41397</v>
      </c>
      <c r="B24" s="4">
        <v>22.116829466807911</v>
      </c>
      <c r="C24" s="4">
        <v>25.626908721751416</v>
      </c>
      <c r="D24" s="4">
        <v>17.124609693510365</v>
      </c>
      <c r="E24" s="7">
        <v>231.40088166490105</v>
      </c>
      <c r="F24" s="4">
        <v>0.98512176565185072</v>
      </c>
      <c r="G24" s="4">
        <v>1.8082960805084751</v>
      </c>
      <c r="H24" s="4">
        <v>16.665166313559322</v>
      </c>
      <c r="I24" s="4">
        <v>1.7509173728813556</v>
      </c>
      <c r="J24" s="4">
        <v>2.691888518048577</v>
      </c>
      <c r="K24" s="4">
        <v>-1.7445941378562402</v>
      </c>
      <c r="L24" s="4">
        <v>0.12980156910707741</v>
      </c>
      <c r="M24" s="4">
        <v>1.4857682739523927</v>
      </c>
      <c r="N24" s="4">
        <f t="shared" si="1"/>
        <v>4.8219518838459957E-2</v>
      </c>
      <c r="O24" s="4">
        <f t="shared" si="2"/>
        <v>-0.85164121655143643</v>
      </c>
      <c r="P24" s="3">
        <v>77.232658143334206</v>
      </c>
      <c r="Q24" s="7">
        <v>-77.528697883407176</v>
      </c>
      <c r="R24" s="7">
        <v>-0.2960397400729704</v>
      </c>
      <c r="S24" s="4">
        <f t="shared" si="3"/>
        <v>0.99618154634148282</v>
      </c>
      <c r="T24" s="4">
        <v>6.9679687499999998</v>
      </c>
      <c r="U24" s="4">
        <v>16.7621875</v>
      </c>
      <c r="V24" s="7">
        <v>218.60185185185188</v>
      </c>
      <c r="W24">
        <v>48</v>
      </c>
      <c r="X24" s="13">
        <f t="shared" si="4"/>
        <v>106.66171136544837</v>
      </c>
      <c r="Y24" s="13">
        <f t="shared" si="5"/>
        <v>-109.22727244899727</v>
      </c>
      <c r="Z24" s="21">
        <f t="shared" si="6"/>
        <v>-2.565561083548888</v>
      </c>
      <c r="AA24" s="224">
        <f t="shared" si="7"/>
        <v>109.22727244899727</v>
      </c>
      <c r="AB24" s="199">
        <f t="shared" si="8"/>
        <v>0.97651171702793493</v>
      </c>
      <c r="AC24" s="21">
        <f t="shared" si="10"/>
        <v>386.35714285714283</v>
      </c>
      <c r="AD24" s="4">
        <v>0.30709999999999998</v>
      </c>
      <c r="AE24" s="3">
        <v>1.8612711864406799</v>
      </c>
      <c r="AF24" s="3">
        <f t="shared" si="0"/>
        <v>4.8828703601694929</v>
      </c>
      <c r="AH24">
        <v>107.398152</v>
      </c>
      <c r="AI24">
        <v>-105.005292</v>
      </c>
      <c r="AJ24" s="244">
        <f t="shared" si="9"/>
        <v>122.18293157142855</v>
      </c>
      <c r="AK24" s="244">
        <f t="shared" si="11"/>
        <v>127.00038828571429</v>
      </c>
      <c r="AL24" s="3">
        <f t="shared" si="12"/>
        <v>-127.00038828571429</v>
      </c>
    </row>
    <row r="25" spans="1:38">
      <c r="A25" s="2">
        <v>41398</v>
      </c>
      <c r="B25" s="4">
        <v>20.50980065324859</v>
      </c>
      <c r="C25" s="4">
        <v>23.794778248587573</v>
      </c>
      <c r="D25" s="4">
        <v>16.156345647294447</v>
      </c>
      <c r="E25" s="7">
        <v>244.98375154484461</v>
      </c>
      <c r="F25" s="4">
        <v>1.0022994414872037</v>
      </c>
      <c r="G25" s="4">
        <v>2.0726737288135593</v>
      </c>
      <c r="H25" s="4">
        <v>19.635106638418076</v>
      </c>
      <c r="I25" s="4">
        <v>2.6542468220338979</v>
      </c>
      <c r="J25" s="4">
        <v>2.8640030496731499</v>
      </c>
      <c r="K25" s="4">
        <v>-6.4228134942212796</v>
      </c>
      <c r="L25" s="4">
        <v>-1.0294714450703222</v>
      </c>
      <c r="M25" s="4">
        <v>0.10408437233343511</v>
      </c>
      <c r="N25" s="4">
        <f t="shared" si="1"/>
        <v>-0.35945193745090775</v>
      </c>
      <c r="O25" s="4">
        <f t="shared" si="2"/>
        <v>-1.6205417209620314E-2</v>
      </c>
      <c r="P25" s="3">
        <v>138.93829815064089</v>
      </c>
      <c r="Q25" s="7">
        <v>-156.64554879731315</v>
      </c>
      <c r="R25" s="7">
        <v>-17.707250646672264</v>
      </c>
      <c r="S25" s="4">
        <f t="shared" si="3"/>
        <v>0.88695975862305521</v>
      </c>
      <c r="T25" s="4">
        <v>5.8430937500000013</v>
      </c>
      <c r="U25" s="4">
        <v>15.852708333333334</v>
      </c>
      <c r="V25" s="7">
        <v>604.09259259259261</v>
      </c>
      <c r="W25">
        <v>48</v>
      </c>
      <c r="X25" s="13">
        <f t="shared" si="4"/>
        <v>119.58466325492255</v>
      </c>
      <c r="Y25" s="13">
        <f t="shared" si="5"/>
        <v>-109.10650752975712</v>
      </c>
      <c r="Z25" s="21">
        <f t="shared" si="6"/>
        <v>10.47815572516541</v>
      </c>
      <c r="AA25" s="224">
        <f t="shared" si="7"/>
        <v>109.10650752975712</v>
      </c>
      <c r="AB25" s="199">
        <f t="shared" si="8"/>
        <v>1.0960360290361935</v>
      </c>
      <c r="AC25" s="21">
        <f t="shared" si="10"/>
        <v>391.58359788359792</v>
      </c>
      <c r="AD25" s="4">
        <v>0.1076</v>
      </c>
      <c r="AE25" s="3">
        <v>1.7409922316384201</v>
      </c>
      <c r="AF25" s="3">
        <f t="shared" si="0"/>
        <v>5.8029045762711862</v>
      </c>
      <c r="AH25">
        <v>157.71325899999999</v>
      </c>
      <c r="AI25">
        <v>-167.37375299999999</v>
      </c>
      <c r="AJ25" s="244">
        <f t="shared" si="9"/>
        <v>150.179913</v>
      </c>
      <c r="AK25" s="244">
        <f t="shared" si="11"/>
        <v>146.38495114285712</v>
      </c>
      <c r="AL25" s="3">
        <f t="shared" si="12"/>
        <v>-146.38495114285712</v>
      </c>
    </row>
    <row r="26" spans="1:38">
      <c r="A26" s="2">
        <v>41399</v>
      </c>
      <c r="B26" s="4">
        <v>20.347735293079097</v>
      </c>
      <c r="C26" s="4">
        <v>23.810814088983054</v>
      </c>
      <c r="D26" s="4">
        <v>16.207443586416801</v>
      </c>
      <c r="E26" s="7">
        <v>243.06332759533893</v>
      </c>
      <c r="F26" s="4">
        <v>0.99166997870122497</v>
      </c>
      <c r="G26" s="4">
        <v>2.0704230225988693</v>
      </c>
      <c r="H26" s="4">
        <v>19.428061440677961</v>
      </c>
      <c r="I26" s="4">
        <v>4.0826970338983051</v>
      </c>
      <c r="J26" s="4">
        <v>4.9109749796957614</v>
      </c>
      <c r="K26" s="4">
        <v>-2.7392841997471153</v>
      </c>
      <c r="L26" s="4">
        <v>-1.4415565883269232</v>
      </c>
      <c r="M26" s="4">
        <v>0.67287442886738558</v>
      </c>
      <c r="N26" s="4">
        <f t="shared" si="1"/>
        <v>-0.29353775865016296</v>
      </c>
      <c r="O26" s="4">
        <f t="shared" si="2"/>
        <v>-0.24563877998840131</v>
      </c>
      <c r="P26" s="3">
        <v>130.19586928849432</v>
      </c>
      <c r="Q26" s="7">
        <v>-81.891807086748003</v>
      </c>
      <c r="R26" s="7">
        <v>48.304062201746319</v>
      </c>
      <c r="S26" s="4">
        <f t="shared" si="3"/>
        <v>1.589852195477599</v>
      </c>
      <c r="T26" s="4">
        <v>8.210927083333333</v>
      </c>
      <c r="U26" s="4">
        <v>16.485833333333328</v>
      </c>
      <c r="V26" s="7">
        <v>540.62222222222226</v>
      </c>
      <c r="W26">
        <v>48</v>
      </c>
      <c r="X26" s="13">
        <f t="shared" si="4"/>
        <v>125.25839263849674</v>
      </c>
      <c r="Y26" s="13">
        <f t="shared" si="5"/>
        <v>-103.53910541417859</v>
      </c>
      <c r="Z26" s="21">
        <f t="shared" si="6"/>
        <v>21.719287224318158</v>
      </c>
      <c r="AA26" s="224">
        <f t="shared" si="7"/>
        <v>103.53910541417859</v>
      </c>
      <c r="AB26" s="199">
        <f t="shared" si="8"/>
        <v>1.2097689287292599</v>
      </c>
      <c r="AC26" s="21">
        <f t="shared" si="10"/>
        <v>447.81137566137568</v>
      </c>
      <c r="AD26" s="4">
        <v>0.2137</v>
      </c>
      <c r="AE26" s="3">
        <v>1.6356038135593201</v>
      </c>
      <c r="AF26" s="3">
        <f t="shared" si="0"/>
        <v>5.7950721186440655</v>
      </c>
      <c r="AH26">
        <v>171.93743900000001</v>
      </c>
      <c r="AI26">
        <v>-131.027128</v>
      </c>
      <c r="AJ26" s="244">
        <f t="shared" si="9"/>
        <v>173.00851071428571</v>
      </c>
      <c r="AK26" s="244">
        <f t="shared" si="11"/>
        <v>157.40329728571427</v>
      </c>
      <c r="AL26" s="3">
        <f t="shared" si="12"/>
        <v>-157.40329728571427</v>
      </c>
    </row>
    <row r="27" spans="1:38">
      <c r="A27" s="2">
        <v>41400</v>
      </c>
      <c r="B27" s="4">
        <v>20.327039124293787</v>
      </c>
      <c r="C27" s="4">
        <v>23.706143185028253</v>
      </c>
      <c r="D27" s="4">
        <v>16.134622148175961</v>
      </c>
      <c r="E27" s="7">
        <v>249.71677480579095</v>
      </c>
      <c r="F27" s="4">
        <v>1.0178347398314527</v>
      </c>
      <c r="G27" s="4">
        <v>1.4110423728813559</v>
      </c>
      <c r="H27" s="4">
        <v>18.527721751412439</v>
      </c>
      <c r="I27" s="4">
        <v>2.033645127118644</v>
      </c>
      <c r="J27" s="4">
        <v>1.5454371895995025</v>
      </c>
      <c r="K27" s="4">
        <v>-3.1835437345004181</v>
      </c>
      <c r="L27" s="4">
        <v>-2.9037424597694126</v>
      </c>
      <c r="M27" s="4">
        <v>0.65233446740186696</v>
      </c>
      <c r="N27" s="4">
        <f t="shared" si="1"/>
        <v>-1.8789132805338487</v>
      </c>
      <c r="O27" s="4">
        <f t="shared" si="2"/>
        <v>-0.20490827888822311</v>
      </c>
      <c r="P27" s="3">
        <v>110.46743801694804</v>
      </c>
      <c r="Q27" s="7">
        <v>-92.061076845654824</v>
      </c>
      <c r="R27" s="7">
        <v>18.406361171293213</v>
      </c>
      <c r="S27" s="4">
        <f t="shared" si="3"/>
        <v>1.199936409631102</v>
      </c>
      <c r="T27" s="4">
        <v>6.9755833333333328</v>
      </c>
      <c r="U27" s="4">
        <v>17.282708333333332</v>
      </c>
      <c r="V27" s="7">
        <v>534.87777777777785</v>
      </c>
      <c r="W27">
        <v>48</v>
      </c>
      <c r="X27" s="13">
        <f t="shared" si="4"/>
        <v>144.43936998898238</v>
      </c>
      <c r="Y27" s="13">
        <f t="shared" si="5"/>
        <v>-125.26341032608376</v>
      </c>
      <c r="Z27" s="21">
        <f t="shared" si="6"/>
        <v>19.175959662898634</v>
      </c>
      <c r="AA27" s="224">
        <f t="shared" si="7"/>
        <v>125.26341032608376</v>
      </c>
      <c r="AB27" s="199">
        <f t="shared" si="8"/>
        <v>1.1530850837685167</v>
      </c>
      <c r="AC27" s="21">
        <f t="shared" si="10"/>
        <v>486.10211640211634</v>
      </c>
      <c r="AD27" s="4">
        <v>0.28320000000000001</v>
      </c>
      <c r="AE27" s="3">
        <v>1.6452365819209001</v>
      </c>
      <c r="AF27" s="3">
        <f t="shared" si="0"/>
        <v>3.5004274576271186</v>
      </c>
      <c r="AH27">
        <v>140.44603799999999</v>
      </c>
      <c r="AI27">
        <v>-138.03688399999999</v>
      </c>
      <c r="AJ27" s="244">
        <f t="shared" si="9"/>
        <v>209.78231328571428</v>
      </c>
      <c r="AK27" s="244">
        <f t="shared" si="11"/>
        <v>196.68921842857142</v>
      </c>
      <c r="AL27" s="3">
        <f t="shared" si="12"/>
        <v>-196.68921842857142</v>
      </c>
    </row>
    <row r="28" spans="1:38">
      <c r="A28" s="2">
        <v>41401</v>
      </c>
      <c r="B28" s="4">
        <v>20.683611405367234</v>
      </c>
      <c r="C28" s="4">
        <v>24.353506532485881</v>
      </c>
      <c r="D28" s="4">
        <v>16.535581921500995</v>
      </c>
      <c r="E28" s="7">
        <v>256.4104652189265</v>
      </c>
      <c r="F28" s="4">
        <v>1.0563193818109473</v>
      </c>
      <c r="G28" s="4">
        <v>1.1254959392655366</v>
      </c>
      <c r="H28" s="4">
        <v>17.452755296610167</v>
      </c>
      <c r="I28" s="4">
        <v>1.4230264830508477</v>
      </c>
      <c r="J28" s="4">
        <v>5.1914633125976133</v>
      </c>
      <c r="K28" s="4">
        <v>-5.1791516189928837</v>
      </c>
      <c r="L28" s="4">
        <v>-2.9692153753372827</v>
      </c>
      <c r="M28" s="4">
        <v>-0.1761761255645421</v>
      </c>
      <c r="N28" s="4">
        <f t="shared" si="1"/>
        <v>-0.57194189702394316</v>
      </c>
      <c r="O28" s="4">
        <f t="shared" si="2"/>
        <v>3.4016406262074361E-2</v>
      </c>
      <c r="P28" s="3">
        <v>175.51538908484113</v>
      </c>
      <c r="Q28" s="7">
        <v>-120.07141184228014</v>
      </c>
      <c r="R28" s="7">
        <v>55.44397724256099</v>
      </c>
      <c r="S28" s="4">
        <f t="shared" si="3"/>
        <v>1.4617583518996966</v>
      </c>
      <c r="T28" s="4">
        <v>4.8795208333333324</v>
      </c>
      <c r="U28" s="4">
        <v>18.9609375</v>
      </c>
      <c r="V28" s="7">
        <v>420.70370370370358</v>
      </c>
      <c r="W28">
        <v>48</v>
      </c>
      <c r="X28" s="13">
        <f t="shared" si="4"/>
        <v>152.72110588720417</v>
      </c>
      <c r="Y28" s="13">
        <f t="shared" si="5"/>
        <v>-132.562514984865</v>
      </c>
      <c r="Z28" s="21">
        <f t="shared" si="6"/>
        <v>20.158590902339171</v>
      </c>
      <c r="AA28" s="224">
        <f t="shared" si="7"/>
        <v>132.562514984865</v>
      </c>
      <c r="AB28" s="199">
        <f t="shared" si="8"/>
        <v>1.1520685610456374</v>
      </c>
      <c r="AC28" s="21">
        <f t="shared" si="10"/>
        <v>486.09788359788354</v>
      </c>
      <c r="AD28" s="4">
        <v>0.30880000000000002</v>
      </c>
      <c r="AE28" s="3">
        <v>1.6803714388748601</v>
      </c>
      <c r="AF28" s="3">
        <f t="shared" si="0"/>
        <v>2.5067258686440672</v>
      </c>
      <c r="AH28">
        <v>277.241219</v>
      </c>
      <c r="AI28">
        <v>-256.92101500000001</v>
      </c>
      <c r="AJ28" s="244">
        <f t="shared" si="9"/>
        <v>215.11579114285715</v>
      </c>
      <c r="AK28" s="244">
        <f t="shared" si="11"/>
        <v>203.42142385714288</v>
      </c>
      <c r="AL28" s="3">
        <f t="shared" si="12"/>
        <v>-203.42142385714288</v>
      </c>
    </row>
    <row r="29" spans="1:38">
      <c r="A29" s="2">
        <v>41402</v>
      </c>
      <c r="B29" s="4">
        <v>22.319241829281889</v>
      </c>
      <c r="C29" s="4">
        <v>24.476784158489448</v>
      </c>
      <c r="D29" s="4">
        <v>16.199611516583854</v>
      </c>
      <c r="E29" s="7">
        <v>261.67822696361753</v>
      </c>
      <c r="F29" s="4">
        <v>1.1121832890106005</v>
      </c>
      <c r="G29" s="4">
        <v>0.9661884137426896</v>
      </c>
      <c r="H29" s="4">
        <v>16.66449556137874</v>
      </c>
      <c r="I29" s="4">
        <v>1.0062668376449599</v>
      </c>
      <c r="J29" s="4">
        <v>4.9013755952243168</v>
      </c>
      <c r="K29" s="4">
        <v>-4.8067747868083446</v>
      </c>
      <c r="L29" s="4">
        <v>-1.3394242618173895</v>
      </c>
      <c r="M29" s="4">
        <v>-0.88306423794265121</v>
      </c>
      <c r="N29" s="4">
        <f t="shared" si="1"/>
        <v>-0.2732751726112288</v>
      </c>
      <c r="O29" s="4">
        <f t="shared" si="2"/>
        <v>0.1837124219687018</v>
      </c>
      <c r="P29" s="3">
        <v>135.52680541209713</v>
      </c>
      <c r="Q29" s="7">
        <v>-94.169053172776643</v>
      </c>
      <c r="R29" s="7">
        <v>41.35775223932049</v>
      </c>
      <c r="S29" s="4">
        <f t="shared" si="3"/>
        <v>1.4391862384284502</v>
      </c>
      <c r="T29" s="4">
        <v>3.4183645833333323</v>
      </c>
      <c r="U29" s="4">
        <v>20.916562500000001</v>
      </c>
      <c r="V29" s="7">
        <v>535.15740740740739</v>
      </c>
      <c r="W29">
        <v>48</v>
      </c>
      <c r="X29" s="13">
        <f t="shared" si="4"/>
        <v>153.93377804573544</v>
      </c>
      <c r="Y29" s="13">
        <f t="shared" si="5"/>
        <v>-128.37424191249394</v>
      </c>
      <c r="Z29" s="21">
        <f t="shared" si="6"/>
        <v>25.559536133241505</v>
      </c>
      <c r="AA29" s="224">
        <f t="shared" si="7"/>
        <v>128.37424191249394</v>
      </c>
      <c r="AB29" s="199">
        <f t="shared" si="8"/>
        <v>1.199101749326505</v>
      </c>
      <c r="AC29" s="21">
        <f t="shared" si="10"/>
        <v>426.21190476190469</v>
      </c>
      <c r="AD29" s="4">
        <v>0.42020000000000002</v>
      </c>
      <c r="AE29" s="3">
        <v>1.68589577757954</v>
      </c>
      <c r="AF29" s="3">
        <f t="shared" si="0"/>
        <v>1.9523356798245597</v>
      </c>
      <c r="AH29">
        <v>250.24380500000001</v>
      </c>
      <c r="AI29">
        <v>-189.202855</v>
      </c>
      <c r="AJ29" s="244">
        <f t="shared" si="9"/>
        <v>227.18235314285712</v>
      </c>
      <c r="AK29" s="244">
        <f t="shared" si="11"/>
        <v>213.3056787142857</v>
      </c>
      <c r="AL29" s="3">
        <f t="shared" si="12"/>
        <v>-213.3056787142857</v>
      </c>
    </row>
    <row r="30" spans="1:38">
      <c r="A30" s="2">
        <v>41403</v>
      </c>
      <c r="B30" s="4">
        <v>23.421039153898647</v>
      </c>
      <c r="C30" s="4">
        <v>23.575590541417132</v>
      </c>
      <c r="D30" s="4">
        <v>15.218978990233197</v>
      </c>
      <c r="E30" s="7">
        <v>261.43527838287395</v>
      </c>
      <c r="F30" s="4">
        <v>1.1281014735654342</v>
      </c>
      <c r="G30" s="4">
        <v>0.98795611064762756</v>
      </c>
      <c r="H30" s="4">
        <v>17.105841820027386</v>
      </c>
      <c r="I30" s="4">
        <v>0.86443116169288015</v>
      </c>
      <c r="J30" s="4">
        <v>7.0027802809159434</v>
      </c>
      <c r="K30" s="4">
        <v>-10.982438096242428</v>
      </c>
      <c r="L30" s="4">
        <v>-0.52068489110233529</v>
      </c>
      <c r="M30" s="4">
        <v>-0.37925990230883666</v>
      </c>
      <c r="N30" s="4">
        <f t="shared" si="1"/>
        <v>-7.4354023718452469E-2</v>
      </c>
      <c r="O30" s="4">
        <f t="shared" si="2"/>
        <v>3.4533306628752869E-2</v>
      </c>
      <c r="P30" s="3">
        <v>243.19913182652093</v>
      </c>
      <c r="Q30" s="7">
        <v>-254.47627665440626</v>
      </c>
      <c r="R30" s="7">
        <v>-11.277144827885337</v>
      </c>
      <c r="S30" s="4">
        <f t="shared" si="3"/>
        <v>0.95568488750249847</v>
      </c>
      <c r="T30" s="4">
        <v>2.5678749999999995</v>
      </c>
      <c r="U30" s="4">
        <v>22.158750000000001</v>
      </c>
      <c r="V30" s="7">
        <v>548.65925925925933</v>
      </c>
      <c r="W30">
        <v>48</v>
      </c>
      <c r="X30" s="13">
        <f t="shared" si="4"/>
        <v>163.52974270324381</v>
      </c>
      <c r="Y30" s="13">
        <f t="shared" si="5"/>
        <v>-140.55131716561189</v>
      </c>
      <c r="Z30" s="21">
        <f t="shared" si="6"/>
        <v>22.978425537631928</v>
      </c>
      <c r="AA30" s="224">
        <f t="shared" si="7"/>
        <v>140.55131716561189</v>
      </c>
      <c r="AB30" s="199">
        <f t="shared" si="8"/>
        <v>1.1634877993392008</v>
      </c>
      <c r="AC30" s="21">
        <f t="shared" si="10"/>
        <v>419.13253968253963</v>
      </c>
      <c r="AD30" s="4">
        <v>0.34889999999999999</v>
      </c>
      <c r="AE30" s="3">
        <v>1.7497454379413599</v>
      </c>
      <c r="AF30" s="3">
        <f t="shared" si="0"/>
        <v>2.0280872650537436</v>
      </c>
      <c r="AH30">
        <v>363.49628100000001</v>
      </c>
      <c r="AI30">
        <v>-389.25760200000002</v>
      </c>
      <c r="AJ30" s="244">
        <f t="shared" si="9"/>
        <v>219.11650642857143</v>
      </c>
      <c r="AK30" s="244">
        <f t="shared" si="11"/>
        <v>207.38327157142857</v>
      </c>
      <c r="AL30" s="3">
        <f t="shared" si="12"/>
        <v>-207.38327157142857</v>
      </c>
    </row>
    <row r="31" spans="1:38">
      <c r="A31" s="2">
        <v>41404</v>
      </c>
      <c r="B31" s="4">
        <v>22.640874982344627</v>
      </c>
      <c r="C31" s="4">
        <v>24.252236405367231</v>
      </c>
      <c r="D31" s="4">
        <v>15.948070638430679</v>
      </c>
      <c r="E31" s="7">
        <v>236.1232951536017</v>
      </c>
      <c r="F31" s="4">
        <v>1.0067452938687136</v>
      </c>
      <c r="G31" s="4">
        <v>1.2941440677966105</v>
      </c>
      <c r="H31" s="4">
        <v>16.716005826271186</v>
      </c>
      <c r="I31" s="4">
        <v>0.8225455508474574</v>
      </c>
      <c r="J31" s="4">
        <v>4.5154112422315116</v>
      </c>
      <c r="K31" s="4">
        <v>-5.4178851137793149</v>
      </c>
      <c r="L31" s="4">
        <v>-0.20269792092075381</v>
      </c>
      <c r="M31" s="4">
        <v>-5.8617176492816024E-2</v>
      </c>
      <c r="N31" s="4">
        <f t="shared" si="1"/>
        <v>-4.4890245881697523E-2</v>
      </c>
      <c r="O31" s="4">
        <f t="shared" si="2"/>
        <v>1.0819198868528031E-2</v>
      </c>
      <c r="P31" s="3">
        <v>135.20480943088677</v>
      </c>
      <c r="Q31" s="7">
        <v>-128.62243049487597</v>
      </c>
      <c r="R31" s="7">
        <v>6.582378936010798</v>
      </c>
      <c r="S31" s="4">
        <f t="shared" si="3"/>
        <v>1.0511759800424003</v>
      </c>
      <c r="T31" s="4">
        <v>3.1036562500000002</v>
      </c>
      <c r="U31" s="4">
        <v>21.657916666666665</v>
      </c>
      <c r="V31" s="7">
        <v>218.57222222222222</v>
      </c>
      <c r="W31">
        <v>48</v>
      </c>
      <c r="X31" s="13">
        <f t="shared" si="4"/>
        <v>164.51170482813581</v>
      </c>
      <c r="Y31" s="13">
        <f t="shared" si="5"/>
        <v>-142.02199973068585</v>
      </c>
      <c r="Z31" s="21">
        <f t="shared" si="6"/>
        <v>22.489705097449963</v>
      </c>
      <c r="AA31" s="224">
        <f t="shared" si="7"/>
        <v>142.02199973068585</v>
      </c>
      <c r="AB31" s="199">
        <f t="shared" si="8"/>
        <v>1.1583536715445273</v>
      </c>
      <c r="AC31" s="21">
        <f t="shared" si="10"/>
        <v>424.75132275132279</v>
      </c>
      <c r="AD31" s="4">
        <v>0.57369999999999999</v>
      </c>
      <c r="AE31" s="3">
        <v>1.7472563559322001</v>
      </c>
      <c r="AF31" s="3">
        <f t="shared" si="0"/>
        <v>3.0936213559322043</v>
      </c>
      <c r="AH31">
        <v>144.732497</v>
      </c>
      <c r="AI31">
        <v>-152.13073</v>
      </c>
      <c r="AJ31" s="244">
        <f t="shared" si="9"/>
        <v>209.32968014285711</v>
      </c>
      <c r="AK31" s="244">
        <f t="shared" si="11"/>
        <v>195.13272699999996</v>
      </c>
      <c r="AL31" s="3">
        <f t="shared" si="12"/>
        <v>-195.13272699999996</v>
      </c>
    </row>
    <row r="32" spans="1:38">
      <c r="A32" s="2">
        <v>41405</v>
      </c>
      <c r="B32" s="4">
        <v>22.437352701271184</v>
      </c>
      <c r="C32" s="4">
        <v>25.241649187853113</v>
      </c>
      <c r="D32" s="4">
        <v>16.749985652062914</v>
      </c>
      <c r="E32" s="7">
        <v>233.40848450741524</v>
      </c>
      <c r="F32" s="4">
        <v>0.99751807807918913</v>
      </c>
      <c r="G32" s="4">
        <v>1.4386235875706221</v>
      </c>
      <c r="H32" s="4">
        <v>15.739791666666662</v>
      </c>
      <c r="I32" s="4">
        <v>0.59331885593220335</v>
      </c>
      <c r="J32" s="4">
        <v>5.5749610866445654</v>
      </c>
      <c r="K32" s="4">
        <v>-4.9618846629190969</v>
      </c>
      <c r="L32" s="4">
        <v>-4.0239452935479023E-2</v>
      </c>
      <c r="M32" s="4">
        <v>0.34343355752739779</v>
      </c>
      <c r="N32" s="4">
        <f t="shared" si="1"/>
        <v>-7.2178894722470929E-3</v>
      </c>
      <c r="O32" s="4">
        <f t="shared" si="2"/>
        <v>-6.9214337063077655E-2</v>
      </c>
      <c r="P32" s="3">
        <v>147.42700326035992</v>
      </c>
      <c r="Q32" s="7">
        <v>-127.32763729071584</v>
      </c>
      <c r="R32" s="7">
        <v>20.099365969644083</v>
      </c>
      <c r="S32" s="4">
        <f t="shared" si="3"/>
        <v>1.1578554852451475</v>
      </c>
      <c r="T32" s="4">
        <v>2.9571041666666669</v>
      </c>
      <c r="U32" s="4">
        <v>20.591979166666665</v>
      </c>
      <c r="V32" s="7">
        <v>184.89074074074071</v>
      </c>
      <c r="W32">
        <v>48</v>
      </c>
      <c r="X32" s="13">
        <f t="shared" si="4"/>
        <v>150.43547409257863</v>
      </c>
      <c r="Y32" s="13">
        <f t="shared" si="5"/>
        <v>-130.42084748163657</v>
      </c>
      <c r="Z32" s="21">
        <f t="shared" si="6"/>
        <v>20.014626610942052</v>
      </c>
      <c r="AA32" s="224">
        <f t="shared" si="7"/>
        <v>130.42084748163657</v>
      </c>
      <c r="AB32" s="199">
        <f t="shared" si="8"/>
        <v>1.1534618659318261</v>
      </c>
      <c r="AC32" s="21">
        <f t="shared" si="10"/>
        <v>448.89206349206353</v>
      </c>
      <c r="AD32" s="4">
        <v>0.51170000000000004</v>
      </c>
      <c r="AE32" s="3">
        <v>1.7759004237288101</v>
      </c>
      <c r="AF32" s="3">
        <f t="shared" si="0"/>
        <v>3.5964100847457647</v>
      </c>
      <c r="AH32">
        <v>242.179193</v>
      </c>
      <c r="AI32">
        <v>-236.563537</v>
      </c>
      <c r="AJ32" s="244">
        <f t="shared" si="9"/>
        <v>192.61925257142852</v>
      </c>
      <c r="AK32" s="244">
        <f t="shared" si="11"/>
        <v>180.38256999999999</v>
      </c>
      <c r="AL32" s="3">
        <f t="shared" si="12"/>
        <v>-180.38256999999999</v>
      </c>
    </row>
    <row r="33" spans="1:38">
      <c r="A33" s="2">
        <v>41406</v>
      </c>
      <c r="B33" s="4">
        <v>22.449385610875709</v>
      </c>
      <c r="C33" s="4">
        <v>25.789768008474592</v>
      </c>
      <c r="D33" s="4">
        <v>17.15919532433465</v>
      </c>
      <c r="E33" s="7">
        <v>237.1335904396187</v>
      </c>
      <c r="F33" s="4">
        <v>1.0170730474294263</v>
      </c>
      <c r="G33" s="4">
        <v>1.6920805084745771</v>
      </c>
      <c r="H33" s="4">
        <v>14.572978460451976</v>
      </c>
      <c r="I33" s="4">
        <v>0.81916101694915222</v>
      </c>
      <c r="J33" s="4">
        <v>7.5643587427033934</v>
      </c>
      <c r="K33" s="4">
        <v>-6.7503829225839498</v>
      </c>
      <c r="L33" s="4">
        <v>-9.1659523637568463E-2</v>
      </c>
      <c r="M33" s="4">
        <v>0.21342265485661166</v>
      </c>
      <c r="N33" s="4">
        <f t="shared" si="1"/>
        <v>-1.211728935066486E-2</v>
      </c>
      <c r="O33" s="4">
        <f t="shared" si="2"/>
        <v>-3.1616377515798245E-2</v>
      </c>
      <c r="P33" s="3">
        <v>197.36762189105281</v>
      </c>
      <c r="Q33" s="7">
        <v>-167.13133385857353</v>
      </c>
      <c r="R33" s="7">
        <v>30.23628803247928</v>
      </c>
      <c r="S33" s="4">
        <f t="shared" si="3"/>
        <v>1.1809133412293904</v>
      </c>
      <c r="T33" s="4">
        <v>5.4935625000000021</v>
      </c>
      <c r="U33" s="4">
        <v>21.165312499999999</v>
      </c>
      <c r="V33" s="7">
        <v>491.06666666666672</v>
      </c>
      <c r="W33">
        <v>48</v>
      </c>
      <c r="X33" s="13">
        <f t="shared" si="4"/>
        <v>147.61006516143169</v>
      </c>
      <c r="Y33" s="13">
        <f t="shared" si="5"/>
        <v>-136.85159294521537</v>
      </c>
      <c r="Z33" s="21">
        <f t="shared" si="6"/>
        <v>10.758472216216296</v>
      </c>
      <c r="AA33" s="224">
        <f t="shared" si="7"/>
        <v>136.85159294521537</v>
      </c>
      <c r="AB33" s="199">
        <f t="shared" si="8"/>
        <v>1.0786141540970091</v>
      </c>
      <c r="AC33" s="21">
        <f t="shared" si="10"/>
        <v>455.11534391534394</v>
      </c>
      <c r="AD33" s="4">
        <v>0.44419999999999998</v>
      </c>
      <c r="AE33" s="3">
        <v>1.7631461864406801</v>
      </c>
      <c r="AF33" s="3">
        <f t="shared" si="0"/>
        <v>4.4784401694915283</v>
      </c>
      <c r="AH33">
        <v>115.476512</v>
      </c>
      <c r="AI33">
        <v>-89.570278000000002</v>
      </c>
      <c r="AJ33" s="244">
        <f t="shared" si="9"/>
        <v>188.24953971428573</v>
      </c>
      <c r="AK33" s="244">
        <f t="shared" si="11"/>
        <v>188.67143057142857</v>
      </c>
      <c r="AL33" s="3">
        <f t="shared" si="12"/>
        <v>-188.67143057142857</v>
      </c>
    </row>
    <row r="34" spans="1:38">
      <c r="A34" s="2">
        <v>41407</v>
      </c>
      <c r="B34" s="4">
        <v>22.231191013418073</v>
      </c>
      <c r="C34" s="4">
        <v>24.409184322033894</v>
      </c>
      <c r="D34" s="4">
        <v>16.174778327893566</v>
      </c>
      <c r="E34" s="7">
        <v>247.78010791843221</v>
      </c>
      <c r="F34" s="4">
        <v>1.0503280153527765</v>
      </c>
      <c r="G34" s="4">
        <v>1.4595264830508476</v>
      </c>
      <c r="H34" s="4">
        <v>16.131154484463281</v>
      </c>
      <c r="I34" s="4">
        <v>0.73421398305084706</v>
      </c>
      <c r="J34" s="4">
        <v>3.6617921963646278</v>
      </c>
      <c r="K34" s="4">
        <v>-4.2522885814049936</v>
      </c>
      <c r="L34" s="4">
        <v>-0.76531925293396796</v>
      </c>
      <c r="M34" s="4">
        <v>1.2538701977195718E-2</v>
      </c>
      <c r="N34" s="4">
        <f t="shared" si="1"/>
        <v>-0.20900127912604255</v>
      </c>
      <c r="O34" s="4">
        <f t="shared" si="2"/>
        <v>-2.9486949761657099E-3</v>
      </c>
      <c r="P34" s="3">
        <v>117.34117289119195</v>
      </c>
      <c r="Q34" s="7">
        <v>-102.35585480117251</v>
      </c>
      <c r="R34" s="7">
        <v>14.985318090019433</v>
      </c>
      <c r="S34" s="4">
        <f t="shared" si="3"/>
        <v>1.1464041125847524</v>
      </c>
      <c r="T34" s="4">
        <v>3.7377812500000016</v>
      </c>
      <c r="U34" s="4">
        <v>19.784583333333327</v>
      </c>
      <c r="V34" s="7">
        <v>574.20925925925928</v>
      </c>
      <c r="W34">
        <v>48</v>
      </c>
      <c r="X34" s="13">
        <f t="shared" si="4"/>
        <v>135.66067547688871</v>
      </c>
      <c r="Y34" s="13">
        <f t="shared" si="5"/>
        <v>-119.50499426263953</v>
      </c>
      <c r="Z34" s="21">
        <f t="shared" si="6"/>
        <v>16.155681214249178</v>
      </c>
      <c r="AA34" s="224">
        <f t="shared" si="7"/>
        <v>119.50499426263953</v>
      </c>
      <c r="AB34" s="199">
        <f t="shared" si="8"/>
        <v>1.1351883351313619</v>
      </c>
      <c r="AC34" s="21">
        <f t="shared" si="10"/>
        <v>442.22354497354502</v>
      </c>
      <c r="AD34" s="4">
        <v>0.47020000000000001</v>
      </c>
      <c r="AE34" s="3">
        <v>1.7522175141242899</v>
      </c>
      <c r="AF34" s="3">
        <f t="shared" si="0"/>
        <v>3.6691521610169495</v>
      </c>
      <c r="AH34">
        <v>71.938254000000001</v>
      </c>
      <c r="AI34">
        <v>-52.283071999999997</v>
      </c>
      <c r="AJ34" s="244">
        <f t="shared" si="9"/>
        <v>151.76407257142858</v>
      </c>
      <c r="AK34" s="244">
        <f t="shared" si="11"/>
        <v>145.27870957142858</v>
      </c>
      <c r="AL34" s="3">
        <f t="shared" si="12"/>
        <v>-145.27870957142858</v>
      </c>
    </row>
    <row r="35" spans="1:38">
      <c r="A35" s="2">
        <v>41408</v>
      </c>
      <c r="B35" s="4">
        <v>22.833517443502814</v>
      </c>
      <c r="C35" s="4">
        <v>21.864791843220331</v>
      </c>
      <c r="D35" s="4">
        <v>14.092390480864069</v>
      </c>
      <c r="E35" s="7">
        <v>254.16948600812145</v>
      </c>
      <c r="F35" s="4">
        <v>1.0734657840598454</v>
      </c>
      <c r="G35" s="4">
        <v>1.2611329449152542</v>
      </c>
      <c r="H35" s="4">
        <v>18.063752648305087</v>
      </c>
      <c r="I35" s="4">
        <v>0.76587182203389848</v>
      </c>
      <c r="J35" s="4">
        <v>3.5597704016591925</v>
      </c>
      <c r="K35" s="4">
        <v>-1.6877424385439415</v>
      </c>
      <c r="L35" s="4">
        <v>-0.52327713576961965</v>
      </c>
      <c r="M35" s="4">
        <v>-6.8436351088303773E-2</v>
      </c>
      <c r="N35" s="4">
        <f t="shared" si="1"/>
        <v>-0.14699743992638475</v>
      </c>
      <c r="O35" s="4">
        <f t="shared" si="2"/>
        <v>4.0549049147182409E-2</v>
      </c>
      <c r="P35" s="3">
        <v>76.981773935940936</v>
      </c>
      <c r="Q35" s="7">
        <v>-38.863346098935317</v>
      </c>
      <c r="R35" s="7">
        <v>38.118427837005619</v>
      </c>
      <c r="S35" s="4">
        <f t="shared" si="3"/>
        <v>1.9808323693993477</v>
      </c>
      <c r="T35" s="4">
        <v>2.8496145833333326</v>
      </c>
      <c r="U35" s="4">
        <v>21.53510416666666</v>
      </c>
      <c r="V35" s="7">
        <v>589.68888888888887</v>
      </c>
      <c r="W35">
        <v>48</v>
      </c>
      <c r="X35" s="13">
        <f t="shared" si="4"/>
        <v>155.00686465610164</v>
      </c>
      <c r="Y35" s="13">
        <f t="shared" si="5"/>
        <v>-146.42413020215625</v>
      </c>
      <c r="Z35" s="21">
        <f t="shared" si="6"/>
        <v>8.5827344539453936</v>
      </c>
      <c r="AA35" s="224">
        <f t="shared" si="7"/>
        <v>146.42413020215625</v>
      </c>
      <c r="AB35" s="199">
        <f t="shared" si="8"/>
        <v>1.0586155741003609</v>
      </c>
      <c r="AC35" s="21">
        <f t="shared" si="10"/>
        <v>479.97804232804231</v>
      </c>
      <c r="AD35" s="4">
        <v>0.42559999999999998</v>
      </c>
      <c r="AE35" s="3">
        <v>1.72386652542373</v>
      </c>
      <c r="AF35" s="3">
        <f t="shared" ref="AF35:AF66" si="13">3.48*G35-1.41</f>
        <v>2.9787426483050847</v>
      </c>
      <c r="AH35">
        <v>160.268226</v>
      </c>
      <c r="AI35">
        <v>-153.669916</v>
      </c>
      <c r="AJ35" s="244">
        <f t="shared" si="9"/>
        <v>178.33410085714286</v>
      </c>
      <c r="AK35" s="244">
        <f t="shared" si="11"/>
        <v>178.84113828571429</v>
      </c>
      <c r="AL35" s="3">
        <f t="shared" si="12"/>
        <v>-178.84113828571429</v>
      </c>
    </row>
    <row r="36" spans="1:38">
      <c r="A36" s="2">
        <v>41409</v>
      </c>
      <c r="B36" s="4">
        <v>24.002721816311134</v>
      </c>
      <c r="C36" s="4">
        <v>22.79996597262809</v>
      </c>
      <c r="D36" s="4">
        <v>14.475660858202213</v>
      </c>
      <c r="E36" s="7">
        <v>247.93665044960301</v>
      </c>
      <c r="F36" s="4">
        <v>1.0752391338791987</v>
      </c>
      <c r="G36" s="4">
        <v>1.2089134017631005</v>
      </c>
      <c r="H36" s="4">
        <v>16.060657988992794</v>
      </c>
      <c r="I36" s="4">
        <v>0.79866065020455868</v>
      </c>
      <c r="J36" s="3">
        <v>2.2757015388212967</v>
      </c>
      <c r="K36" s="3">
        <v>-5.693023580266642</v>
      </c>
      <c r="L36" s="3">
        <v>-0.49894958870009354</v>
      </c>
      <c r="M36" s="3">
        <v>0.10632106214286849</v>
      </c>
      <c r="N36" s="4">
        <f t="shared" si="1"/>
        <v>-0.219250890412688</v>
      </c>
      <c r="O36" s="4">
        <f t="shared" si="2"/>
        <v>-1.867567570094076E-2</v>
      </c>
      <c r="P36" s="3">
        <v>115.74894289406846</v>
      </c>
      <c r="Q36" s="7">
        <v>-139.18427141782826</v>
      </c>
      <c r="R36" s="7">
        <v>-23.435328523759793</v>
      </c>
      <c r="S36" s="4">
        <f t="shared" si="3"/>
        <v>0.83162372957065367</v>
      </c>
      <c r="T36" s="3">
        <v>2.3703541666666665</v>
      </c>
      <c r="U36" s="3">
        <v>22.703645833333336</v>
      </c>
      <c r="V36" s="7">
        <v>578.72037037037035</v>
      </c>
      <c r="W36">
        <v>48</v>
      </c>
      <c r="X36" s="13">
        <f t="shared" si="4"/>
        <v>187.9731081622802</v>
      </c>
      <c r="Y36" s="13">
        <f t="shared" si="5"/>
        <v>-177.59861552450849</v>
      </c>
      <c r="Z36" s="21">
        <f t="shared" si="6"/>
        <v>10.374492637771704</v>
      </c>
      <c r="AA36" s="224">
        <f t="shared" si="7"/>
        <v>177.59861552450849</v>
      </c>
      <c r="AB36" s="199">
        <f t="shared" si="8"/>
        <v>1.0584153913989269</v>
      </c>
      <c r="AC36" s="21">
        <f t="shared" si="10"/>
        <v>531.11164021164018</v>
      </c>
      <c r="AD36" s="4">
        <v>0.46739999999999998</v>
      </c>
      <c r="AE36" s="3">
        <v>1.88402005162673</v>
      </c>
      <c r="AF36" s="3">
        <f t="shared" si="13"/>
        <v>2.7970186381355893</v>
      </c>
      <c r="AH36">
        <v>219.65581499999999</v>
      </c>
      <c r="AI36">
        <v>-247.22487899999999</v>
      </c>
      <c r="AJ36" s="244">
        <f t="shared" si="9"/>
        <v>202.86862114285714</v>
      </c>
      <c r="AK36" s="244">
        <f t="shared" si="11"/>
        <v>199.68240957142856</v>
      </c>
      <c r="AL36" s="3">
        <f t="shared" si="12"/>
        <v>-199.68240957142856</v>
      </c>
    </row>
    <row r="37" spans="1:38">
      <c r="A37" s="2">
        <v>41410</v>
      </c>
      <c r="B37" s="4">
        <v>23.923408333333331</v>
      </c>
      <c r="C37" s="4">
        <v>24.374225105932208</v>
      </c>
      <c r="D37" s="4">
        <v>15.685582111378245</v>
      </c>
      <c r="E37" s="7">
        <v>245.05374955861586</v>
      </c>
      <c r="F37" s="4">
        <v>1.070117049979294</v>
      </c>
      <c r="G37" s="4">
        <v>1.1446825564971757</v>
      </c>
      <c r="H37" s="4">
        <v>14.80262199858757</v>
      </c>
      <c r="I37" s="4">
        <v>0.6588591101694915</v>
      </c>
      <c r="J37" s="3">
        <v>6.0263250148070426</v>
      </c>
      <c r="K37" s="3">
        <v>-5.5435668002717788</v>
      </c>
      <c r="L37" s="3">
        <v>-0.17618428073212269</v>
      </c>
      <c r="M37" s="3">
        <v>1.8677791052942541E-4</v>
      </c>
      <c r="N37" s="4">
        <f t="shared" si="1"/>
        <v>-2.92357747548012E-2</v>
      </c>
      <c r="O37" s="4">
        <f t="shared" si="2"/>
        <v>-3.3692732000680219E-5</v>
      </c>
      <c r="P37" s="3">
        <v>159.55340403472019</v>
      </c>
      <c r="Q37" s="7">
        <v>-133.05008587637536</v>
      </c>
      <c r="R37" s="7">
        <v>26.503318158344825</v>
      </c>
      <c r="S37" s="4">
        <f t="shared" si="3"/>
        <v>1.1991980537537617</v>
      </c>
      <c r="T37" s="3">
        <v>2.0551354166666669</v>
      </c>
      <c r="U37" s="3">
        <v>23.139687500000001</v>
      </c>
      <c r="V37" s="7">
        <v>458.4166666666668</v>
      </c>
      <c r="W37">
        <v>48</v>
      </c>
      <c r="X37" s="13">
        <f t="shared" si="4"/>
        <v>201.50366585388591</v>
      </c>
      <c r="Y37" s="13">
        <f t="shared" si="5"/>
        <v>-193.31367029107793</v>
      </c>
      <c r="Z37" s="21">
        <f t="shared" si="6"/>
        <v>8.1899955628079741</v>
      </c>
      <c r="AA37" s="224">
        <f t="shared" si="7"/>
        <v>193.31367029107793</v>
      </c>
      <c r="AB37" s="199">
        <f t="shared" si="8"/>
        <v>1.0423663549012134</v>
      </c>
      <c r="AC37" s="21">
        <f t="shared" si="10"/>
        <v>517.31084656084658</v>
      </c>
      <c r="AD37" s="4">
        <v>0.26469999999999999</v>
      </c>
      <c r="AE37" s="3">
        <v>1.9924435028248599</v>
      </c>
      <c r="AF37" s="3">
        <f t="shared" si="13"/>
        <v>2.5734952966101714</v>
      </c>
      <c r="AH37">
        <v>108.098011</v>
      </c>
      <c r="AI37">
        <v>-85.508555000000001</v>
      </c>
      <c r="AJ37" s="244">
        <f t="shared" si="9"/>
        <v>241.09031414285715</v>
      </c>
      <c r="AK37" s="244">
        <f t="shared" si="11"/>
        <v>240.62857757142856</v>
      </c>
      <c r="AL37" s="3">
        <f t="shared" si="12"/>
        <v>-240.62857757142856</v>
      </c>
    </row>
    <row r="38" spans="1:38">
      <c r="A38" s="2">
        <v>41411</v>
      </c>
      <c r="B38" s="4">
        <v>24.835263642777452</v>
      </c>
      <c r="C38" s="4">
        <v>24.728405529410963</v>
      </c>
      <c r="D38" s="4">
        <v>15.691113020766132</v>
      </c>
      <c r="E38" s="7">
        <v>244.94569456989089</v>
      </c>
      <c r="F38" s="4">
        <v>1.0893740433463301</v>
      </c>
      <c r="G38" s="4">
        <v>1.1387566775873179</v>
      </c>
      <c r="H38" s="4">
        <v>14.083356059127501</v>
      </c>
      <c r="I38" s="4">
        <v>1.1203371883086783</v>
      </c>
      <c r="J38" s="3">
        <v>6.4517055033745692</v>
      </c>
      <c r="K38" s="3">
        <v>-12.903874007732927</v>
      </c>
      <c r="L38" s="3">
        <v>-0.26115549451232756</v>
      </c>
      <c r="M38" s="3">
        <v>0.30680857857927257</v>
      </c>
      <c r="N38" s="4">
        <f t="shared" si="1"/>
        <v>-4.047852066027037E-2</v>
      </c>
      <c r="O38" s="4">
        <f t="shared" si="2"/>
        <v>-2.3776470414653063E-2</v>
      </c>
      <c r="P38" s="3">
        <v>270.62813368537707</v>
      </c>
      <c r="Q38" s="7">
        <v>-317.05638207149275</v>
      </c>
      <c r="R38" s="7">
        <v>-46.428248386115683</v>
      </c>
      <c r="S38" s="4">
        <f t="shared" si="3"/>
        <v>0.85356469381636157</v>
      </c>
      <c r="T38" s="3">
        <v>3.0997187499999996</v>
      </c>
      <c r="U38" s="3">
        <v>23.998750000000001</v>
      </c>
      <c r="V38" s="7">
        <v>482.85370370370373</v>
      </c>
      <c r="W38">
        <v>48</v>
      </c>
      <c r="X38" s="13">
        <f t="shared" ref="X38:X69" si="14">AVERAGE(P35:P41)</f>
        <v>239.31275277791977</v>
      </c>
      <c r="Y38" s="13">
        <f t="shared" ref="Y38:Y69" si="15">AVERAGE(Q35:Q41)</f>
        <v>-236.19714643944795</v>
      </c>
      <c r="Z38" s="21">
        <f t="shared" ref="Z38:Z69" si="16">AVERAGE(R35:R41)</f>
        <v>3.115606338471832</v>
      </c>
      <c r="AA38" s="224">
        <f t="shared" ref="AA38:AA69" si="17">-Y38</f>
        <v>236.19714643944795</v>
      </c>
      <c r="AB38" s="199">
        <f t="shared" ref="AB38:AB69" si="18">X38/-Y38</f>
        <v>1.0131907027050835</v>
      </c>
      <c r="AC38" s="21">
        <f t="shared" si="10"/>
        <v>514.05317460317451</v>
      </c>
      <c r="AD38" s="4">
        <v>0.24809999999999999</v>
      </c>
      <c r="AE38" s="3">
        <v>2.0105512865922899</v>
      </c>
      <c r="AF38" s="3">
        <f t="shared" si="13"/>
        <v>2.5528732380038663</v>
      </c>
      <c r="AH38">
        <v>330.72269499999999</v>
      </c>
      <c r="AI38">
        <v>-387.06773099999998</v>
      </c>
      <c r="AJ38" s="244">
        <f t="shared" ref="AJ38:AJ69" si="19">AVERAGE(AH35:AH41)</f>
        <v>296.95417314285714</v>
      </c>
      <c r="AK38" s="244">
        <f t="shared" si="11"/>
        <v>301.85269642857145</v>
      </c>
      <c r="AL38" s="3">
        <f t="shared" si="12"/>
        <v>-301.85269642857145</v>
      </c>
    </row>
    <row r="39" spans="1:38">
      <c r="A39" s="2">
        <v>41412</v>
      </c>
      <c r="B39" s="4">
        <v>25.859305930836189</v>
      </c>
      <c r="C39" s="4">
        <v>25.893389472323211</v>
      </c>
      <c r="D39" s="4">
        <v>16.264722685030794</v>
      </c>
      <c r="E39" s="7">
        <v>244.61406377714147</v>
      </c>
      <c r="F39" s="4">
        <v>1.1157732956656092</v>
      </c>
      <c r="G39" s="4">
        <v>0.93785511107964448</v>
      </c>
      <c r="H39" s="4">
        <v>12.097104862701306</v>
      </c>
      <c r="I39" s="4">
        <v>0.93560603606777926</v>
      </c>
      <c r="J39" s="3">
        <v>12.902744174871589</v>
      </c>
      <c r="K39" s="3">
        <v>-14.489860260404546</v>
      </c>
      <c r="L39" s="3">
        <v>-0.54164008286017506</v>
      </c>
      <c r="M39" s="3">
        <v>-9.1983820938643726E-2</v>
      </c>
      <c r="N39" s="4">
        <f t="shared" si="1"/>
        <v>-4.1978673336407958E-2</v>
      </c>
      <c r="O39" s="4">
        <f t="shared" si="2"/>
        <v>6.3481510025325538E-3</v>
      </c>
      <c r="P39" s="3">
        <v>378.19070780361005</v>
      </c>
      <c r="Q39" s="7">
        <v>-345.5490345471818</v>
      </c>
      <c r="R39" s="7">
        <v>32.641673256428248</v>
      </c>
      <c r="S39" s="4">
        <f t="shared" si="3"/>
        <v>1.0944632164844648</v>
      </c>
      <c r="T39" s="3">
        <v>3.2242604166666671</v>
      </c>
      <c r="U39" s="3">
        <v>24.418854166666662</v>
      </c>
      <c r="V39" s="7">
        <v>542.82592592592584</v>
      </c>
      <c r="W39">
        <v>48</v>
      </c>
      <c r="X39" s="13">
        <f t="shared" si="14"/>
        <v>287.77023413357159</v>
      </c>
      <c r="Y39" s="13">
        <f t="shared" si="15"/>
        <v>-294.21739736297496</v>
      </c>
      <c r="Z39" s="21">
        <f t="shared" si="16"/>
        <v>-6.4471632294033583</v>
      </c>
      <c r="AA39" s="224">
        <f t="shared" si="17"/>
        <v>294.21739736297496</v>
      </c>
      <c r="AB39" s="199">
        <f t="shared" si="18"/>
        <v>0.97808707681058871</v>
      </c>
      <c r="AC39" s="21">
        <f t="shared" si="10"/>
        <v>511.43968253968251</v>
      </c>
      <c r="AD39" s="4">
        <v>0.1678</v>
      </c>
      <c r="AE39" s="3">
        <v>2.03660451877909</v>
      </c>
      <c r="AF39" s="3">
        <f t="shared" si="13"/>
        <v>1.8537357865571626</v>
      </c>
      <c r="AH39">
        <v>413.92083500000001</v>
      </c>
      <c r="AI39">
        <v>-382.45243599999998</v>
      </c>
      <c r="AJ39" s="244">
        <f t="shared" si="19"/>
        <v>343.88041614285714</v>
      </c>
      <c r="AK39" s="244">
        <f t="shared" si="11"/>
        <v>353.63520657142857</v>
      </c>
      <c r="AL39" s="3">
        <f t="shared" si="12"/>
        <v>-353.63520657142857</v>
      </c>
    </row>
    <row r="40" spans="1:38">
      <c r="A40" s="2">
        <v>41413</v>
      </c>
      <c r="B40" s="4">
        <v>26.164655310040867</v>
      </c>
      <c r="C40" s="4">
        <v>25.809465742772513</v>
      </c>
      <c r="D40" s="4">
        <v>16.112083379823051</v>
      </c>
      <c r="E40" s="7">
        <v>245.13300122968715</v>
      </c>
      <c r="F40" s="4">
        <v>1.1231965194487235</v>
      </c>
      <c r="G40" s="4">
        <v>1.0778926322938147</v>
      </c>
      <c r="H40" s="4">
        <v>11.308570380832814</v>
      </c>
      <c r="I40" s="4">
        <v>0.69740902749753386</v>
      </c>
      <c r="J40" s="3">
        <v>9.6453022766732381</v>
      </c>
      <c r="K40" s="3">
        <v>-11.446463498642801</v>
      </c>
      <c r="L40" s="3">
        <v>-0.17915346165750176</v>
      </c>
      <c r="M40" s="3">
        <v>0.10089971904718495</v>
      </c>
      <c r="N40" s="4">
        <f t="shared" si="1"/>
        <v>-1.8574167664063463E-2</v>
      </c>
      <c r="O40" s="4">
        <f t="shared" si="2"/>
        <v>-8.8149251565034521E-3</v>
      </c>
      <c r="P40" s="3">
        <v>292.08152573229279</v>
      </c>
      <c r="Q40" s="7">
        <v>-277.13671722455962</v>
      </c>
      <c r="R40" s="7">
        <v>14.944808507733171</v>
      </c>
      <c r="S40" s="4">
        <f t="shared" si="3"/>
        <v>1.0539257614703708</v>
      </c>
      <c r="T40" s="3">
        <v>2.4204062499999996</v>
      </c>
      <c r="U40" s="3">
        <v>24.696458333333339</v>
      </c>
      <c r="V40" s="7">
        <v>394.46111111111099</v>
      </c>
      <c r="W40">
        <v>48</v>
      </c>
      <c r="X40" s="13">
        <f t="shared" si="14"/>
        <v>334.10952095522424</v>
      </c>
      <c r="Y40" s="13">
        <f t="shared" si="15"/>
        <v>-321.23216343368949</v>
      </c>
      <c r="Z40" s="21">
        <f t="shared" si="16"/>
        <v>12.87735752153478</v>
      </c>
      <c r="AA40" s="224">
        <f t="shared" si="17"/>
        <v>321.23216343368949</v>
      </c>
      <c r="AB40" s="199">
        <f t="shared" si="18"/>
        <v>1.0400873853473671</v>
      </c>
      <c r="AC40" s="21">
        <f t="shared" si="10"/>
        <v>483.82089947089952</v>
      </c>
      <c r="AD40" s="4">
        <v>0.13109999999999999</v>
      </c>
      <c r="AE40" s="3">
        <v>2.01555737527277</v>
      </c>
      <c r="AF40" s="3">
        <f t="shared" si="13"/>
        <v>2.3410663603824755</v>
      </c>
      <c r="AH40">
        <v>383.02836300000001</v>
      </c>
      <c r="AI40">
        <v>-376.19345399999997</v>
      </c>
      <c r="AJ40" s="244">
        <f t="shared" si="19"/>
        <v>381.57049871428575</v>
      </c>
      <c r="AK40" s="244">
        <f t="shared" si="11"/>
        <v>372.99068799999992</v>
      </c>
      <c r="AL40" s="3">
        <f t="shared" si="12"/>
        <v>-372.99068799999992</v>
      </c>
    </row>
    <row r="41" spans="1:38">
      <c r="A41" s="2">
        <v>41414</v>
      </c>
      <c r="B41" s="4">
        <v>26.774455261232347</v>
      </c>
      <c r="C41" s="4">
        <v>25.996840779015262</v>
      </c>
      <c r="D41" s="4">
        <v>16.066121417999977</v>
      </c>
      <c r="E41" s="7">
        <v>244.11402092597305</v>
      </c>
      <c r="F41" s="4">
        <v>1.1319453661829653</v>
      </c>
      <c r="G41" s="4">
        <v>1.030945431539976</v>
      </c>
      <c r="H41" s="4">
        <v>10.496460318402949</v>
      </c>
      <c r="I41" s="4">
        <v>0.59430081907656063</v>
      </c>
      <c r="J41" s="3">
        <v>10.626490558470433</v>
      </c>
      <c r="K41" s="3">
        <v>-16.613000612818144</v>
      </c>
      <c r="L41" s="3">
        <v>-0.55257098263495785</v>
      </c>
      <c r="M41" s="3">
        <v>0.1595072138386277</v>
      </c>
      <c r="N41" s="4">
        <f t="shared" si="1"/>
        <v>-5.1999385836229865E-2</v>
      </c>
      <c r="O41" s="4">
        <f t="shared" si="2"/>
        <v>-9.6013488204867836E-3</v>
      </c>
      <c r="P41" s="3">
        <v>382.00478135942893</v>
      </c>
      <c r="Q41" s="7">
        <v>-402.5401878397625</v>
      </c>
      <c r="R41" s="7">
        <v>-20.535406480333563</v>
      </c>
      <c r="S41" s="4">
        <f t="shared" si="3"/>
        <v>0.94898545014713409</v>
      </c>
      <c r="T41" s="3">
        <v>2.7182708333333334</v>
      </c>
      <c r="U41" s="3">
        <v>25.245729166666674</v>
      </c>
      <c r="V41" s="7">
        <v>551.40555555555568</v>
      </c>
      <c r="W41">
        <v>48</v>
      </c>
      <c r="X41" s="13">
        <f t="shared" si="14"/>
        <v>344.03255150041241</v>
      </c>
      <c r="Y41" s="13">
        <f t="shared" si="15"/>
        <v>-329.65920486741015</v>
      </c>
      <c r="Z41" s="21">
        <f t="shared" si="16"/>
        <v>14.373346633002281</v>
      </c>
      <c r="AA41" s="224">
        <f t="shared" si="17"/>
        <v>329.65920486741015</v>
      </c>
      <c r="AB41" s="199">
        <f t="shared" si="18"/>
        <v>1.0436006227667243</v>
      </c>
      <c r="AC41" s="21">
        <f t="shared" si="10"/>
        <v>498.92248677248682</v>
      </c>
      <c r="AD41" s="4">
        <v>0.2424</v>
      </c>
      <c r="AE41" s="3">
        <v>2.0250171441343801</v>
      </c>
      <c r="AF41" s="3">
        <f t="shared" si="13"/>
        <v>2.1776901017591168</v>
      </c>
      <c r="AH41">
        <v>462.98526700000002</v>
      </c>
      <c r="AI41">
        <v>-480.85190399999999</v>
      </c>
      <c r="AJ41" s="244">
        <f t="shared" si="19"/>
        <v>425.65222957142856</v>
      </c>
      <c r="AK41" s="244">
        <f t="shared" si="11"/>
        <v>421.11862771428571</v>
      </c>
      <c r="AL41" s="3">
        <f t="shared" si="12"/>
        <v>-421.11862771428571</v>
      </c>
    </row>
    <row r="42" spans="1:38">
      <c r="A42" s="2">
        <v>41415</v>
      </c>
      <c r="B42" s="4">
        <v>27.647702437266616</v>
      </c>
      <c r="C42" s="4">
        <v>24.510055207970797</v>
      </c>
      <c r="D42" s="4">
        <v>14.682068068961401</v>
      </c>
      <c r="E42" s="7">
        <v>225.4769068240048</v>
      </c>
      <c r="F42" s="4">
        <v>1.0524197591558182</v>
      </c>
      <c r="G42" s="4">
        <v>1.1355558593420769</v>
      </c>
      <c r="H42" s="4">
        <v>11.035966440849938</v>
      </c>
      <c r="I42" s="4">
        <v>0.56216310486676313</v>
      </c>
      <c r="J42" s="3">
        <v>11.549267994865636</v>
      </c>
      <c r="K42" s="3">
        <v>-18.480530719361848</v>
      </c>
      <c r="L42" s="3">
        <v>-0.36135103107609268</v>
      </c>
      <c r="M42" s="3">
        <v>6.1348554122490837E-2</v>
      </c>
      <c r="N42" s="4">
        <f t="shared" si="1"/>
        <v>-3.1287786484540454E-2</v>
      </c>
      <c r="O42" s="4">
        <f t="shared" si="2"/>
        <v>-3.3196316195733835E-3</v>
      </c>
      <c r="P42" s="3">
        <v>416.18414342550363</v>
      </c>
      <c r="Q42" s="7">
        <v>-445.00510256362435</v>
      </c>
      <c r="R42" s="7">
        <v>-28.820959138120713</v>
      </c>
      <c r="S42" s="4">
        <f t="shared" si="3"/>
        <v>0.93523454231853431</v>
      </c>
      <c r="T42" s="3">
        <v>2.1486562500000006</v>
      </c>
      <c r="U42" s="3">
        <v>25.4025</v>
      </c>
      <c r="V42" s="7">
        <v>571.39444444444439</v>
      </c>
      <c r="W42">
        <v>48</v>
      </c>
      <c r="X42" s="13">
        <f t="shared" si="14"/>
        <v>332.34921418960738</v>
      </c>
      <c r="Y42" s="13">
        <f t="shared" si="15"/>
        <v>-311.45918324156781</v>
      </c>
      <c r="Z42" s="21">
        <f t="shared" si="16"/>
        <v>20.890030948039616</v>
      </c>
      <c r="AA42" s="224">
        <f t="shared" si="17"/>
        <v>311.45918324156781</v>
      </c>
      <c r="AB42" s="199">
        <f t="shared" si="18"/>
        <v>1.0670714882464623</v>
      </c>
      <c r="AC42" s="21">
        <f t="shared" si="10"/>
        <v>509.62830687830683</v>
      </c>
      <c r="AD42" s="4">
        <v>0.31319999999999998</v>
      </c>
      <c r="AE42" s="3">
        <v>2.0182672407556401</v>
      </c>
      <c r="AF42" s="3">
        <f t="shared" si="13"/>
        <v>2.5417343905104275</v>
      </c>
      <c r="AH42">
        <v>488.75192700000002</v>
      </c>
      <c r="AI42">
        <v>-516.14748699999996</v>
      </c>
      <c r="AJ42" s="244">
        <f t="shared" si="19"/>
        <v>408.53118342857141</v>
      </c>
      <c r="AK42" s="244">
        <f t="shared" si="11"/>
        <v>389.38219828571431</v>
      </c>
      <c r="AL42" s="3">
        <f t="shared" si="12"/>
        <v>-389.38219828571431</v>
      </c>
    </row>
    <row r="43" spans="1:38">
      <c r="A43" s="2">
        <v>41416</v>
      </c>
      <c r="B43" s="4">
        <v>27.48360989991534</v>
      </c>
      <c r="C43" s="4">
        <v>24.229914346720417</v>
      </c>
      <c r="D43" s="4">
        <v>14.524345016582471</v>
      </c>
      <c r="E43" s="7">
        <v>240.8391341022591</v>
      </c>
      <c r="F43" s="4">
        <v>1.1188965260015709</v>
      </c>
      <c r="G43" s="4">
        <v>1.0220045269074192</v>
      </c>
      <c r="H43" s="4">
        <v>11.514361405368449</v>
      </c>
      <c r="I43" s="4">
        <v>0.60049252773463069</v>
      </c>
      <c r="J43" s="3">
        <v>17.877089548847184</v>
      </c>
      <c r="K43" s="3">
        <v>-13.808223198193879</v>
      </c>
      <c r="L43" s="3">
        <v>-0.64845054877355746</v>
      </c>
      <c r="M43" s="3">
        <v>-0.12957178515929801</v>
      </c>
      <c r="N43" s="4">
        <f t="shared" si="1"/>
        <v>-3.6272713575760611E-2</v>
      </c>
      <c r="O43" s="4">
        <f t="shared" si="2"/>
        <v>9.3836682170842997E-3</v>
      </c>
      <c r="P43" s="3">
        <v>440.12395064563725</v>
      </c>
      <c r="Q43" s="7">
        <v>-328.28763391283007</v>
      </c>
      <c r="R43" s="7">
        <v>111.83631673280718</v>
      </c>
      <c r="S43" s="4">
        <f t="shared" si="3"/>
        <v>1.3406656394572054</v>
      </c>
      <c r="T43" s="3">
        <v>3.57765625</v>
      </c>
      <c r="U43" s="3">
        <v>25.274374999999999</v>
      </c>
      <c r="V43" s="7">
        <v>385.38888888888903</v>
      </c>
      <c r="W43">
        <v>48</v>
      </c>
      <c r="X43" s="13">
        <f t="shared" si="14"/>
        <v>314.35065658894695</v>
      </c>
      <c r="Y43" s="13">
        <f t="shared" si="15"/>
        <v>-304.18971679755862</v>
      </c>
      <c r="Z43" s="21">
        <f t="shared" si="16"/>
        <v>10.160939791388289</v>
      </c>
      <c r="AA43" s="224">
        <f t="shared" si="17"/>
        <v>304.18971679755862</v>
      </c>
      <c r="AB43" s="199">
        <f t="shared" si="18"/>
        <v>1.03340329810738</v>
      </c>
      <c r="AC43" s="21">
        <f t="shared" si="10"/>
        <v>515.71349206349203</v>
      </c>
      <c r="AD43" s="4">
        <v>0.42680000000000001</v>
      </c>
      <c r="AE43" s="3">
        <v>2.0267444247037201</v>
      </c>
      <c r="AF43" s="3">
        <f t="shared" si="13"/>
        <v>2.1465757536378192</v>
      </c>
      <c r="AH43">
        <v>483.48639300000002</v>
      </c>
      <c r="AI43">
        <v>-382.71324900000002</v>
      </c>
      <c r="AJ43" s="244">
        <f t="shared" si="19"/>
        <v>377.68514014285716</v>
      </c>
      <c r="AK43" s="244">
        <f t="shared" si="11"/>
        <v>359.93178757142857</v>
      </c>
      <c r="AL43" s="3">
        <f t="shared" si="12"/>
        <v>-359.93178757142857</v>
      </c>
    </row>
    <row r="44" spans="1:38">
      <c r="A44" s="2">
        <v>41417</v>
      </c>
      <c r="B44" s="4">
        <v>27.776943644554819</v>
      </c>
      <c r="C44" s="4">
        <v>25.013482161887193</v>
      </c>
      <c r="D44" s="4">
        <v>15.018643952655188</v>
      </c>
      <c r="E44" s="7">
        <v>229.04228656897806</v>
      </c>
      <c r="F44" s="4">
        <v>1.0746233802610317</v>
      </c>
      <c r="G44" s="4">
        <v>1.280070828823199</v>
      </c>
      <c r="H44" s="4">
        <v>11.786222442392138</v>
      </c>
      <c r="I44" s="4">
        <v>1.6965296676868167</v>
      </c>
      <c r="J44" s="3">
        <v>6.8879581516241597</v>
      </c>
      <c r="K44" s="3">
        <v>-7.5508570863469417</v>
      </c>
      <c r="L44" s="3">
        <v>-1.8675683451897773</v>
      </c>
      <c r="M44" s="3">
        <v>0.45078357667055063</v>
      </c>
      <c r="N44" s="4">
        <f t="shared" si="1"/>
        <v>-0.2711352630313833</v>
      </c>
      <c r="O44" s="4">
        <f t="shared" si="2"/>
        <v>-5.969965680924269E-2</v>
      </c>
      <c r="P44" s="3">
        <v>229.0146178510372</v>
      </c>
      <c r="Q44" s="7">
        <v>-192.03937591241987</v>
      </c>
      <c r="R44" s="7">
        <v>36.97524193861733</v>
      </c>
      <c r="S44" s="4">
        <f t="shared" si="3"/>
        <v>1.1925398984606157</v>
      </c>
      <c r="T44" s="3">
        <v>4.4659583333333339</v>
      </c>
      <c r="U44" s="3">
        <v>26.130937500000002</v>
      </c>
      <c r="V44" s="7">
        <v>564.12777777777762</v>
      </c>
      <c r="W44">
        <v>48</v>
      </c>
      <c r="X44" s="13">
        <f t="shared" si="14"/>
        <v>299.51075365769896</v>
      </c>
      <c r="Y44" s="13">
        <f t="shared" si="15"/>
        <v>-272.40543266784567</v>
      </c>
      <c r="Z44" s="21">
        <f t="shared" si="16"/>
        <v>27.105320989853343</v>
      </c>
      <c r="AA44" s="224">
        <f t="shared" si="17"/>
        <v>272.40543266784567</v>
      </c>
      <c r="AB44" s="199">
        <f t="shared" si="18"/>
        <v>1.0995035991918114</v>
      </c>
      <c r="AC44" s="21">
        <f t="shared" si="10"/>
        <v>535.86349206349212</v>
      </c>
      <c r="AD44" s="4">
        <v>0.52100000000000002</v>
      </c>
      <c r="AE44" s="3">
        <v>1.9868451665817199</v>
      </c>
      <c r="AF44" s="3">
        <f t="shared" si="13"/>
        <v>3.0446464843047325</v>
      </c>
      <c r="AH44">
        <v>416.67012699999998</v>
      </c>
      <c r="AI44">
        <v>-422.404133</v>
      </c>
      <c r="AJ44" s="244">
        <f t="shared" si="19"/>
        <v>339.86342157142855</v>
      </c>
      <c r="AK44" s="244">
        <f t="shared" si="11"/>
        <v>324.86569028571427</v>
      </c>
      <c r="AL44" s="3">
        <f t="shared" si="12"/>
        <v>-324.86569028571427</v>
      </c>
    </row>
    <row r="45" spans="1:38">
      <c r="A45" s="2">
        <v>41418</v>
      </c>
      <c r="B45" s="4">
        <v>26.592456497175149</v>
      </c>
      <c r="C45" s="4">
        <v>26.634729343220346</v>
      </c>
      <c r="D45" s="4">
        <v>16.602028814164218</v>
      </c>
      <c r="E45" s="7">
        <v>215.79768052612988</v>
      </c>
      <c r="F45" s="4">
        <v>0.99997563894411401</v>
      </c>
      <c r="G45" s="4">
        <v>1.5047295197740118</v>
      </c>
      <c r="H45" s="4">
        <v>11.773352048022602</v>
      </c>
      <c r="I45" s="4">
        <v>1.0171334745762712</v>
      </c>
      <c r="J45" s="3">
        <v>5.2934781287719526</v>
      </c>
      <c r="K45" s="3">
        <v>-6.8001390782062181</v>
      </c>
      <c r="L45" s="3">
        <v>-0.62208910942573614</v>
      </c>
      <c r="M45" s="3">
        <v>1.1022038672353038</v>
      </c>
      <c r="N45" s="4">
        <f t="shared" si="1"/>
        <v>-0.11751991682830588</v>
      </c>
      <c r="O45" s="4">
        <f t="shared" si="2"/>
        <v>-0.162085488922978</v>
      </c>
      <c r="P45" s="3">
        <v>188.84477250974214</v>
      </c>
      <c r="Q45" s="7">
        <v>-189.65623069059649</v>
      </c>
      <c r="R45" s="7">
        <v>-0.81145818085434485</v>
      </c>
      <c r="S45" s="4">
        <f t="shared" si="3"/>
        <v>0.99572142619359472</v>
      </c>
      <c r="T45" s="3">
        <v>6.0884791666666658</v>
      </c>
      <c r="U45" s="3">
        <v>26.454999999999998</v>
      </c>
      <c r="V45" s="7">
        <v>557.79444444444448</v>
      </c>
      <c r="W45">
        <v>48</v>
      </c>
      <c r="X45" s="13">
        <f t="shared" si="14"/>
        <v>263.10817290789868</v>
      </c>
      <c r="Y45" s="13">
        <f t="shared" si="15"/>
        <v>-239.32122287274927</v>
      </c>
      <c r="Z45" s="21">
        <f t="shared" si="16"/>
        <v>23.786950035149424</v>
      </c>
      <c r="AA45" s="224">
        <f t="shared" si="17"/>
        <v>239.32122287274927</v>
      </c>
      <c r="AB45" s="199">
        <f t="shared" si="18"/>
        <v>1.0993934000069743</v>
      </c>
      <c r="AC45" s="21">
        <f t="shared" si="10"/>
        <v>539.97883597883595</v>
      </c>
      <c r="AD45" s="4">
        <v>0.55030000000000001</v>
      </c>
      <c r="AE45" s="3">
        <v>1.9520586158192099</v>
      </c>
      <c r="AF45" s="3">
        <f t="shared" si="13"/>
        <v>3.8264587288135612</v>
      </c>
      <c r="AH45">
        <v>210.875372</v>
      </c>
      <c r="AI45">
        <v>-164.91272499999999</v>
      </c>
      <c r="AJ45" s="244">
        <f t="shared" si="19"/>
        <v>318.89494700000006</v>
      </c>
      <c r="AK45" s="244">
        <f t="shared" si="11"/>
        <v>308.4472554285714</v>
      </c>
      <c r="AL45" s="3">
        <f t="shared" si="12"/>
        <v>-308.4472554285714</v>
      </c>
    </row>
    <row r="46" spans="1:38">
      <c r="A46" s="2">
        <v>41419</v>
      </c>
      <c r="B46" s="4">
        <v>26.262927318144346</v>
      </c>
      <c r="C46" s="4">
        <v>26.274259060314375</v>
      </c>
      <c r="D46" s="4">
        <v>16.430217619942606</v>
      </c>
      <c r="E46" s="7">
        <v>230.73047598374106</v>
      </c>
      <c r="F46" s="4">
        <v>1.0618404365276743</v>
      </c>
      <c r="G46" s="4">
        <v>1.1621907768066284</v>
      </c>
      <c r="H46" s="4">
        <v>11.658921061553629</v>
      </c>
      <c r="I46" s="4">
        <v>0.91197984401043219</v>
      </c>
      <c r="J46" s="3">
        <v>6.1034612495383396</v>
      </c>
      <c r="K46" s="3">
        <v>-12.23716633126968</v>
      </c>
      <c r="L46" s="3">
        <v>3.9199944726692477E-2</v>
      </c>
      <c r="M46" s="3">
        <v>4.0449062026891011E-2</v>
      </c>
      <c r="N46" s="4">
        <f t="shared" si="1"/>
        <v>6.4225761619536009E-3</v>
      </c>
      <c r="O46" s="4">
        <f t="shared" si="2"/>
        <v>-3.305427166053252E-3</v>
      </c>
      <c r="P46" s="3">
        <v>252.20080459898656</v>
      </c>
      <c r="Q46" s="7">
        <v>-294.6627694391176</v>
      </c>
      <c r="R46" s="7">
        <v>-42.461964840131031</v>
      </c>
      <c r="S46" s="4">
        <f t="shared" si="3"/>
        <v>0.85589640346842522</v>
      </c>
      <c r="T46" s="3">
        <v>2.6548958333333332</v>
      </c>
      <c r="U46" s="3">
        <v>24.186458333333331</v>
      </c>
      <c r="V46" s="7">
        <v>585.42222222222222</v>
      </c>
      <c r="W46">
        <v>48</v>
      </c>
      <c r="X46" s="13">
        <f t="shared" si="14"/>
        <v>245.0318946148935</v>
      </c>
      <c r="Y46" s="13">
        <f t="shared" si="15"/>
        <v>-217.08822830979901</v>
      </c>
      <c r="Z46" s="21">
        <f t="shared" si="16"/>
        <v>27.943666305094524</v>
      </c>
      <c r="AA46" s="224">
        <f t="shared" si="17"/>
        <v>217.08822830979901</v>
      </c>
      <c r="AB46" s="199">
        <f t="shared" si="18"/>
        <v>1.1287203204091614</v>
      </c>
      <c r="AC46" s="21">
        <f t="shared" si="10"/>
        <v>525.22645502645503</v>
      </c>
      <c r="AD46" s="4">
        <v>0.56559999999999999</v>
      </c>
      <c r="AE46" s="3">
        <v>2.0230187592092901</v>
      </c>
      <c r="AF46" s="3">
        <f t="shared" si="13"/>
        <v>2.6344239032870664</v>
      </c>
      <c r="AH46">
        <v>197.99853200000001</v>
      </c>
      <c r="AI46">
        <v>-176.29956100000001</v>
      </c>
      <c r="AJ46" s="244">
        <f t="shared" si="19"/>
        <v>304.7234505714286</v>
      </c>
      <c r="AK46" s="244">
        <f t="shared" si="11"/>
        <v>288.53647628571429</v>
      </c>
      <c r="AL46" s="3">
        <f t="shared" si="12"/>
        <v>-288.53647628571429</v>
      </c>
    </row>
    <row r="47" spans="1:38">
      <c r="A47" s="2">
        <v>41420</v>
      </c>
      <c r="B47" s="4">
        <v>26.46308676998046</v>
      </c>
      <c r="C47" s="4">
        <v>26.680667219204722</v>
      </c>
      <c r="D47" s="4">
        <v>16.67491559116111</v>
      </c>
      <c r="E47" s="7">
        <v>227.68183303612156</v>
      </c>
      <c r="F47" s="4">
        <v>1.0536609185360841</v>
      </c>
      <c r="G47" s="4">
        <v>1.1503724228327397</v>
      </c>
      <c r="H47" s="4">
        <v>11.239142133546409</v>
      </c>
      <c r="I47" s="4">
        <v>0.93661530826016959</v>
      </c>
      <c r="J47" s="3">
        <v>11.245123297542758</v>
      </c>
      <c r="K47" s="3">
        <v>-2.1929437382297507</v>
      </c>
      <c r="L47" s="3">
        <v>-0.16536279570748591</v>
      </c>
      <c r="M47" s="3">
        <v>8.4003274960613744E-2</v>
      </c>
      <c r="N47" s="4">
        <f t="shared" si="1"/>
        <v>-1.4705289691543033E-2</v>
      </c>
      <c r="O47" s="4">
        <f t="shared" si="2"/>
        <v>-3.8306169691533089E-2</v>
      </c>
      <c r="P47" s="3">
        <v>188.20220521355731</v>
      </c>
      <c r="Q47" s="7">
        <v>-54.646728316568755</v>
      </c>
      <c r="R47" s="7">
        <v>133.55547689698855</v>
      </c>
      <c r="S47" s="4">
        <f t="shared" si="3"/>
        <v>3.4439793746352216</v>
      </c>
      <c r="T47" s="3">
        <v>2.3853958333333334</v>
      </c>
      <c r="U47" s="3">
        <v>24.732604166666672</v>
      </c>
      <c r="V47" s="7">
        <v>535.51111111111118</v>
      </c>
      <c r="W47">
        <v>48</v>
      </c>
      <c r="X47" s="13">
        <f t="shared" si="14"/>
        <v>228.39620969665037</v>
      </c>
      <c r="Y47" s="13">
        <f t="shared" si="15"/>
        <v>-210.26735552197644</v>
      </c>
      <c r="Z47" s="21">
        <f t="shared" si="16"/>
        <v>18.128854174673982</v>
      </c>
      <c r="AA47" s="224">
        <f t="shared" si="17"/>
        <v>210.26735552197644</v>
      </c>
      <c r="AB47" s="199">
        <f t="shared" si="18"/>
        <v>1.0862181108887308</v>
      </c>
      <c r="AC47" s="21">
        <f t="shared" si="10"/>
        <v>541.92169312169312</v>
      </c>
      <c r="AD47" s="4">
        <v>0.58150000000000002</v>
      </c>
      <c r="AE47" s="3">
        <v>2.0593706033203998</v>
      </c>
      <c r="AF47" s="3">
        <f t="shared" si="13"/>
        <v>2.5932960314579336</v>
      </c>
      <c r="AH47">
        <v>118.27633299999999</v>
      </c>
      <c r="AI47">
        <v>-130.730773</v>
      </c>
      <c r="AJ47" s="244">
        <f t="shared" si="19"/>
        <v>289.28194742857141</v>
      </c>
      <c r="AK47" s="244">
        <f t="shared" si="11"/>
        <v>284.06390628571432</v>
      </c>
      <c r="AL47" s="3">
        <f t="shared" si="12"/>
        <v>-284.06390628571432</v>
      </c>
    </row>
    <row r="48" spans="1:38">
      <c r="A48" s="2">
        <v>41421</v>
      </c>
      <c r="B48" s="4">
        <v>26.684519513566595</v>
      </c>
      <c r="C48" s="4">
        <v>25.755000178200216</v>
      </c>
      <c r="D48" s="4">
        <v>15.913217543461558</v>
      </c>
      <c r="E48" s="7">
        <v>229.21942311177256</v>
      </c>
      <c r="F48" s="4">
        <v>1.0588639767523473</v>
      </c>
      <c r="G48" s="4">
        <v>1.0586366352134446</v>
      </c>
      <c r="H48" s="4">
        <v>11.779439977324438</v>
      </c>
      <c r="I48" s="4">
        <v>0.77795495293931427</v>
      </c>
      <c r="J48" s="3">
        <v>1.8380018181887512</v>
      </c>
      <c r="K48" s="3">
        <v>-6.9548895779225317</v>
      </c>
      <c r="L48" s="3">
        <v>-0.28899453526928492</v>
      </c>
      <c r="M48" s="3">
        <v>0.16805705849778857</v>
      </c>
      <c r="N48" s="4">
        <f t="shared" si="1"/>
        <v>-0.15723299749184852</v>
      </c>
      <c r="O48" s="4">
        <f t="shared" si="2"/>
        <v>-2.4163871563290619E-2</v>
      </c>
      <c r="P48" s="3">
        <v>127.18671611082669</v>
      </c>
      <c r="Q48" s="7">
        <v>-170.9507192740877</v>
      </c>
      <c r="R48" s="7">
        <v>-43.764003163261009</v>
      </c>
      <c r="S48" s="4">
        <f t="shared" si="3"/>
        <v>0.74399637890324655</v>
      </c>
      <c r="T48" s="3">
        <v>2.0461249999999995</v>
      </c>
      <c r="U48" s="3">
        <v>25.019166666666663</v>
      </c>
      <c r="V48" s="7">
        <v>580.21296296296293</v>
      </c>
      <c r="W48">
        <v>48</v>
      </c>
      <c r="X48" s="13">
        <f t="shared" si="14"/>
        <v>229.7298735430775</v>
      </c>
      <c r="Y48" s="13">
        <f t="shared" si="15"/>
        <v>-213.75626494687782</v>
      </c>
      <c r="Z48" s="21">
        <f t="shared" si="16"/>
        <v>15.973608596199723</v>
      </c>
      <c r="AA48" s="224">
        <f t="shared" si="17"/>
        <v>213.75626494687782</v>
      </c>
      <c r="AB48" s="199">
        <f t="shared" si="18"/>
        <v>1.0747281423548891</v>
      </c>
      <c r="AC48" s="21">
        <f t="shared" si="10"/>
        <v>536.77089947089939</v>
      </c>
      <c r="AD48" s="4">
        <v>0.57389999999999997</v>
      </c>
      <c r="AE48" s="3">
        <v>2.07432540528835</v>
      </c>
      <c r="AF48" s="3">
        <f t="shared" si="13"/>
        <v>2.2740554905427874</v>
      </c>
      <c r="AH48">
        <v>316.20594499999999</v>
      </c>
      <c r="AI48">
        <v>-365.92286000000001</v>
      </c>
      <c r="AJ48" s="244">
        <f t="shared" si="19"/>
        <v>269.80850585714285</v>
      </c>
      <c r="AK48" s="244">
        <f t="shared" si="11"/>
        <v>262.84766171428572</v>
      </c>
      <c r="AL48" s="3">
        <f t="shared" si="12"/>
        <v>-262.84766171428572</v>
      </c>
    </row>
    <row r="49" spans="1:38">
      <c r="A49" s="2">
        <v>41422</v>
      </c>
      <c r="B49" s="4">
        <v>26.688329463334142</v>
      </c>
      <c r="C49" s="4">
        <v>26.83292821583143</v>
      </c>
      <c r="D49" s="4">
        <v>16.720936372172488</v>
      </c>
      <c r="E49" s="7">
        <v>220.34405314572925</v>
      </c>
      <c r="F49" s="4">
        <v>1.023942170275925</v>
      </c>
      <c r="G49" s="4">
        <v>0.985901321060764</v>
      </c>
      <c r="H49" s="4">
        <v>10.500445373768537</v>
      </c>
      <c r="I49" s="4">
        <v>0.78267652359014894</v>
      </c>
      <c r="J49" s="3">
        <v>8.5020209350691776</v>
      </c>
      <c r="K49" s="3">
        <v>-11.736318354546656</v>
      </c>
      <c r="L49" s="3">
        <v>-0.37929154596314185</v>
      </c>
      <c r="M49" s="3">
        <v>0.32093750474386817</v>
      </c>
      <c r="N49" s="4">
        <f t="shared" si="1"/>
        <v>-4.4611928018036068E-2</v>
      </c>
      <c r="O49" s="4">
        <f t="shared" si="2"/>
        <v>-2.7345671363757512E-2</v>
      </c>
      <c r="P49" s="3">
        <v>289.65019537446761</v>
      </c>
      <c r="Q49" s="7">
        <v>-289.37414062297262</v>
      </c>
      <c r="R49" s="7">
        <v>0.27605475149499625</v>
      </c>
      <c r="S49" s="4">
        <f t="shared" si="3"/>
        <v>1.0009539717367306</v>
      </c>
      <c r="T49" s="3">
        <v>2.5064583333333337</v>
      </c>
      <c r="U49" s="3">
        <v>25.361979166666668</v>
      </c>
      <c r="V49" s="7">
        <v>468.12777777777774</v>
      </c>
      <c r="W49">
        <v>48</v>
      </c>
      <c r="X49" s="13">
        <f t="shared" si="14"/>
        <v>248.30396077339944</v>
      </c>
      <c r="Y49" s="13">
        <f t="shared" si="15"/>
        <v>-232.45823342327373</v>
      </c>
      <c r="Z49" s="21">
        <f t="shared" si="16"/>
        <v>15.845727350125697</v>
      </c>
      <c r="AA49" s="224">
        <f t="shared" si="17"/>
        <v>232.45823342327373</v>
      </c>
      <c r="AB49" s="199">
        <f t="shared" si="18"/>
        <v>1.0681659114275073</v>
      </c>
      <c r="AC49" s="21">
        <f t="shared" si="10"/>
        <v>521.62962962962968</v>
      </c>
      <c r="AD49" s="4">
        <v>0.46360000000000001</v>
      </c>
      <c r="AE49" s="3">
        <v>2.11196158889233</v>
      </c>
      <c r="AF49" s="3">
        <f t="shared" si="13"/>
        <v>2.0209365972914588</v>
      </c>
      <c r="AH49">
        <v>389.55145199999998</v>
      </c>
      <c r="AI49">
        <v>-376.77203300000002</v>
      </c>
      <c r="AJ49" s="244">
        <f t="shared" si="19"/>
        <v>286.79167271428571</v>
      </c>
      <c r="AK49" s="244">
        <f t="shared" si="11"/>
        <v>286.73020200000002</v>
      </c>
      <c r="AL49" s="3">
        <f t="shared" si="12"/>
        <v>-286.73020200000002</v>
      </c>
    </row>
    <row r="50" spans="1:38">
      <c r="A50" s="2">
        <v>41423</v>
      </c>
      <c r="B50" s="4">
        <v>26.792171592514126</v>
      </c>
      <c r="C50" s="4">
        <v>27.463314265536713</v>
      </c>
      <c r="D50" s="4">
        <v>17.161704721347629</v>
      </c>
      <c r="E50" s="7">
        <v>219.32593463100281</v>
      </c>
      <c r="F50" s="4">
        <v>1.0252736142571477</v>
      </c>
      <c r="G50" s="4">
        <v>0.99318679378531094</v>
      </c>
      <c r="H50" s="4">
        <v>10.008929201977397</v>
      </c>
      <c r="I50" s="4">
        <v>0.95411970338983032</v>
      </c>
      <c r="J50" s="3">
        <v>11.230566528064001</v>
      </c>
      <c r="K50" s="3">
        <v>-11.27886144683386</v>
      </c>
      <c r="L50" s="3">
        <v>-0.47833506347337468</v>
      </c>
      <c r="M50" s="3">
        <v>0.41036873641913518</v>
      </c>
      <c r="N50" s="4">
        <f t="shared" si="1"/>
        <v>-4.2592246996450783E-2</v>
      </c>
      <c r="O50" s="4">
        <f t="shared" si="2"/>
        <v>-3.6383879556773142E-2</v>
      </c>
      <c r="P50" s="3">
        <v>323.67415621793521</v>
      </c>
      <c r="Q50" s="7">
        <v>-280.54152439807183</v>
      </c>
      <c r="R50" s="7">
        <v>43.132631819863377</v>
      </c>
      <c r="S50" s="4">
        <f t="shared" si="3"/>
        <v>1.1537477630536459</v>
      </c>
      <c r="T50" s="3">
        <v>3.4829374999999998</v>
      </c>
      <c r="U50" s="3">
        <v>25.75375</v>
      </c>
      <c r="V50" s="7">
        <v>502.25555555555547</v>
      </c>
      <c r="W50">
        <v>48</v>
      </c>
      <c r="X50" s="13">
        <f t="shared" si="14"/>
        <v>276.80567440194358</v>
      </c>
      <c r="Y50" s="13">
        <f t="shared" si="15"/>
        <v>-252.42453744359949</v>
      </c>
      <c r="Z50" s="21">
        <f t="shared" si="16"/>
        <v>24.381136958344108</v>
      </c>
      <c r="AA50" s="224">
        <f t="shared" si="17"/>
        <v>252.42453744359949</v>
      </c>
      <c r="AB50" s="199">
        <f t="shared" si="18"/>
        <v>1.0965878246435994</v>
      </c>
      <c r="AC50" s="21">
        <f t="shared" si="10"/>
        <v>505.3129629629629</v>
      </c>
      <c r="AD50" s="4">
        <v>0.3705</v>
      </c>
      <c r="AE50" s="3">
        <v>2.1812676553672299</v>
      </c>
      <c r="AF50" s="3">
        <f t="shared" si="13"/>
        <v>2.046290042372882</v>
      </c>
      <c r="AH50">
        <v>375.395871</v>
      </c>
      <c r="AI50">
        <v>-351.405259</v>
      </c>
      <c r="AJ50" s="244">
        <f t="shared" si="19"/>
        <v>324.45403128571428</v>
      </c>
      <c r="AK50" s="244">
        <f t="shared" si="11"/>
        <v>330.01311242857145</v>
      </c>
      <c r="AL50" s="3">
        <f t="shared" si="12"/>
        <v>-330.01311242857145</v>
      </c>
    </row>
    <row r="51" spans="1:38">
      <c r="A51" s="2">
        <v>41424</v>
      </c>
      <c r="B51" s="4">
        <v>26.815929184322034</v>
      </c>
      <c r="C51" s="4">
        <v>27.830065854519773</v>
      </c>
      <c r="D51" s="4">
        <v>17.429909783166988</v>
      </c>
      <c r="E51" s="7">
        <v>219.5798077771893</v>
      </c>
      <c r="F51" s="4">
        <v>1.0286415833726543</v>
      </c>
      <c r="G51" s="4">
        <v>1.0816430084745763</v>
      </c>
      <c r="H51" s="4">
        <v>10.023328213276836</v>
      </c>
      <c r="I51" s="4">
        <v>1.0643739406779666</v>
      </c>
      <c r="J51" s="3">
        <v>7.7910014219854622</v>
      </c>
      <c r="K51" s="3">
        <v>-8.767052536086732</v>
      </c>
      <c r="L51" s="3">
        <v>-0.41989895509745284</v>
      </c>
      <c r="M51" s="3">
        <v>0.25218670919366726</v>
      </c>
      <c r="N51" s="4">
        <f t="shared" si="1"/>
        <v>-5.3895376518933509E-2</v>
      </c>
      <c r="O51" s="4">
        <f t="shared" si="2"/>
        <v>-2.876527865615295E-2</v>
      </c>
      <c r="P51" s="3">
        <v>238.3502647760271</v>
      </c>
      <c r="Q51" s="7">
        <v>-216.46174188672958</v>
      </c>
      <c r="R51" s="7">
        <v>21.888522889297519</v>
      </c>
      <c r="S51" s="4">
        <f t="shared" si="3"/>
        <v>1.1011195913814247</v>
      </c>
      <c r="T51" s="3">
        <v>3.7053333333333338</v>
      </c>
      <c r="U51" s="3">
        <v>26.170416666666668</v>
      </c>
      <c r="V51" s="7">
        <v>528.07222222222219</v>
      </c>
      <c r="W51">
        <v>48</v>
      </c>
      <c r="X51" s="13">
        <f t="shared" si="14"/>
        <v>284.24544414310736</v>
      </c>
      <c r="Y51" s="13">
        <f t="shared" si="15"/>
        <v>-270.47678812150883</v>
      </c>
      <c r="Z51" s="21">
        <f t="shared" si="16"/>
        <v>13.768656021598478</v>
      </c>
      <c r="AA51" s="224">
        <f t="shared" si="17"/>
        <v>270.47678812150883</v>
      </c>
      <c r="AB51" s="199">
        <f t="shared" si="18"/>
        <v>1.0509051298531877</v>
      </c>
      <c r="AC51" s="21">
        <f t="shared" si="10"/>
        <v>507.68624338624335</v>
      </c>
      <c r="AD51" s="4">
        <v>0.30470000000000003</v>
      </c>
      <c r="AE51" s="3">
        <v>2.2210593220338999</v>
      </c>
      <c r="AF51" s="3">
        <f t="shared" si="13"/>
        <v>2.3541176694915258</v>
      </c>
      <c r="AH51">
        <v>280.35603600000002</v>
      </c>
      <c r="AI51">
        <v>-273.890421</v>
      </c>
      <c r="AJ51" s="244">
        <f t="shared" si="19"/>
        <v>349.4905247142857</v>
      </c>
      <c r="AK51" s="244">
        <f t="shared" si="11"/>
        <v>345.37531542857141</v>
      </c>
      <c r="AL51" s="3">
        <f t="shared" si="12"/>
        <v>-345.37531542857141</v>
      </c>
    </row>
    <row r="52" spans="1:38">
      <c r="A52" s="2">
        <v>41425</v>
      </c>
      <c r="B52" s="4">
        <v>27.017933527542372</v>
      </c>
      <c r="C52" s="4">
        <v>27.620430614406775</v>
      </c>
      <c r="D52" s="4">
        <v>17.209804490769447</v>
      </c>
      <c r="E52" s="7">
        <v>220.900644420904</v>
      </c>
      <c r="F52" s="4">
        <v>1.0373280376526866</v>
      </c>
      <c r="G52" s="4">
        <v>1.0382461158192087</v>
      </c>
      <c r="H52" s="4">
        <v>10.406097281073448</v>
      </c>
      <c r="I52" s="4">
        <v>1.0668538135593228</v>
      </c>
      <c r="J52" s="3">
        <v>9.3482428371693693</v>
      </c>
      <c r="K52" s="3">
        <v>-13.238853259775594</v>
      </c>
      <c r="L52" s="3">
        <v>-0.34503845673702321</v>
      </c>
      <c r="M52" s="3">
        <v>0.11823049128139994</v>
      </c>
      <c r="N52" s="4">
        <f t="shared" si="1"/>
        <v>-3.6909445202377759E-2</v>
      </c>
      <c r="O52" s="4">
        <f t="shared" si="2"/>
        <v>-8.9305689066459231E-3</v>
      </c>
      <c r="P52" s="3">
        <v>318.86338312199535</v>
      </c>
      <c r="Q52" s="7">
        <v>-320.57001002536788</v>
      </c>
      <c r="R52" s="7">
        <v>-1.7066269033725234</v>
      </c>
      <c r="S52" s="4">
        <f t="shared" si="3"/>
        <v>0.99467627398072123</v>
      </c>
      <c r="T52" s="3">
        <v>3.0372499999999998</v>
      </c>
      <c r="U52" s="3">
        <v>25.772604166666667</v>
      </c>
      <c r="V52" s="7">
        <v>451.80555555555554</v>
      </c>
      <c r="W52">
        <v>48</v>
      </c>
      <c r="X52" s="13">
        <f t="shared" si="14"/>
        <v>317.955358095017</v>
      </c>
      <c r="Y52" s="13">
        <f t="shared" si="15"/>
        <v>-297.22105146174766</v>
      </c>
      <c r="Z52" s="21">
        <f t="shared" si="16"/>
        <v>20.734306633269387</v>
      </c>
      <c r="AA52" s="224">
        <f t="shared" si="17"/>
        <v>297.22105146174766</v>
      </c>
      <c r="AB52" s="199">
        <f t="shared" si="18"/>
        <v>1.0697605587871284</v>
      </c>
      <c r="AC52" s="21">
        <f t="shared" si="10"/>
        <v>487.62724867724864</v>
      </c>
      <c r="AD52" s="4">
        <v>0.14760000000000001</v>
      </c>
      <c r="AE52" s="3">
        <v>2.1853142655367201</v>
      </c>
      <c r="AF52" s="3">
        <f t="shared" si="13"/>
        <v>2.2030964830508459</v>
      </c>
      <c r="AH52">
        <v>329.75754000000001</v>
      </c>
      <c r="AI52">
        <v>-332.090507</v>
      </c>
      <c r="AJ52" s="244">
        <f t="shared" si="19"/>
        <v>360.81278285714285</v>
      </c>
      <c r="AK52" s="244">
        <f t="shared" si="11"/>
        <v>348.68769571428578</v>
      </c>
      <c r="AL52" s="3">
        <f t="shared" si="12"/>
        <v>-348.68769571428578</v>
      </c>
    </row>
    <row r="53" spans="1:38">
      <c r="A53" s="2">
        <v>41426</v>
      </c>
      <c r="B53" s="4">
        <v>27.496006436579094</v>
      </c>
      <c r="C53" s="4">
        <v>26.683757384514905</v>
      </c>
      <c r="D53" s="4">
        <v>16.357967243988988</v>
      </c>
      <c r="E53" s="7">
        <v>224.1466609589904</v>
      </c>
      <c r="F53" s="4">
        <v>1.0561931020733857</v>
      </c>
      <c r="G53" s="4">
        <v>1.1266282135905874</v>
      </c>
      <c r="H53" s="4">
        <v>11.332889120758439</v>
      </c>
      <c r="I53" s="4">
        <v>1.177951593475387</v>
      </c>
      <c r="J53" s="3">
        <v>14.349268211849298</v>
      </c>
      <c r="K53" s="3">
        <v>-18.02123649577133</v>
      </c>
      <c r="L53" s="3">
        <v>-0.20354840490281312</v>
      </c>
      <c r="M53" s="3">
        <v>7.9884236786923135E-2</v>
      </c>
      <c r="N53" s="4">
        <f t="shared" si="1"/>
        <v>-1.4185281221151577E-2</v>
      </c>
      <c r="O53" s="4">
        <f t="shared" si="2"/>
        <v>-4.4327833334670413E-3</v>
      </c>
      <c r="P53" s="3">
        <v>451.7127999987959</v>
      </c>
      <c r="Q53" s="7">
        <v>-434.42689758139807</v>
      </c>
      <c r="R53" s="7">
        <v>17.285902417397836</v>
      </c>
      <c r="S53" s="4">
        <f t="shared" si="3"/>
        <v>1.0397901292798266</v>
      </c>
      <c r="T53" s="3">
        <v>2.1539687499999998</v>
      </c>
      <c r="U53" s="3">
        <v>26.155208333333334</v>
      </c>
      <c r="V53" s="7">
        <v>471.20555555555546</v>
      </c>
      <c r="W53">
        <v>48</v>
      </c>
      <c r="X53" s="13">
        <f t="shared" si="14"/>
        <v>322.34885352478801</v>
      </c>
      <c r="Y53" s="13">
        <f t="shared" si="15"/>
        <v>-294.11320652517736</v>
      </c>
      <c r="Z53" s="21">
        <f t="shared" si="16"/>
        <v>28.23564699961063</v>
      </c>
      <c r="AA53" s="224">
        <f t="shared" si="17"/>
        <v>294.11320652517736</v>
      </c>
      <c r="AB53" s="199">
        <f t="shared" si="18"/>
        <v>1.0960026492288559</v>
      </c>
      <c r="AC53" s="21">
        <f t="shared" si="10"/>
        <v>502.93386243386243</v>
      </c>
      <c r="AD53" s="4">
        <v>0.1734</v>
      </c>
      <c r="AE53" s="3">
        <v>2.1448991511490201</v>
      </c>
      <c r="AF53" s="3">
        <f t="shared" si="13"/>
        <v>2.5106661832952444</v>
      </c>
      <c r="AH53">
        <v>461.635042</v>
      </c>
      <c r="AI53">
        <v>-479.27993400000003</v>
      </c>
      <c r="AJ53" s="244">
        <f t="shared" si="19"/>
        <v>352.9364588571429</v>
      </c>
      <c r="AK53" s="244">
        <f t="shared" si="11"/>
        <v>338.17348528571432</v>
      </c>
      <c r="AL53" s="3">
        <f t="shared" si="12"/>
        <v>-338.17348528571432</v>
      </c>
    </row>
    <row r="54" spans="1:38">
      <c r="A54" s="2">
        <v>41427</v>
      </c>
      <c r="B54" s="4">
        <v>28.333096175373456</v>
      </c>
      <c r="C54" s="4">
        <v>25.716775352846437</v>
      </c>
      <c r="D54" s="4">
        <v>15.370686685176237</v>
      </c>
      <c r="E54" s="7">
        <v>222.11438874650807</v>
      </c>
      <c r="F54" s="4">
        <v>1.0550932375923843</v>
      </c>
      <c r="G54" s="4">
        <v>1.2310387391806512</v>
      </c>
      <c r="H54" s="4">
        <v>11.865699278869569</v>
      </c>
      <c r="I54" s="4">
        <v>1.5461470944309923</v>
      </c>
      <c r="J54" s="3">
        <v>9.0539873633889005</v>
      </c>
      <c r="K54" s="3">
        <v>-7.4701913491265266</v>
      </c>
      <c r="L54" s="3">
        <v>-0.77350729308929633</v>
      </c>
      <c r="M54" s="3">
        <v>7.1995445120741478E-2</v>
      </c>
      <c r="N54" s="4">
        <f t="shared" si="1"/>
        <v>-8.5432778072684776E-2</v>
      </c>
      <c r="O54" s="4">
        <f t="shared" si="2"/>
        <v>-9.637697584434668E-3</v>
      </c>
      <c r="P54" s="3">
        <v>240.28059340170367</v>
      </c>
      <c r="Q54" s="7">
        <v>-181.01248306193452</v>
      </c>
      <c r="R54" s="7">
        <v>59.268110339769152</v>
      </c>
      <c r="S54" s="4">
        <f t="shared" si="3"/>
        <v>1.3274255418036016</v>
      </c>
      <c r="T54" s="3">
        <v>2.8937395833333341</v>
      </c>
      <c r="U54" s="3">
        <v>26.592708333333324</v>
      </c>
      <c r="V54" s="7">
        <v>552.12407407407397</v>
      </c>
      <c r="W54">
        <v>48</v>
      </c>
      <c r="X54" s="13">
        <f t="shared" si="14"/>
        <v>314.67214175211899</v>
      </c>
      <c r="Y54" s="13">
        <f t="shared" si="15"/>
        <v>-299.00199066546116</v>
      </c>
      <c r="Z54" s="21">
        <f t="shared" si="16"/>
        <v>15.670151086657667</v>
      </c>
      <c r="AA54" s="224">
        <f t="shared" si="17"/>
        <v>299.00199066546116</v>
      </c>
      <c r="AB54" s="199">
        <f t="shared" si="18"/>
        <v>1.052408183142133</v>
      </c>
      <c r="AC54" s="21">
        <f t="shared" si="10"/>
        <v>510.75211640211643</v>
      </c>
      <c r="AD54" s="4">
        <v>0.21529999999999999</v>
      </c>
      <c r="AE54" s="3">
        <v>2.0504799107142899</v>
      </c>
      <c r="AF54" s="3">
        <f t="shared" si="13"/>
        <v>2.8740148123486664</v>
      </c>
      <c r="AH54">
        <v>293.53178700000001</v>
      </c>
      <c r="AI54">
        <v>-238.26619400000001</v>
      </c>
      <c r="AJ54" s="244">
        <f t="shared" si="19"/>
        <v>341.68379014285716</v>
      </c>
      <c r="AK54" s="244">
        <f t="shared" si="11"/>
        <v>340.51273971428571</v>
      </c>
      <c r="AL54" s="3">
        <f t="shared" si="12"/>
        <v>-340.51273971428571</v>
      </c>
    </row>
    <row r="55" spans="1:38">
      <c r="A55" s="2">
        <v>41428</v>
      </c>
      <c r="B55" s="4">
        <v>28.771773812522046</v>
      </c>
      <c r="C55" s="4">
        <v>24.886524389552601</v>
      </c>
      <c r="D55" s="4">
        <v>14.609421623577616</v>
      </c>
      <c r="E55" s="7">
        <v>233.05908091778244</v>
      </c>
      <c r="F55" s="4">
        <v>1.1097625183176316</v>
      </c>
      <c r="G55" s="4">
        <v>1.1375054683856751</v>
      </c>
      <c r="H55" s="4">
        <v>11.990935739415336</v>
      </c>
      <c r="I55" s="4">
        <v>0.71247138081970096</v>
      </c>
      <c r="J55" s="3">
        <v>11.017806972289383</v>
      </c>
      <c r="K55" s="3">
        <v>-15.007194113207063</v>
      </c>
      <c r="L55" s="3">
        <v>-0.31108543888316009</v>
      </c>
      <c r="M55" s="3">
        <v>-8.3837335883766767E-2</v>
      </c>
      <c r="N55" s="4">
        <f t="shared" si="1"/>
        <v>-2.8234787527641705E-2</v>
      </c>
      <c r="O55" s="4">
        <f t="shared" si="2"/>
        <v>5.586476409336627E-3</v>
      </c>
      <c r="P55" s="3">
        <v>363.15611377419435</v>
      </c>
      <c r="Q55" s="7">
        <v>-358.16056265575901</v>
      </c>
      <c r="R55" s="7">
        <v>4.9955511184353441</v>
      </c>
      <c r="S55" s="4">
        <f t="shared" si="3"/>
        <v>1.0139477978295359</v>
      </c>
      <c r="T55" s="3">
        <v>1.9805520833333337</v>
      </c>
      <c r="U55" s="3">
        <v>26.793958333333322</v>
      </c>
      <c r="V55" s="7">
        <v>439.8</v>
      </c>
      <c r="W55">
        <v>48</v>
      </c>
      <c r="X55" s="13">
        <f t="shared" si="14"/>
        <v>311.31197586427481</v>
      </c>
      <c r="Y55" s="13">
        <f t="shared" si="15"/>
        <v>-288.31071184454862</v>
      </c>
      <c r="Z55" s="21">
        <f t="shared" si="16"/>
        <v>23.00126401972619</v>
      </c>
      <c r="AA55" s="224">
        <f t="shared" si="17"/>
        <v>288.31071184454862</v>
      </c>
      <c r="AB55" s="199">
        <f t="shared" si="18"/>
        <v>1.0797794291879381</v>
      </c>
      <c r="AC55" s="21">
        <f t="shared" si="10"/>
        <v>496.23148148148147</v>
      </c>
      <c r="AD55" s="4">
        <v>0.35799999999999998</v>
      </c>
      <c r="AE55" s="3">
        <v>2.0121500948645101</v>
      </c>
      <c r="AF55" s="3">
        <f t="shared" si="13"/>
        <v>2.5485190299821499</v>
      </c>
      <c r="AH55">
        <v>395.46175199999999</v>
      </c>
      <c r="AI55">
        <v>-389.10952200000003</v>
      </c>
      <c r="AJ55" s="244">
        <f t="shared" si="19"/>
        <v>343.51572399999998</v>
      </c>
      <c r="AK55" s="244">
        <f t="shared" si="11"/>
        <v>335.81411857142859</v>
      </c>
      <c r="AL55" s="3">
        <f t="shared" si="12"/>
        <v>-335.81411857142859</v>
      </c>
    </row>
    <row r="56" spans="1:38">
      <c r="A56" s="2">
        <v>41429</v>
      </c>
      <c r="B56" s="4">
        <v>29.004998176353556</v>
      </c>
      <c r="C56" s="4">
        <v>26.071560624124853</v>
      </c>
      <c r="D56" s="4">
        <v>15.41988943714901</v>
      </c>
      <c r="E56" s="7">
        <v>228.25429421750709</v>
      </c>
      <c r="F56" s="4">
        <v>1.098830747403116</v>
      </c>
      <c r="G56" s="4">
        <v>1.0692608933891143</v>
      </c>
      <c r="H56" s="4">
        <v>11.477708018011723</v>
      </c>
      <c r="I56" s="4">
        <v>1.0646481999962243</v>
      </c>
      <c r="J56" s="3">
        <v>11.643460684701395</v>
      </c>
      <c r="K56" s="3">
        <v>-11.129816761107739</v>
      </c>
      <c r="L56" s="3">
        <v>-0.36752112432111655</v>
      </c>
      <c r="M56" s="3">
        <v>2.0984325016473189E-2</v>
      </c>
      <c r="N56" s="4">
        <f t="shared" si="1"/>
        <v>-3.1564595292876356E-2</v>
      </c>
      <c r="O56" s="4">
        <f t="shared" si="2"/>
        <v>-1.8854151390705054E-3</v>
      </c>
      <c r="P56" s="3">
        <v>320.40466338286473</v>
      </c>
      <c r="Q56" s="7">
        <v>-267.61922606698101</v>
      </c>
      <c r="R56" s="7">
        <v>52.785437315883712</v>
      </c>
      <c r="S56" s="4">
        <f t="shared" si="3"/>
        <v>1.1972408264220611</v>
      </c>
      <c r="T56" s="3">
        <v>2.2364583333333332</v>
      </c>
      <c r="U56" s="3">
        <v>27.283645833333328</v>
      </c>
      <c r="V56" s="7">
        <v>575.27407407407418</v>
      </c>
      <c r="W56">
        <v>48</v>
      </c>
      <c r="X56" s="13">
        <f t="shared" si="14"/>
        <v>286.04920313297941</v>
      </c>
      <c r="Y56" s="13">
        <f t="shared" si="15"/>
        <v>-270.28821409656882</v>
      </c>
      <c r="Z56" s="21">
        <f t="shared" si="16"/>
        <v>15.760989036410544</v>
      </c>
      <c r="AA56" s="224">
        <f t="shared" si="17"/>
        <v>270.28821409656882</v>
      </c>
      <c r="AB56" s="199">
        <f t="shared" si="18"/>
        <v>1.0583117879893182</v>
      </c>
      <c r="AC56" s="21">
        <f t="shared" si="10"/>
        <v>489.86385109599394</v>
      </c>
      <c r="AD56" s="4">
        <v>0.36320000000000002</v>
      </c>
      <c r="AE56" s="3">
        <v>2.0327404213413298</v>
      </c>
      <c r="AF56" s="3">
        <f t="shared" si="13"/>
        <v>2.3110279089941184</v>
      </c>
      <c r="AH56">
        <v>334.41718400000002</v>
      </c>
      <c r="AI56">
        <v>-303.17255999999998</v>
      </c>
      <c r="AJ56" s="244">
        <f t="shared" si="19"/>
        <v>335.14499271428571</v>
      </c>
      <c r="AK56" s="244">
        <f t="shared" si="11"/>
        <v>334.26156228571432</v>
      </c>
      <c r="AL56" s="3">
        <f t="shared" si="12"/>
        <v>-334.26156228571432</v>
      </c>
    </row>
    <row r="57" spans="1:38">
      <c r="A57" s="2">
        <v>41430</v>
      </c>
      <c r="B57" s="4">
        <v>28.686640453444195</v>
      </c>
      <c r="C57" s="4">
        <v>26.920201829286579</v>
      </c>
      <c r="D57" s="4">
        <v>16.157520288568627</v>
      </c>
      <c r="E57" s="7">
        <v>217.14029249696262</v>
      </c>
      <c r="F57" s="4">
        <v>1.0444712853949942</v>
      </c>
      <c r="G57" s="4">
        <v>0.89973297159886678</v>
      </c>
      <c r="H57" s="4">
        <v>10.698709930475333</v>
      </c>
      <c r="I57" s="4">
        <v>0.58796608533548533</v>
      </c>
      <c r="J57" s="3">
        <v>6.0354425472812583</v>
      </c>
      <c r="K57" s="3">
        <v>-12.430569232001906</v>
      </c>
      <c r="L57" s="3">
        <v>-0.36296253202953971</v>
      </c>
      <c r="M57" s="3">
        <v>0.68455632550054546</v>
      </c>
      <c r="N57" s="4">
        <f t="shared" si="1"/>
        <v>-6.0138511664408235E-2</v>
      </c>
      <c r="O57" s="4">
        <f t="shared" si="2"/>
        <v>-5.5070392411168748E-2</v>
      </c>
      <c r="P57" s="3">
        <v>269.93717380925136</v>
      </c>
      <c r="Q57" s="7">
        <v>-314.76301338005874</v>
      </c>
      <c r="R57" s="7">
        <v>-44.825839570807375</v>
      </c>
      <c r="S57" s="4">
        <f t="shared" si="3"/>
        <v>0.85758860582300156</v>
      </c>
      <c r="T57" s="3">
        <v>2.8484687499999999</v>
      </c>
      <c r="U57" s="3">
        <v>26.505729166666672</v>
      </c>
      <c r="V57" s="7">
        <v>556.98333333333346</v>
      </c>
      <c r="W57">
        <v>48</v>
      </c>
      <c r="X57" s="13">
        <f t="shared" si="14"/>
        <v>285.80824972520389</v>
      </c>
      <c r="Y57" s="13">
        <f t="shared" si="15"/>
        <v>-262.86042133041786</v>
      </c>
      <c r="Z57" s="21">
        <f t="shared" si="16"/>
        <v>22.947828394786029</v>
      </c>
      <c r="AA57" s="224">
        <f t="shared" si="17"/>
        <v>262.86042133041786</v>
      </c>
      <c r="AB57" s="199">
        <f t="shared" si="18"/>
        <v>1.0873004322166113</v>
      </c>
      <c r="AC57" s="21">
        <f t="shared" si="10"/>
        <v>498.03601662887377</v>
      </c>
      <c r="AD57" s="4">
        <v>0.39860000000000001</v>
      </c>
      <c r="AE57" s="3">
        <v>2.0698295748685598</v>
      </c>
      <c r="AF57" s="3">
        <f t="shared" si="13"/>
        <v>1.7210707411640567</v>
      </c>
      <c r="AH57">
        <v>296.62718999999998</v>
      </c>
      <c r="AI57">
        <v>-367.78003999999999</v>
      </c>
      <c r="AJ57" s="244">
        <f t="shared" si="19"/>
        <v>333.41893485714292</v>
      </c>
      <c r="AK57" s="244">
        <f t="shared" si="11"/>
        <v>320.62535714285713</v>
      </c>
      <c r="AL57" s="3">
        <f t="shared" si="12"/>
        <v>-320.62535714285713</v>
      </c>
    </row>
    <row r="58" spans="1:38">
      <c r="A58" s="2">
        <v>41431</v>
      </c>
      <c r="B58" s="4">
        <v>28.347459816384184</v>
      </c>
      <c r="C58" s="4">
        <v>28.361257944915252</v>
      </c>
      <c r="D58" s="4">
        <v>17.345399491305248</v>
      </c>
      <c r="E58" s="7">
        <v>214.09498587570636</v>
      </c>
      <c r="F58" s="4">
        <v>1.031732575980987</v>
      </c>
      <c r="G58" s="4">
        <v>1.1478262711864404</v>
      </c>
      <c r="H58" s="4">
        <v>9.345753884180791</v>
      </c>
      <c r="I58" s="4">
        <v>0.64203495762711837</v>
      </c>
      <c r="J58" s="3">
        <v>9.2424458081082168</v>
      </c>
      <c r="K58" s="3">
        <v>-5.7040906661429327</v>
      </c>
      <c r="L58" s="3">
        <v>-0.3864193179723871</v>
      </c>
      <c r="M58" s="3">
        <v>0.19685892303795322</v>
      </c>
      <c r="N58" s="4">
        <f t="shared" si="1"/>
        <v>-4.1809205701091479E-2</v>
      </c>
      <c r="O58" s="4">
        <f t="shared" si="2"/>
        <v>-3.4511885339835922E-2</v>
      </c>
      <c r="P58" s="3">
        <v>214.82910356111847</v>
      </c>
      <c r="Q58" s="7">
        <v>-141.62279014034129</v>
      </c>
      <c r="R58" s="7">
        <v>73.206313420777178</v>
      </c>
      <c r="S58" s="4">
        <f t="shared" si="3"/>
        <v>1.5169105434812666</v>
      </c>
      <c r="T58" s="3">
        <v>4.5257708333333335</v>
      </c>
      <c r="U58" s="3">
        <v>25.844270833333329</v>
      </c>
      <c r="V58" s="7">
        <v>426.42777777777781</v>
      </c>
      <c r="W58">
        <v>48</v>
      </c>
      <c r="X58" s="13">
        <f t="shared" si="14"/>
        <v>258.25114374902785</v>
      </c>
      <c r="Y58" s="13">
        <f t="shared" si="15"/>
        <v>-249.0926630111243</v>
      </c>
      <c r="Z58" s="21">
        <f t="shared" si="16"/>
        <v>9.158480737903588</v>
      </c>
      <c r="AA58" s="224">
        <f t="shared" si="17"/>
        <v>249.0926630111243</v>
      </c>
      <c r="AB58" s="199">
        <f t="shared" si="18"/>
        <v>1.0367673645108308</v>
      </c>
      <c r="AC58" s="21">
        <f t="shared" si="10"/>
        <v>489.02134038800705</v>
      </c>
      <c r="AD58" s="4">
        <v>0.42099999999999999</v>
      </c>
      <c r="AE58" s="3">
        <v>2.1307450564971799</v>
      </c>
      <c r="AF58" s="3">
        <f t="shared" si="13"/>
        <v>2.584435423728813</v>
      </c>
      <c r="AH58">
        <v>293.179573</v>
      </c>
      <c r="AI58">
        <v>-241.00007299999999</v>
      </c>
      <c r="AJ58" s="244">
        <f t="shared" si="19"/>
        <v>297.60169100000002</v>
      </c>
      <c r="AK58" s="244">
        <f t="shared" si="11"/>
        <v>300.57550342857138</v>
      </c>
      <c r="AL58" s="3">
        <f t="shared" si="12"/>
        <v>-300.57550342857138</v>
      </c>
    </row>
    <row r="59" spans="1:38">
      <c r="A59" s="2">
        <v>41432</v>
      </c>
      <c r="B59" s="4">
        <v>28.163643008474576</v>
      </c>
      <c r="C59" s="4">
        <v>25.295429025423726</v>
      </c>
      <c r="D59" s="4">
        <v>15.109801720089008</v>
      </c>
      <c r="E59" s="7">
        <v>205.50731042549435</v>
      </c>
      <c r="F59" s="4">
        <v>0.97067633412972931</v>
      </c>
      <c r="G59" s="4">
        <v>1.5161537782485874</v>
      </c>
      <c r="H59" s="4">
        <v>11.74245374293786</v>
      </c>
      <c r="I59" s="4">
        <v>2.358931144067796</v>
      </c>
      <c r="J59" s="3">
        <v>1.2201949930270182</v>
      </c>
      <c r="K59" s="3">
        <v>-7.0728167193335425</v>
      </c>
      <c r="L59" s="3">
        <v>-0.88459859629342152</v>
      </c>
      <c r="M59" s="3">
        <v>1.0277051885626709</v>
      </c>
      <c r="N59" s="4">
        <f t="shared" si="1"/>
        <v>-0.72496494523300692</v>
      </c>
      <c r="O59" s="4">
        <f t="shared" si="2"/>
        <v>-0.14530352324179971</v>
      </c>
      <c r="P59" s="3">
        <v>142.02397400292705</v>
      </c>
      <c r="Q59" s="7">
        <v>-194.41252578950909</v>
      </c>
      <c r="R59" s="7">
        <v>-52.388551786582042</v>
      </c>
      <c r="S59" s="4">
        <f t="shared" si="3"/>
        <v>0.73052892773327138</v>
      </c>
      <c r="T59" s="3">
        <v>4.9591458333333334</v>
      </c>
      <c r="U59" s="3">
        <v>26.040937499999998</v>
      </c>
      <c r="V59" s="7">
        <v>407.23214285714283</v>
      </c>
      <c r="W59">
        <v>48</v>
      </c>
      <c r="X59" s="13">
        <f t="shared" si="14"/>
        <v>236.98845361518892</v>
      </c>
      <c r="Y59" s="13">
        <f t="shared" si="15"/>
        <v>-221.60555572901876</v>
      </c>
      <c r="Z59" s="21">
        <f t="shared" si="16"/>
        <v>15.382897886170142</v>
      </c>
      <c r="AA59" s="224">
        <f t="shared" si="17"/>
        <v>221.60555572901876</v>
      </c>
      <c r="AB59" s="199">
        <f t="shared" si="18"/>
        <v>1.0694156689148195</v>
      </c>
      <c r="AC59" s="21">
        <f t="shared" si="10"/>
        <v>498.8656084656086</v>
      </c>
      <c r="AD59" s="4">
        <v>0.52949999999999997</v>
      </c>
      <c r="AE59" s="3">
        <v>2.0342443502824898</v>
      </c>
      <c r="AF59" s="3">
        <f t="shared" si="13"/>
        <v>3.8662151483050842</v>
      </c>
      <c r="AH59">
        <v>271.16242099999999</v>
      </c>
      <c r="AI59">
        <v>-321.22261300000002</v>
      </c>
      <c r="AJ59" s="244">
        <f t="shared" si="19"/>
        <v>268.46776414285711</v>
      </c>
      <c r="AK59" s="244">
        <f t="shared" si="11"/>
        <v>266.13098014285714</v>
      </c>
      <c r="AL59" s="3">
        <f t="shared" si="12"/>
        <v>-266.13098014285714</v>
      </c>
    </row>
    <row r="60" spans="1:38">
      <c r="A60" s="2">
        <v>41433</v>
      </c>
      <c r="B60" s="4">
        <v>28.874400563479096</v>
      </c>
      <c r="C60" s="4">
        <v>25.898687168348754</v>
      </c>
      <c r="D60" s="4">
        <v>15.332729712816063</v>
      </c>
      <c r="E60" s="7">
        <v>233.08500627872988</v>
      </c>
      <c r="F60" s="4">
        <v>1.1185040122965588</v>
      </c>
      <c r="G60" s="4">
        <v>1.0773222839354626</v>
      </c>
      <c r="H60" s="4">
        <v>11.425020955249749</v>
      </c>
      <c r="I60" s="4">
        <v>1.0814433107121266</v>
      </c>
      <c r="J60" s="3">
        <v>16.055021739166193</v>
      </c>
      <c r="K60" s="3">
        <v>-15.528060458573236</v>
      </c>
      <c r="L60" s="3">
        <v>-0.34750375412699597</v>
      </c>
      <c r="M60" s="3">
        <v>0.40662071719097792</v>
      </c>
      <c r="N60" s="4">
        <f t="shared" si="1"/>
        <v>-2.1644552076766192E-2</v>
      </c>
      <c r="O60" s="4">
        <f t="shared" si="2"/>
        <v>-2.618618843453031E-2</v>
      </c>
      <c r="P60" s="3">
        <v>450.02612614436765</v>
      </c>
      <c r="Q60" s="7">
        <v>-382.43234821834142</v>
      </c>
      <c r="R60" s="7">
        <v>67.593777926026235</v>
      </c>
      <c r="S60" s="4">
        <f t="shared" si="3"/>
        <v>1.1767470200701617</v>
      </c>
      <c r="T60" s="3">
        <v>3.0402916666666662</v>
      </c>
      <c r="U60" s="3">
        <v>26.603958333333324</v>
      </c>
      <c r="V60" s="7">
        <v>528.41071428571422</v>
      </c>
      <c r="W60">
        <v>48</v>
      </c>
      <c r="X60" s="13">
        <f t="shared" si="14"/>
        <v>242.34046562316379</v>
      </c>
      <c r="Y60" s="13">
        <f t="shared" si="15"/>
        <v>-236.38495150127898</v>
      </c>
      <c r="Z60" s="21">
        <f t="shared" si="16"/>
        <v>5.955514121884848</v>
      </c>
      <c r="AA60" s="224">
        <f t="shared" si="17"/>
        <v>236.38495150127898</v>
      </c>
      <c r="AB60" s="199">
        <f t="shared" si="18"/>
        <v>1.0251941339076849</v>
      </c>
      <c r="AC60" s="21">
        <f t="shared" si="10"/>
        <v>479.76349206349209</v>
      </c>
      <c r="AD60" s="4">
        <v>0.49120000000000003</v>
      </c>
      <c r="AE60" s="3">
        <v>2.0388966373836199</v>
      </c>
      <c r="AF60" s="3">
        <f t="shared" si="13"/>
        <v>2.3390815480954101</v>
      </c>
      <c r="AH60">
        <v>449.552637</v>
      </c>
      <c r="AI60">
        <v>-383.82649800000002</v>
      </c>
      <c r="AJ60" s="244">
        <f t="shared" si="19"/>
        <v>266.3306247142857</v>
      </c>
      <c r="AK60" s="244">
        <f t="shared" si="11"/>
        <v>264.45435471428573</v>
      </c>
      <c r="AL60" s="3">
        <f t="shared" si="12"/>
        <v>-264.45435471428573</v>
      </c>
    </row>
    <row r="61" spans="1:38">
      <c r="A61" s="2">
        <v>41434</v>
      </c>
      <c r="B61" s="4">
        <v>26.605946927966105</v>
      </c>
      <c r="C61" s="4">
        <v>26.279837040960444</v>
      </c>
      <c r="D61" s="4">
        <v>16.329786892978074</v>
      </c>
      <c r="E61" s="7">
        <v>187.15100304555082</v>
      </c>
      <c r="F61" s="4">
        <v>0.86529282955145626</v>
      </c>
      <c r="G61" s="4">
        <v>2.0667143361581917</v>
      </c>
      <c r="H61" s="4">
        <v>11.17993467514124</v>
      </c>
      <c r="I61" s="4">
        <v>4.4883453389830512</v>
      </c>
      <c r="J61" s="3">
        <v>0.38001720894475893</v>
      </c>
      <c r="K61" s="3">
        <v>-2.3453552930192609</v>
      </c>
      <c r="L61" s="3">
        <v>0.50199573797885211</v>
      </c>
      <c r="M61" s="3">
        <v>1.1812353247673766</v>
      </c>
      <c r="N61" s="4">
        <f t="shared" si="1"/>
        <v>1.3209815928410351</v>
      </c>
      <c r="O61" s="4">
        <f t="shared" si="2"/>
        <v>-0.50364877691802912</v>
      </c>
      <c r="P61" s="3">
        <v>47.380851568471357</v>
      </c>
      <c r="Q61" s="7">
        <v>-84.638174826879293</v>
      </c>
      <c r="R61" s="7">
        <v>-37.257323258407936</v>
      </c>
      <c r="S61" s="4">
        <f t="shared" si="3"/>
        <v>0.55980474136387215</v>
      </c>
      <c r="T61" s="3">
        <v>4.2056041666666664</v>
      </c>
      <c r="U61" s="3">
        <v>24.353124999999999</v>
      </c>
      <c r="V61" s="7"/>
      <c r="W61">
        <v>48</v>
      </c>
      <c r="X61" s="13">
        <f t="shared" si="14"/>
        <v>264.30915299694556</v>
      </c>
      <c r="Y61" s="13">
        <f t="shared" si="15"/>
        <v>-249.10126958581438</v>
      </c>
      <c r="Z61" s="21">
        <f t="shared" si="16"/>
        <v>15.207883411131208</v>
      </c>
      <c r="AA61" s="224">
        <f t="shared" si="17"/>
        <v>249.10126958581438</v>
      </c>
      <c r="AB61" s="199">
        <f t="shared" si="18"/>
        <v>1.0610510072325912</v>
      </c>
      <c r="AC61" s="21">
        <f t="shared" si="10"/>
        <v>467.69064980158726</v>
      </c>
      <c r="AD61" s="4">
        <v>0.49559999999999998</v>
      </c>
      <c r="AE61" s="3">
        <v>2.1051483050847501</v>
      </c>
      <c r="AF61" s="3">
        <f t="shared" si="13"/>
        <v>5.7821658898305071</v>
      </c>
      <c r="AH61">
        <v>42.811079999999997</v>
      </c>
      <c r="AI61">
        <v>-97.917218000000005</v>
      </c>
      <c r="AJ61" s="244">
        <f t="shared" si="19"/>
        <v>275.14818642857142</v>
      </c>
      <c r="AK61" s="244">
        <f t="shared" si="11"/>
        <v>264.64506042857141</v>
      </c>
      <c r="AL61" s="3">
        <f t="shared" si="12"/>
        <v>-264.64506042857141</v>
      </c>
    </row>
    <row r="62" spans="1:38">
      <c r="A62" s="2">
        <v>41435</v>
      </c>
      <c r="B62" s="4">
        <v>26.601044668079098</v>
      </c>
      <c r="C62" s="4">
        <v>25.595419138418077</v>
      </c>
      <c r="D62" s="4">
        <v>15.820280611180765</v>
      </c>
      <c r="E62" s="7">
        <v>212.40250375176552</v>
      </c>
      <c r="F62" s="4">
        <v>0.97807318438932345</v>
      </c>
      <c r="G62" s="4">
        <v>1.4121558968926557</v>
      </c>
      <c r="H62" s="4">
        <v>11.681879766949153</v>
      </c>
      <c r="I62" s="4">
        <v>1.154976694915254</v>
      </c>
      <c r="J62" s="3">
        <v>8.6916686761021342</v>
      </c>
      <c r="K62" s="3">
        <v>-6.8756457833597038</v>
      </c>
      <c r="L62" s="3">
        <v>0.19790822040845851</v>
      </c>
      <c r="M62" s="3">
        <v>3.0638036682817317E-2</v>
      </c>
      <c r="N62" s="4">
        <f t="shared" si="1"/>
        <v>2.2769876278488383E-2</v>
      </c>
      <c r="O62" s="4">
        <f t="shared" si="2"/>
        <v>-4.456023135596494E-3</v>
      </c>
      <c r="P62" s="3">
        <v>214.31728283732176</v>
      </c>
      <c r="Q62" s="7">
        <v>-165.75081168102054</v>
      </c>
      <c r="R62" s="7">
        <v>48.566471156301219</v>
      </c>
      <c r="S62" s="4">
        <f t="shared" si="3"/>
        <v>1.293008949179477</v>
      </c>
      <c r="T62" s="3">
        <v>2.7835984660332507</v>
      </c>
      <c r="U62" s="3">
        <v>25.953886127363656</v>
      </c>
      <c r="V62" s="7"/>
      <c r="W62">
        <v>48</v>
      </c>
      <c r="X62" s="13">
        <f t="shared" si="14"/>
        <v>269.80794869303458</v>
      </c>
      <c r="Y62" s="13">
        <f t="shared" si="15"/>
        <v>-251.35299512164343</v>
      </c>
      <c r="Z62" s="21">
        <f t="shared" si="16"/>
        <v>18.454953571391155</v>
      </c>
      <c r="AA62" s="224">
        <f t="shared" si="17"/>
        <v>251.35299512164343</v>
      </c>
      <c r="AB62" s="199">
        <f t="shared" si="18"/>
        <v>1.0734224534004848</v>
      </c>
      <c r="AC62" s="21">
        <f t="shared" si="10"/>
        <v>481.44494047619042</v>
      </c>
      <c r="AD62" s="4">
        <v>0.49409999999999998</v>
      </c>
      <c r="AE62" s="3">
        <v>2.0477365819208999</v>
      </c>
      <c r="AF62" s="3">
        <f t="shared" si="13"/>
        <v>3.5043025211864416</v>
      </c>
      <c r="AH62">
        <v>191.52426399999999</v>
      </c>
      <c r="AI62">
        <v>-147.99785900000001</v>
      </c>
      <c r="AJ62" s="244">
        <f t="shared" si="19"/>
        <v>269.09876514285713</v>
      </c>
      <c r="AK62" s="244">
        <f t="shared" si="11"/>
        <v>261.14848728571434</v>
      </c>
      <c r="AL62" s="3">
        <f t="shared" si="12"/>
        <v>-261.14848728571434</v>
      </c>
    </row>
    <row r="63" spans="1:38">
      <c r="A63" s="2">
        <v>41436</v>
      </c>
      <c r="B63" s="4">
        <v>28.293217551444382</v>
      </c>
      <c r="C63" s="4">
        <v>24.383482527722929</v>
      </c>
      <c r="D63" s="4">
        <v>14.384034027528555</v>
      </c>
      <c r="E63" s="7">
        <v>238.04789960583585</v>
      </c>
      <c r="F63" s="4">
        <v>1.1217038029672595</v>
      </c>
      <c r="G63" s="4">
        <v>1.2305343851278456</v>
      </c>
      <c r="H63" s="4">
        <v>12.021536821457282</v>
      </c>
      <c r="I63" s="4">
        <v>1.1143821045095834</v>
      </c>
      <c r="J63" s="3">
        <v>8.3428247266980673</v>
      </c>
      <c r="K63" s="3">
        <v>-15.226354103750705</v>
      </c>
      <c r="L63" s="3">
        <v>-1.9108366633687497</v>
      </c>
      <c r="M63" s="3">
        <v>0.23510408261605878</v>
      </c>
      <c r="N63" s="4">
        <f t="shared" si="1"/>
        <v>-0.22903953108997208</v>
      </c>
      <c r="O63" s="4">
        <f t="shared" si="2"/>
        <v>-1.5440602590356522E-2</v>
      </c>
      <c r="P63" s="3">
        <v>357.86874743868901</v>
      </c>
      <c r="Q63" s="7">
        <v>-371.07499647280235</v>
      </c>
      <c r="R63" s="7">
        <v>-13.206249034113341</v>
      </c>
      <c r="S63" s="4">
        <f t="shared" si="3"/>
        <v>0.96441083565413099</v>
      </c>
      <c r="T63" s="3">
        <v>4.1302109121095532</v>
      </c>
      <c r="U63" s="3">
        <v>27.311921368186692</v>
      </c>
      <c r="V63" s="7"/>
      <c r="W63">
        <v>48</v>
      </c>
      <c r="X63" s="13">
        <f t="shared" si="14"/>
        <v>283.80336650295015</v>
      </c>
      <c r="Y63" s="13">
        <f t="shared" si="15"/>
        <v>-255.02128082183819</v>
      </c>
      <c r="Z63" s="21">
        <f t="shared" si="16"/>
        <v>28.782085681111976</v>
      </c>
      <c r="AA63" s="224">
        <f t="shared" si="17"/>
        <v>255.02128082183819</v>
      </c>
      <c r="AB63" s="199">
        <f t="shared" si="18"/>
        <v>1.1128615054726338</v>
      </c>
      <c r="AC63" s="21">
        <f t="shared" si="10"/>
        <v>518.55133928571422</v>
      </c>
      <c r="AD63" s="4">
        <v>0.42420000000000002</v>
      </c>
      <c r="AE63" s="3">
        <v>2.04699205662184</v>
      </c>
      <c r="AF63" s="3">
        <f t="shared" si="13"/>
        <v>2.8722596602449029</v>
      </c>
      <c r="AH63">
        <v>319.45720799999998</v>
      </c>
      <c r="AI63">
        <v>-291.43618199999997</v>
      </c>
      <c r="AJ63" s="244">
        <f t="shared" si="19"/>
        <v>281.19757499999997</v>
      </c>
      <c r="AK63" s="244">
        <f t="shared" si="11"/>
        <v>258.91242942857144</v>
      </c>
      <c r="AL63" s="3">
        <f t="shared" si="12"/>
        <v>-258.91242942857144</v>
      </c>
    </row>
    <row r="64" spans="1:38">
      <c r="A64" s="2">
        <v>41437</v>
      </c>
      <c r="B64" s="4">
        <v>29.21309856233049</v>
      </c>
      <c r="C64" s="4">
        <v>24.083331997309738</v>
      </c>
      <c r="D64" s="4">
        <v>13.866575806312278</v>
      </c>
      <c r="E64" s="7">
        <v>230.83576784063129</v>
      </c>
      <c r="F64" s="4">
        <v>1.1021636274748068</v>
      </c>
      <c r="G64" s="4">
        <v>1.1705264298528193</v>
      </c>
      <c r="H64" s="4">
        <v>11.822657097068998</v>
      </c>
      <c r="I64" s="4">
        <v>1.2533454076513388</v>
      </c>
      <c r="J64" s="3">
        <v>11.72666501763233</v>
      </c>
      <c r="K64" s="3">
        <v>-16.694296058962934</v>
      </c>
      <c r="L64" s="3">
        <v>-1.8960846648329255</v>
      </c>
      <c r="M64" s="3">
        <v>0.12975560652900633</v>
      </c>
      <c r="N64" s="4">
        <f t="shared" si="1"/>
        <v>-0.16169001689584836</v>
      </c>
      <c r="O64" s="4">
        <f t="shared" si="2"/>
        <v>-7.7724515050361983E-3</v>
      </c>
      <c r="P64" s="3">
        <v>423.71798542572378</v>
      </c>
      <c r="Q64" s="7">
        <v>-403.77723997180664</v>
      </c>
      <c r="R64" s="7">
        <v>19.940745453917145</v>
      </c>
      <c r="S64" s="4">
        <f t="shared" si="3"/>
        <v>1.0493855113163622</v>
      </c>
      <c r="T64" s="3">
        <v>3.7004495668709825</v>
      </c>
      <c r="U64" s="3">
        <v>27.16419670148646</v>
      </c>
      <c r="V64" s="21">
        <f>AVERAGE(V60,V69)</f>
        <v>508.69196428571422</v>
      </c>
      <c r="W64">
        <v>48</v>
      </c>
      <c r="X64" s="13">
        <f t="shared" si="14"/>
        <v>278.61948255809665</v>
      </c>
      <c r="Y64" s="13">
        <f t="shared" si="15"/>
        <v>-256.72537923051311</v>
      </c>
      <c r="Z64" s="21">
        <f t="shared" si="16"/>
        <v>21.894103327583586</v>
      </c>
      <c r="AA64" s="224">
        <f t="shared" si="17"/>
        <v>256.72537923051311</v>
      </c>
      <c r="AB64" s="199">
        <f t="shared" si="18"/>
        <v>1.0852821929534473</v>
      </c>
      <c r="AC64" s="21">
        <f t="shared" si="10"/>
        <v>508.69196428571422</v>
      </c>
      <c r="AD64" s="4">
        <v>0.39529999999999998</v>
      </c>
      <c r="AE64" s="3">
        <v>2.0165963503775002</v>
      </c>
      <c r="AF64" s="3">
        <f t="shared" si="13"/>
        <v>2.6634319758878107</v>
      </c>
      <c r="AH64">
        <v>358.350122</v>
      </c>
      <c r="AI64">
        <v>-369.11498</v>
      </c>
      <c r="AJ64" s="244">
        <f t="shared" si="19"/>
        <v>271.47495928571431</v>
      </c>
      <c r="AK64" s="244">
        <f t="shared" si="11"/>
        <v>258.7258615714286</v>
      </c>
      <c r="AL64" s="3">
        <f t="shared" si="12"/>
        <v>-258.7258615714286</v>
      </c>
    </row>
    <row r="65" spans="1:38">
      <c r="A65" s="2">
        <v>41438</v>
      </c>
      <c r="B65" s="4">
        <v>29.337222779952004</v>
      </c>
      <c r="C65" s="4">
        <v>24.572879164704972</v>
      </c>
      <c r="D65" s="4">
        <v>14.193148236552249</v>
      </c>
      <c r="E65" s="7">
        <v>223.99130404270548</v>
      </c>
      <c r="F65" s="4">
        <v>1.0747305558830467</v>
      </c>
      <c r="G65" s="4">
        <v>1.4689848917931503</v>
      </c>
      <c r="H65" s="4">
        <v>11.561208585436098</v>
      </c>
      <c r="I65" s="4">
        <v>2.7053777231302125</v>
      </c>
      <c r="J65" s="3">
        <v>8.1975375527615952</v>
      </c>
      <c r="K65" s="3">
        <v>-5.2048721681090164</v>
      </c>
      <c r="L65" s="3">
        <v>-3.4474426977620483</v>
      </c>
      <c r="M65" s="3">
        <v>1.3528307023553405</v>
      </c>
      <c r="N65" s="4">
        <f t="shared" si="1"/>
        <v>-0.42054613053900192</v>
      </c>
      <c r="O65" s="4">
        <f t="shared" si="2"/>
        <v>-0.25991622054511243</v>
      </c>
      <c r="P65" s="3">
        <v>253.32067343374135</v>
      </c>
      <c r="Q65" s="7">
        <v>-157.38486889114455</v>
      </c>
      <c r="R65" s="7">
        <v>95.935804542596799</v>
      </c>
      <c r="S65" s="4">
        <f t="shared" si="3"/>
        <v>1.609561803612461</v>
      </c>
      <c r="T65" s="3">
        <v>5.9917657438394158</v>
      </c>
      <c r="U65" s="3">
        <v>28.009618627438968</v>
      </c>
      <c r="V65" s="7"/>
      <c r="W65">
        <v>48</v>
      </c>
      <c r="X65" s="13">
        <f t="shared" si="14"/>
        <v>306.35309733147307</v>
      </c>
      <c r="Y65" s="13">
        <f t="shared" si="15"/>
        <v>-278.43428278679772</v>
      </c>
      <c r="Z65" s="21">
        <f t="shared" si="16"/>
        <v>27.918814544675392</v>
      </c>
      <c r="AA65" s="224">
        <f t="shared" si="17"/>
        <v>278.43428278679772</v>
      </c>
      <c r="AB65" s="199">
        <f t="shared" si="18"/>
        <v>1.1002707506605904</v>
      </c>
      <c r="AC65" s="21">
        <f t="shared" si="10"/>
        <v>508.69196428571422</v>
      </c>
      <c r="AD65" s="4">
        <v>0.3352</v>
      </c>
      <c r="AE65" s="3">
        <v>1.9831933015163099</v>
      </c>
      <c r="AF65" s="3">
        <f t="shared" si="13"/>
        <v>3.7020674234401625</v>
      </c>
      <c r="AH65">
        <v>250.83362399999999</v>
      </c>
      <c r="AI65">
        <v>-216.52406099999999</v>
      </c>
      <c r="AJ65" s="244">
        <f t="shared" si="19"/>
        <v>306.73757542857146</v>
      </c>
      <c r="AK65" s="244">
        <f t="shared" si="11"/>
        <v>286.90104700000001</v>
      </c>
      <c r="AL65" s="3">
        <f t="shared" si="12"/>
        <v>-286.90104700000001</v>
      </c>
    </row>
    <row r="66" spans="1:38">
      <c r="A66" s="2">
        <v>41439</v>
      </c>
      <c r="B66" s="4">
        <v>29.411847894377701</v>
      </c>
      <c r="C66" s="4">
        <v>26.176947269065945</v>
      </c>
      <c r="D66" s="4">
        <v>15.366366989389862</v>
      </c>
      <c r="E66" s="7">
        <v>229.04077223309147</v>
      </c>
      <c r="F66" s="4">
        <v>1.1098631421666683</v>
      </c>
      <c r="G66" s="4">
        <v>1.1102141134708592</v>
      </c>
      <c r="H66" s="4">
        <v>10.538936719787104</v>
      </c>
      <c r="I66" s="4">
        <v>0.83870041526903039</v>
      </c>
      <c r="J66" s="3">
        <v>7.0677201043079929</v>
      </c>
      <c r="K66" s="3">
        <v>-9.1478826659454633</v>
      </c>
      <c r="L66" s="3">
        <v>-1.0067681759463467</v>
      </c>
      <c r="M66" s="3">
        <v>2.2555904507557057E-2</v>
      </c>
      <c r="N66" s="4">
        <f t="shared" si="1"/>
        <v>-0.14244596009577268</v>
      </c>
      <c r="O66" s="4">
        <f t="shared" si="2"/>
        <v>-2.465696744398047E-3</v>
      </c>
      <c r="P66" s="3">
        <v>239.99189867233622</v>
      </c>
      <c r="Q66" s="7">
        <v>-220.09052569087248</v>
      </c>
      <c r="R66" s="7">
        <v>19.901372981463737</v>
      </c>
      <c r="S66" s="4">
        <f t="shared" si="3"/>
        <v>1.0904235787478473</v>
      </c>
      <c r="T66" s="3">
        <v>3.7975365771727483</v>
      </c>
      <c r="U66" s="3">
        <v>28.371493627438962</v>
      </c>
      <c r="V66" s="7"/>
      <c r="W66">
        <v>48</v>
      </c>
      <c r="X66" s="13">
        <f t="shared" si="14"/>
        <v>316.24054903356358</v>
      </c>
      <c r="Y66" s="13">
        <f t="shared" si="15"/>
        <v>-289.88119287805597</v>
      </c>
      <c r="Z66" s="21">
        <f t="shared" si="16"/>
        <v>26.359356155507605</v>
      </c>
      <c r="AA66" s="224">
        <f t="shared" si="17"/>
        <v>289.88119287805597</v>
      </c>
      <c r="AB66" s="199">
        <f t="shared" si="18"/>
        <v>1.090931584397737</v>
      </c>
      <c r="AC66" s="21">
        <f t="shared" si="10"/>
        <v>498.83258928571422</v>
      </c>
      <c r="AD66" s="4">
        <v>0.25309999999999999</v>
      </c>
      <c r="AE66" s="3">
        <v>1.9643474828708001</v>
      </c>
      <c r="AF66" s="3">
        <f t="shared" si="13"/>
        <v>2.4535451148785903</v>
      </c>
      <c r="AH66">
        <v>355.85408999999999</v>
      </c>
      <c r="AI66">
        <v>-305.57020799999998</v>
      </c>
      <c r="AJ66" s="244">
        <f t="shared" si="19"/>
        <v>343.46993185714285</v>
      </c>
      <c r="AK66" s="244">
        <f t="shared" si="11"/>
        <v>323.28513457142856</v>
      </c>
      <c r="AL66" s="3">
        <f t="shared" si="12"/>
        <v>-323.28513457142856</v>
      </c>
    </row>
    <row r="67" spans="1:38">
      <c r="A67" s="2">
        <v>41440</v>
      </c>
      <c r="B67" s="4">
        <v>29.762760259248438</v>
      </c>
      <c r="C67" s="4">
        <v>25.63170281232912</v>
      </c>
      <c r="D67" s="4">
        <v>14.843223082379298</v>
      </c>
      <c r="E67" s="7">
        <v>239.24618121473239</v>
      </c>
      <c r="F67" s="4">
        <v>1.1637987247637673</v>
      </c>
      <c r="G67" s="4">
        <v>1.0240563046460875</v>
      </c>
      <c r="H67" s="4">
        <v>10.822646888361446</v>
      </c>
      <c r="I67" s="4">
        <v>0.81679591722249578</v>
      </c>
      <c r="J67" s="3">
        <v>12.470087149867416</v>
      </c>
      <c r="K67" s="3">
        <v>-16.416134908994472</v>
      </c>
      <c r="L67" s="3">
        <v>-0.82794705785542255</v>
      </c>
      <c r="M67" s="3">
        <v>1.5574969299933928E-2</v>
      </c>
      <c r="N67" s="4">
        <f t="shared" si="1"/>
        <v>-6.6394648882965146E-2</v>
      </c>
      <c r="O67" s="4">
        <f t="shared" si="2"/>
        <v>-9.4875982600510511E-4</v>
      </c>
      <c r="P67" s="3">
        <v>413.73893853039328</v>
      </c>
      <c r="Q67" s="7">
        <v>-394.3610370790658</v>
      </c>
      <c r="R67" s="7">
        <v>19.377901451327489</v>
      </c>
      <c r="S67" s="4">
        <f t="shared" si="3"/>
        <v>1.0491374644788816</v>
      </c>
      <c r="T67" s="3">
        <v>3.02752679915548</v>
      </c>
      <c r="U67" s="3">
        <v>27.222311388156267</v>
      </c>
      <c r="V67" s="7"/>
      <c r="W67">
        <v>48</v>
      </c>
      <c r="X67" s="13">
        <f t="shared" si="14"/>
        <v>284.43732012671552</v>
      </c>
      <c r="Y67" s="13">
        <f t="shared" si="15"/>
        <v>-246.06241632635485</v>
      </c>
      <c r="Z67" s="21">
        <f t="shared" si="16"/>
        <v>38.374903800360705</v>
      </c>
      <c r="AA67" s="224">
        <f t="shared" si="17"/>
        <v>246.06241632635485</v>
      </c>
      <c r="AB67" s="199">
        <f t="shared" si="18"/>
        <v>1.155955973989395</v>
      </c>
      <c r="AC67" s="21">
        <f t="shared" si="10"/>
        <v>491.51160714285714</v>
      </c>
      <c r="AD67" s="4">
        <v>0.1452</v>
      </c>
      <c r="AE67" s="3">
        <v>2.0648612696269901</v>
      </c>
      <c r="AF67" s="3">
        <f t="shared" ref="AF67:AF83" si="20">3.48*G67-1.41</f>
        <v>2.153715940168385</v>
      </c>
      <c r="AH67">
        <v>381.494327</v>
      </c>
      <c r="AI67">
        <v>-382.52052300000003</v>
      </c>
      <c r="AJ67" s="244">
        <f t="shared" si="19"/>
        <v>330.94860757142851</v>
      </c>
      <c r="AK67" s="244">
        <f t="shared" si="11"/>
        <v>309.04132028571433</v>
      </c>
      <c r="AL67" s="3">
        <f t="shared" si="12"/>
        <v>-309.04132028571433</v>
      </c>
    </row>
    <row r="68" spans="1:38">
      <c r="A68" s="2">
        <v>41441</v>
      </c>
      <c r="B68" s="4">
        <v>29.907552823542826</v>
      </c>
      <c r="C68" s="4">
        <v>21.242429803466162</v>
      </c>
      <c r="D68" s="4">
        <v>11.524977486076004</v>
      </c>
      <c r="E68" s="7">
        <v>227.84094003967255</v>
      </c>
      <c r="F68" s="4">
        <v>1.0831096713176522</v>
      </c>
      <c r="G68" s="4">
        <v>1.302428290148963</v>
      </c>
      <c r="H68" s="4">
        <v>14.081165953049888</v>
      </c>
      <c r="I68" s="4">
        <v>1.1181205093957256</v>
      </c>
      <c r="J68" s="3">
        <v>6.8671446463558707</v>
      </c>
      <c r="K68" s="3">
        <v>-9.4988150035460261</v>
      </c>
      <c r="L68" s="3">
        <v>-0.62895544881960375</v>
      </c>
      <c r="M68" s="3">
        <v>0.35953915149027688</v>
      </c>
      <c r="N68" s="4">
        <f t="shared" ref="N68:N83" si="21">L68/J68</f>
        <v>-9.1589078315594555E-2</v>
      </c>
      <c r="O68" s="4">
        <f t="shared" ref="O68:O83" si="22">M68/K68</f>
        <v>-3.7850947866239784E-2</v>
      </c>
      <c r="P68" s="3">
        <v>241.51615498210595</v>
      </c>
      <c r="Q68" s="7">
        <v>-236.60049972087126</v>
      </c>
      <c r="R68" s="7">
        <v>4.91565526123469</v>
      </c>
      <c r="S68" s="4">
        <f t="shared" ref="S68:S131" si="23">P68/-Q68</f>
        <v>1.0207761829202977</v>
      </c>
      <c r="T68" s="3">
        <v>3.4650667156370658</v>
      </c>
      <c r="U68" s="3">
        <v>28.568473201624233</v>
      </c>
      <c r="V68" s="7"/>
      <c r="W68">
        <v>48</v>
      </c>
      <c r="X68" s="13">
        <f t="shared" si="14"/>
        <v>293.44497334705051</v>
      </c>
      <c r="Y68" s="13">
        <f t="shared" si="15"/>
        <v>-269.15989562641226</v>
      </c>
      <c r="Z68" s="21">
        <f t="shared" si="16"/>
        <v>24.28507772063821</v>
      </c>
      <c r="AA68" s="224">
        <f t="shared" si="17"/>
        <v>269.15989562641226</v>
      </c>
      <c r="AB68" s="199">
        <f t="shared" si="18"/>
        <v>1.0902254686349908</v>
      </c>
      <c r="AC68" s="21">
        <f t="shared" si="10"/>
        <v>480.9041666666667</v>
      </c>
      <c r="AD68" s="4">
        <v>0.2225</v>
      </c>
      <c r="AE68" s="3">
        <v>2.0590268630250499</v>
      </c>
      <c r="AF68" s="3">
        <f t="shared" si="20"/>
        <v>3.1224504497183911</v>
      </c>
      <c r="AH68">
        <v>289.64939299999998</v>
      </c>
      <c r="AI68">
        <v>-295.14351599999998</v>
      </c>
      <c r="AJ68" s="244">
        <f t="shared" si="19"/>
        <v>340.23220457142855</v>
      </c>
      <c r="AK68" s="244">
        <f t="shared" si="11"/>
        <v>314.15286499999996</v>
      </c>
      <c r="AL68" s="3">
        <f t="shared" si="12"/>
        <v>-314.15286499999996</v>
      </c>
    </row>
    <row r="69" spans="1:38">
      <c r="A69" s="2">
        <v>41442</v>
      </c>
      <c r="B69" s="4">
        <v>29.834080910899672</v>
      </c>
      <c r="C69" s="4">
        <v>22.915661686107139</v>
      </c>
      <c r="D69" s="4">
        <v>12.795733188401037</v>
      </c>
      <c r="E69" s="7">
        <v>234.37908797664906</v>
      </c>
      <c r="F69" s="4">
        <v>1.1238071665635887</v>
      </c>
      <c r="G69" s="4">
        <v>1.3980749302284539</v>
      </c>
      <c r="H69" s="4">
        <v>12.733169167567114</v>
      </c>
      <c r="I69" s="4">
        <v>1.9569674416418839</v>
      </c>
      <c r="J69" s="3">
        <v>7.4110282766361166</v>
      </c>
      <c r="K69" s="3">
        <v>-9.9343232256356035</v>
      </c>
      <c r="L69" s="3">
        <v>-2.7173790689613084</v>
      </c>
      <c r="M69" s="3">
        <v>0.31064270435726415</v>
      </c>
      <c r="N69" s="4">
        <f t="shared" si="21"/>
        <v>-0.3666669411487839</v>
      </c>
      <c r="O69" s="4">
        <f t="shared" si="22"/>
        <v>-3.1269639340468412E-2</v>
      </c>
      <c r="P69" s="3">
        <v>283.52944475195557</v>
      </c>
      <c r="Q69" s="7">
        <v>-245.87918231982886</v>
      </c>
      <c r="R69" s="7">
        <v>37.650262432126709</v>
      </c>
      <c r="S69" s="4">
        <f t="shared" si="23"/>
        <v>1.1531250514049332</v>
      </c>
      <c r="T69" s="3">
        <v>5.6774583333333313</v>
      </c>
      <c r="U69" s="3">
        <v>28.288125000000001</v>
      </c>
      <c r="V69" s="7">
        <v>488.97321428571428</v>
      </c>
      <c r="W69">
        <v>48</v>
      </c>
      <c r="X69" s="13">
        <f t="shared" si="14"/>
        <v>301.71493205229274</v>
      </c>
      <c r="Y69" s="13">
        <f t="shared" si="15"/>
        <v>-280.53179493638424</v>
      </c>
      <c r="Z69" s="21">
        <f t="shared" si="16"/>
        <v>21.18313711590849</v>
      </c>
      <c r="AA69" s="224">
        <f t="shared" si="17"/>
        <v>280.53179493638424</v>
      </c>
      <c r="AB69" s="199">
        <f t="shared" si="18"/>
        <v>1.0755106462021966</v>
      </c>
      <c r="AC69" s="21">
        <f t="shared" si="10"/>
        <v>480.9041666666667</v>
      </c>
      <c r="AD69" s="4">
        <v>0.20760000000000001</v>
      </c>
      <c r="AE69" s="3">
        <v>2.0425254104786399</v>
      </c>
      <c r="AF69" s="3">
        <f t="shared" si="20"/>
        <v>3.4553007571950189</v>
      </c>
      <c r="AH69">
        <v>448.65075899999999</v>
      </c>
      <c r="AI69">
        <v>-402.68647199999998</v>
      </c>
      <c r="AJ69" s="244">
        <f t="shared" si="19"/>
        <v>337.07609542857142</v>
      </c>
      <c r="AK69" s="244">
        <f t="shared" si="11"/>
        <v>315.13180199999999</v>
      </c>
      <c r="AL69" s="3">
        <f t="shared" si="12"/>
        <v>-315.13180199999999</v>
      </c>
    </row>
    <row r="70" spans="1:38">
      <c r="A70" s="2">
        <v>41443</v>
      </c>
      <c r="B70" s="4">
        <v>29.383329056058567</v>
      </c>
      <c r="C70" s="4">
        <v>25.625457551553385</v>
      </c>
      <c r="D70" s="4">
        <v>14.963857632666363</v>
      </c>
      <c r="E70" s="7">
        <v>227.01471061203983</v>
      </c>
      <c r="F70" s="4">
        <v>1.0970723779623299</v>
      </c>
      <c r="G70" s="4">
        <v>1.6753692877895283</v>
      </c>
      <c r="H70" s="4">
        <v>10.775217056990407</v>
      </c>
      <c r="I70" s="4">
        <v>1.7657173873074505</v>
      </c>
      <c r="J70" s="3">
        <v>3.5833158797786786</v>
      </c>
      <c r="K70" s="3">
        <v>-2.4697778278511953</v>
      </c>
      <c r="L70" s="3">
        <v>-3.4539883028856546</v>
      </c>
      <c r="M70" s="3">
        <v>0.21120386426939178</v>
      </c>
      <c r="N70" s="4">
        <f t="shared" si="21"/>
        <v>-0.96390840739917916</v>
      </c>
      <c r="O70" s="4">
        <f t="shared" si="22"/>
        <v>-8.5515329309255123E-2</v>
      </c>
      <c r="P70" s="3">
        <v>135.24614509075246</v>
      </c>
      <c r="Q70" s="7">
        <v>-64.343560610894087</v>
      </c>
      <c r="R70" s="7">
        <v>70.902584479858376</v>
      </c>
      <c r="S70" s="4">
        <f t="shared" si="23"/>
        <v>2.1019375335572241</v>
      </c>
      <c r="T70" s="3">
        <v>5.2605448827283041</v>
      </c>
      <c r="U70" s="3">
        <v>27.047032143385469</v>
      </c>
      <c r="V70" s="7">
        <v>476.86964285714288</v>
      </c>
      <c r="W70">
        <v>48</v>
      </c>
      <c r="X70" s="13">
        <f t="shared" ref="X70:X80" si="24">AVERAGE(P67:P73)</f>
        <v>285.99804566964798</v>
      </c>
      <c r="Y70" s="13">
        <f t="shared" ref="Y70:Y80" si="25">AVERAGE(Q67:Q73)</f>
        <v>-258.85314345117769</v>
      </c>
      <c r="Z70" s="21">
        <f t="shared" ref="Z70:Z80" si="26">AVERAGE(R67:R73)</f>
        <v>27.144902218470349</v>
      </c>
      <c r="AA70" s="224">
        <f t="shared" ref="AA70:AA80" si="27">-Y70</f>
        <v>258.85314345117769</v>
      </c>
      <c r="AB70" s="199">
        <f t="shared" ref="AB70:AB80" si="28">X70/-Y70</f>
        <v>1.1048660327495312</v>
      </c>
      <c r="AC70" s="21">
        <f t="shared" si="10"/>
        <v>480.9041666666667</v>
      </c>
      <c r="AD70" s="4">
        <v>0.40039999999999998</v>
      </c>
      <c r="AE70" s="3">
        <v>1.97833228342462</v>
      </c>
      <c r="AF70" s="3">
        <f t="shared" si="20"/>
        <v>4.4202851215075585</v>
      </c>
      <c r="AH70">
        <v>231.80793800000001</v>
      </c>
      <c r="AI70">
        <v>-191.72948199999999</v>
      </c>
      <c r="AJ70" s="244">
        <f t="shared" ref="AJ70:AJ81" si="29">AVERAGE(AH67:AH73)</f>
        <v>314.70160200000004</v>
      </c>
      <c r="AK70" s="244">
        <f t="shared" si="11"/>
        <v>297.89548485714289</v>
      </c>
      <c r="AL70" s="3">
        <f t="shared" si="12"/>
        <v>-297.89548485714289</v>
      </c>
    </row>
    <row r="71" spans="1:38">
      <c r="A71" s="2">
        <v>41444</v>
      </c>
      <c r="B71" s="4">
        <v>29.419344773002095</v>
      </c>
      <c r="C71" s="4">
        <v>25.225603408102547</v>
      </c>
      <c r="D71" s="4">
        <v>14.654134467531142</v>
      </c>
      <c r="E71" s="7">
        <v>237.24496681738057</v>
      </c>
      <c r="F71" s="4">
        <v>1.1434942942592301</v>
      </c>
      <c r="G71" s="4">
        <v>1.5772794384349671</v>
      </c>
      <c r="H71" s="4">
        <v>10.940790385726658</v>
      </c>
      <c r="I71" s="4">
        <v>0.78663378149176078</v>
      </c>
      <c r="J71" s="3">
        <v>10.72242002998439</v>
      </c>
      <c r="K71" s="3">
        <v>-23.597947824785546</v>
      </c>
      <c r="L71" s="3">
        <v>-0.69436048841617415</v>
      </c>
      <c r="M71" s="3">
        <v>-3.7131363443501715E-2</v>
      </c>
      <c r="N71" s="4">
        <f t="shared" si="21"/>
        <v>-6.4757814604767455E-2</v>
      </c>
      <c r="O71" s="4">
        <f t="shared" si="22"/>
        <v>1.5734996839217377E-3</v>
      </c>
      <c r="P71" s="3">
        <v>486.77155796806858</v>
      </c>
      <c r="Q71" s="7">
        <v>-565.45959507220891</v>
      </c>
      <c r="R71" s="7">
        <v>-78.688037104140335</v>
      </c>
      <c r="S71" s="4">
        <f t="shared" si="23"/>
        <v>0.86084233464268667</v>
      </c>
      <c r="T71" s="3">
        <v>2.4476943097703727</v>
      </c>
      <c r="U71" s="3">
        <v>27.381466033681232</v>
      </c>
      <c r="V71" s="21">
        <f>AVERAGE(V70)</f>
        <v>476.86964285714288</v>
      </c>
      <c r="W71">
        <v>48</v>
      </c>
      <c r="X71" s="13">
        <f t="shared" si="24"/>
        <v>270.88202292251691</v>
      </c>
      <c r="Y71" s="13">
        <f t="shared" si="25"/>
        <v>-239.71553741653744</v>
      </c>
      <c r="Z71" s="21">
        <f t="shared" si="26"/>
        <v>31.16648550597947</v>
      </c>
      <c r="AA71" s="224">
        <f t="shared" si="27"/>
        <v>239.71553741653744</v>
      </c>
      <c r="AB71" s="199">
        <f t="shared" si="28"/>
        <v>1.1300144573099722</v>
      </c>
      <c r="AC71" s="21">
        <f t="shared" ref="AC71:AC134" si="30">AVERAGE(V68:V74)</f>
        <v>480.9041666666667</v>
      </c>
      <c r="AD71" s="4">
        <v>0.42720000000000002</v>
      </c>
      <c r="AE71" s="3">
        <v>1.9674062742216301</v>
      </c>
      <c r="AF71" s="3">
        <f t="shared" si="20"/>
        <v>4.0789324457536855</v>
      </c>
      <c r="AH71">
        <v>423.33530100000002</v>
      </c>
      <c r="AI71">
        <v>-404.89579300000003</v>
      </c>
      <c r="AJ71" s="244">
        <f t="shared" si="29"/>
        <v>307.75420314285714</v>
      </c>
      <c r="AK71" s="244">
        <f t="shared" ref="AK71:AK81" si="31">-AVERAGE(AI68:AI74)</f>
        <v>282.87752171428571</v>
      </c>
      <c r="AL71" s="3">
        <f t="shared" ref="AL71:AL134" si="32">-AK71</f>
        <v>-282.87752171428571</v>
      </c>
    </row>
    <row r="72" spans="1:38">
      <c r="A72" s="2">
        <v>41445</v>
      </c>
      <c r="B72" s="4">
        <v>30.256285353288437</v>
      </c>
      <c r="C72" s="4">
        <v>24.056330789149641</v>
      </c>
      <c r="D72" s="4">
        <v>13.507000887657071</v>
      </c>
      <c r="E72" s="7">
        <v>227.04287152017881</v>
      </c>
      <c r="F72" s="4">
        <v>1.1026574139593022</v>
      </c>
      <c r="G72" s="4">
        <v>1.6916388924458314</v>
      </c>
      <c r="H72" s="4">
        <v>12.730932444615172</v>
      </c>
      <c r="I72" s="4">
        <v>1.0131390893710808</v>
      </c>
      <c r="J72" s="3">
        <v>11.544153025039375</v>
      </c>
      <c r="K72" s="3">
        <v>-10.073901237970411</v>
      </c>
      <c r="L72" s="3">
        <v>-0.94376296810195259</v>
      </c>
      <c r="M72" s="3">
        <v>-0.19939440209756412</v>
      </c>
      <c r="N72" s="4">
        <f t="shared" si="21"/>
        <v>-8.175246517045659E-2</v>
      </c>
      <c r="O72" s="4">
        <f t="shared" si="22"/>
        <v>1.9793166260754023E-2</v>
      </c>
      <c r="P72" s="3">
        <v>311.21038437043711</v>
      </c>
      <c r="Q72" s="7">
        <v>-236.98816406094835</v>
      </c>
      <c r="R72" s="7">
        <v>74.222220309488762</v>
      </c>
      <c r="S72" s="4">
        <f t="shared" si="23"/>
        <v>1.3131895662536142</v>
      </c>
      <c r="T72" s="3">
        <v>2.9979925733607051</v>
      </c>
      <c r="U72" s="3">
        <v>27.083405383854309</v>
      </c>
      <c r="V72" s="7"/>
      <c r="W72">
        <v>48</v>
      </c>
      <c r="X72" s="13">
        <f t="shared" si="24"/>
        <v>237.36494379562851</v>
      </c>
      <c r="Y72" s="13">
        <f t="shared" si="25"/>
        <v>-207.99562247296441</v>
      </c>
      <c r="Z72" s="21">
        <f t="shared" si="26"/>
        <v>29.369321322664092</v>
      </c>
      <c r="AA72" s="224">
        <f t="shared" si="27"/>
        <v>207.99562247296441</v>
      </c>
      <c r="AB72" s="199">
        <f t="shared" si="28"/>
        <v>1.1412016319068521</v>
      </c>
      <c r="AC72" s="21">
        <f t="shared" si="30"/>
        <v>480.9041666666667</v>
      </c>
      <c r="AD72" s="4">
        <v>0.50880000000000003</v>
      </c>
      <c r="AE72" s="3">
        <v>1.95728338869229</v>
      </c>
      <c r="AF72" s="3">
        <f t="shared" si="20"/>
        <v>4.4769033457114933</v>
      </c>
      <c r="AH72">
        <v>228.74086</v>
      </c>
      <c r="AI72">
        <v>-223.37662</v>
      </c>
      <c r="AJ72" s="244">
        <f t="shared" si="29"/>
        <v>282.16530285714282</v>
      </c>
      <c r="AK72" s="244">
        <f t="shared" si="31"/>
        <v>256.7455172857143</v>
      </c>
      <c r="AL72" s="3">
        <f t="shared" si="32"/>
        <v>-256.7455172857143</v>
      </c>
    </row>
    <row r="73" spans="1:38">
      <c r="A73" s="2">
        <v>41446</v>
      </c>
      <c r="B73" s="4">
        <v>29.749102352822618</v>
      </c>
      <c r="C73" s="4">
        <v>24.935472021743113</v>
      </c>
      <c r="D73" s="4">
        <v>14.329835416147752</v>
      </c>
      <c r="E73" s="7">
        <v>222.72140763749169</v>
      </c>
      <c r="F73" s="4">
        <v>1.0781602280918385</v>
      </c>
      <c r="G73" s="4">
        <v>1.884830004853594</v>
      </c>
      <c r="H73" s="4">
        <v>12.605284458131019</v>
      </c>
      <c r="I73" s="4">
        <v>0.95136285588890701</v>
      </c>
      <c r="J73" s="3">
        <v>5.9643915975926438</v>
      </c>
      <c r="K73" s="3">
        <v>-2.8007465028906564</v>
      </c>
      <c r="L73" s="3">
        <v>-0.52753696180184184</v>
      </c>
      <c r="M73" s="3">
        <v>4.675205104377797E-2</v>
      </c>
      <c r="N73" s="4">
        <f t="shared" si="21"/>
        <v>-8.8447740757794491E-2</v>
      </c>
      <c r="O73" s="4">
        <f t="shared" si="22"/>
        <v>-1.6692710673931067E-2</v>
      </c>
      <c r="P73" s="3">
        <v>129.97369399382325</v>
      </c>
      <c r="Q73" s="7">
        <v>-68.339965294426491</v>
      </c>
      <c r="R73" s="7">
        <v>61.633728699396755</v>
      </c>
      <c r="S73" s="4">
        <f t="shared" si="23"/>
        <v>1.9018694761383399</v>
      </c>
      <c r="T73" s="3">
        <v>3.1531602624014763</v>
      </c>
      <c r="U73" s="3">
        <v>26.729989332175844</v>
      </c>
      <c r="V73" s="7"/>
      <c r="W73">
        <v>48</v>
      </c>
      <c r="X73" s="13">
        <f t="shared" si="24"/>
        <v>221.79196034996045</v>
      </c>
      <c r="Y73" s="13">
        <f t="shared" si="25"/>
        <v>-198.93404269222486</v>
      </c>
      <c r="Z73" s="21">
        <f t="shared" si="26"/>
        <v>22.857917657735616</v>
      </c>
      <c r="AA73" s="224">
        <f t="shared" si="27"/>
        <v>198.93404269222486</v>
      </c>
      <c r="AB73" s="199">
        <f t="shared" si="28"/>
        <v>1.1149019913756015</v>
      </c>
      <c r="AC73" s="21">
        <f t="shared" si="30"/>
        <v>476.86964285714288</v>
      </c>
      <c r="AD73" s="4">
        <v>0.5141</v>
      </c>
      <c r="AE73" s="3">
        <v>2.0079529733436901</v>
      </c>
      <c r="AF73" s="3">
        <f t="shared" si="20"/>
        <v>5.1492084168905068</v>
      </c>
      <c r="AH73">
        <v>199.23263600000001</v>
      </c>
      <c r="AI73">
        <v>-184.915988</v>
      </c>
      <c r="AJ73" s="244">
        <f t="shared" si="29"/>
        <v>243.83792328571431</v>
      </c>
      <c r="AK73" s="244">
        <f t="shared" si="31"/>
        <v>228.01775757142858</v>
      </c>
      <c r="AL73" s="3">
        <f t="shared" si="32"/>
        <v>-228.01775757142858</v>
      </c>
    </row>
    <row r="74" spans="1:38">
      <c r="A74" s="2">
        <v>41447</v>
      </c>
      <c r="B74" s="4">
        <v>29.671063145291061</v>
      </c>
      <c r="C74" s="4">
        <v>25.633562206149829</v>
      </c>
      <c r="D74" s="4">
        <v>14.874280910547698</v>
      </c>
      <c r="E74" s="7">
        <v>248.3353987415849</v>
      </c>
      <c r="F74" s="4">
        <v>1.2066557332705898</v>
      </c>
      <c r="G74" s="4">
        <v>1.7041527435689037</v>
      </c>
      <c r="H74" s="4">
        <v>12.460820733603896</v>
      </c>
      <c r="I74" s="4">
        <v>1.0342401991291339</v>
      </c>
      <c r="J74" s="3">
        <v>10.606465032091359</v>
      </c>
      <c r="K74" s="3">
        <v>-10.99673728097531</v>
      </c>
      <c r="L74" s="3">
        <v>-0.53839679975207633</v>
      </c>
      <c r="M74" s="3">
        <v>-0.14682916278431013</v>
      </c>
      <c r="N74" s="4">
        <f t="shared" si="21"/>
        <v>-5.0761191228470628E-2</v>
      </c>
      <c r="O74" s="4">
        <f t="shared" si="22"/>
        <v>1.3352066074937431E-2</v>
      </c>
      <c r="P74" s="3">
        <v>307.92677930047535</v>
      </c>
      <c r="Q74" s="7">
        <v>-260.39779483658401</v>
      </c>
      <c r="R74" s="7">
        <v>47.528984463891334</v>
      </c>
      <c r="S74" s="4">
        <f t="shared" si="23"/>
        <v>1.1825245274973191</v>
      </c>
      <c r="T74" s="3">
        <v>2.4789922660318564</v>
      </c>
      <c r="U74" s="3">
        <v>27.768955247746337</v>
      </c>
      <c r="V74" s="7"/>
      <c r="W74">
        <v>48</v>
      </c>
      <c r="X74" s="13">
        <f t="shared" si="24"/>
        <v>225.74004190300599</v>
      </c>
      <c r="Y74" s="13">
        <f t="shared" si="25"/>
        <v>-208.65348992246135</v>
      </c>
      <c r="Z74" s="21">
        <f t="shared" si="26"/>
        <v>17.086551980544694</v>
      </c>
      <c r="AA74" s="224">
        <f t="shared" si="27"/>
        <v>208.65348992246135</v>
      </c>
      <c r="AB74" s="199">
        <f t="shared" si="28"/>
        <v>1.0818896055220273</v>
      </c>
      <c r="AC74" s="21">
        <f t="shared" si="30"/>
        <v>476.86964285714288</v>
      </c>
      <c r="AD74" s="4">
        <v>0.57850000000000001</v>
      </c>
      <c r="AE74" s="3">
        <v>2.0637585291018898</v>
      </c>
      <c r="AF74" s="3">
        <f t="shared" si="20"/>
        <v>4.5204515476197846</v>
      </c>
      <c r="AH74">
        <v>332.86253499999998</v>
      </c>
      <c r="AI74">
        <v>-277.39478100000002</v>
      </c>
      <c r="AJ74" s="244">
        <f t="shared" si="29"/>
        <v>231.97239699999997</v>
      </c>
      <c r="AK74" s="244">
        <f t="shared" si="31"/>
        <v>219.86001471428571</v>
      </c>
      <c r="AL74" s="3">
        <f t="shared" si="32"/>
        <v>-219.86001471428571</v>
      </c>
    </row>
    <row r="75" spans="1:38">
      <c r="A75" s="2">
        <v>41448</v>
      </c>
      <c r="B75" s="4">
        <v>29.070553481890631</v>
      </c>
      <c r="C75" s="4">
        <v>23.915536470944307</v>
      </c>
      <c r="D75" s="4">
        <v>13.789798503914403</v>
      </c>
      <c r="E75" s="7">
        <v>218.79633351619245</v>
      </c>
      <c r="F75" s="4">
        <v>1.0407143360853344</v>
      </c>
      <c r="G75" s="4">
        <v>1.5331482924737696</v>
      </c>
      <c r="H75" s="4">
        <v>14.055737325968522</v>
      </c>
      <c r="I75" s="4">
        <v>1.0480382869249394</v>
      </c>
      <c r="J75" s="3">
        <v>-0.34632107130476847</v>
      </c>
      <c r="K75" s="3">
        <v>-0.53195027111462667</v>
      </c>
      <c r="L75" s="3">
        <v>-0.23222313865969782</v>
      </c>
      <c r="M75" s="3">
        <v>7.4762025379550498E-2</v>
      </c>
      <c r="N75" s="4">
        <f t="shared" si="21"/>
        <v>0.67054290917036774</v>
      </c>
      <c r="O75" s="4">
        <f t="shared" si="22"/>
        <v>-0.14054326022411312</v>
      </c>
      <c r="P75" s="3">
        <v>6.8966010938872762</v>
      </c>
      <c r="Q75" s="7">
        <v>-14.561095115860226</v>
      </c>
      <c r="R75" s="7">
        <v>-7.66449402197295</v>
      </c>
      <c r="S75" s="4">
        <f t="shared" si="23"/>
        <v>0.47363203378675583</v>
      </c>
      <c r="T75" s="3">
        <v>2.6547538253208969</v>
      </c>
      <c r="U75" s="3">
        <v>27.421042238550086</v>
      </c>
      <c r="V75" s="7"/>
      <c r="W75">
        <v>48</v>
      </c>
      <c r="X75" s="13">
        <f t="shared" si="24"/>
        <v>171.53879187414151</v>
      </c>
      <c r="Y75" s="13">
        <f t="shared" si="25"/>
        <v>-141.49350752900992</v>
      </c>
      <c r="Z75" s="21">
        <f t="shared" si="26"/>
        <v>30.045284345131613</v>
      </c>
      <c r="AA75" s="224">
        <f t="shared" si="27"/>
        <v>141.49350752900992</v>
      </c>
      <c r="AB75" s="199">
        <f t="shared" si="28"/>
        <v>1.2123439079985456</v>
      </c>
      <c r="AC75" s="21">
        <f t="shared" si="30"/>
        <v>362.99017857142854</v>
      </c>
      <c r="AD75" s="4">
        <v>0.62860000000000005</v>
      </c>
      <c r="AE75" s="3">
        <v>2.1128427663438298</v>
      </c>
      <c r="AF75" s="3">
        <f t="shared" si="20"/>
        <v>3.9253560578087177</v>
      </c>
      <c r="AH75">
        <v>110.527091</v>
      </c>
      <c r="AI75">
        <v>-112.21948500000001</v>
      </c>
      <c r="AJ75" s="244">
        <f t="shared" si="29"/>
        <v>186.25689871428571</v>
      </c>
      <c r="AK75" s="244">
        <f t="shared" si="31"/>
        <v>174.87414114285713</v>
      </c>
      <c r="AL75" s="3">
        <f t="shared" si="32"/>
        <v>-174.87414114285713</v>
      </c>
    </row>
    <row r="76" spans="1:38">
      <c r="A76" s="2">
        <v>41449</v>
      </c>
      <c r="B76" s="4">
        <v>29.468863494630202</v>
      </c>
      <c r="C76" s="4">
        <v>26.282397497981687</v>
      </c>
      <c r="D76" s="4">
        <v>15.426864280781805</v>
      </c>
      <c r="E76" s="7">
        <v>229.41657619088537</v>
      </c>
      <c r="F76" s="4">
        <v>1.1136881571088042</v>
      </c>
      <c r="G76" s="4">
        <v>1.6272648518072967</v>
      </c>
      <c r="H76" s="4">
        <v>11.702614184157669</v>
      </c>
      <c r="I76" s="4">
        <v>0.79910691482812879</v>
      </c>
      <c r="J76" s="3">
        <v>4.5609258811514382</v>
      </c>
      <c r="K76" s="3">
        <v>-7.5592487418306602</v>
      </c>
      <c r="L76" s="3">
        <v>-0.30268043197255812</v>
      </c>
      <c r="M76" s="3">
        <v>4.2756418779827852E-2</v>
      </c>
      <c r="N76" s="4">
        <f t="shared" si="21"/>
        <v>-6.636381293180417E-2</v>
      </c>
      <c r="O76" s="4">
        <f t="shared" si="22"/>
        <v>-5.6561730193142607E-3</v>
      </c>
      <c r="P76" s="3">
        <v>174.51856063227905</v>
      </c>
      <c r="Q76" s="7">
        <v>-182.44812385465167</v>
      </c>
      <c r="R76" s="7">
        <v>-7.9295632223726216</v>
      </c>
      <c r="S76" s="4">
        <f t="shared" si="23"/>
        <v>0.95653798430566628</v>
      </c>
      <c r="T76" s="3">
        <v>2.3557890343313019</v>
      </c>
      <c r="U76" s="3">
        <v>27.523124078764539</v>
      </c>
      <c r="V76" s="7"/>
      <c r="W76">
        <v>48</v>
      </c>
      <c r="X76" s="13">
        <f t="shared" si="24"/>
        <v>160.27611659684416</v>
      </c>
      <c r="Y76" s="13">
        <f t="shared" si="25"/>
        <v>-145.23972785284275</v>
      </c>
      <c r="Z76" s="21">
        <f t="shared" si="26"/>
        <v>15.036388744001455</v>
      </c>
      <c r="AA76" s="224">
        <f t="shared" si="27"/>
        <v>145.23972785284275</v>
      </c>
      <c r="AB76" s="199">
        <f t="shared" si="28"/>
        <v>1.1035280702208168</v>
      </c>
      <c r="AC76" s="21">
        <f t="shared" si="30"/>
        <v>362.99017857142854</v>
      </c>
      <c r="AD76" s="4">
        <v>0.5706</v>
      </c>
      <c r="AE76" s="3">
        <v>2.09601367683995</v>
      </c>
      <c r="AF76" s="3">
        <f t="shared" si="20"/>
        <v>4.2528816842893926</v>
      </c>
      <c r="AH76">
        <v>180.35910200000001</v>
      </c>
      <c r="AI76">
        <v>-201.59215399999999</v>
      </c>
      <c r="AJ76" s="244">
        <f t="shared" si="29"/>
        <v>189.65267499999999</v>
      </c>
      <c r="AK76" s="244">
        <f t="shared" si="31"/>
        <v>182.97258885714285</v>
      </c>
      <c r="AL76" s="3">
        <f t="shared" si="32"/>
        <v>-182.97258885714285</v>
      </c>
    </row>
    <row r="77" spans="1:38">
      <c r="A77" s="2">
        <v>41450</v>
      </c>
      <c r="B77" s="4">
        <v>29.892338866983149</v>
      </c>
      <c r="C77" s="4">
        <v>25.156352797208019</v>
      </c>
      <c r="D77" s="4">
        <v>14.447297425826328</v>
      </c>
      <c r="E77" s="7">
        <v>226.76093952593013</v>
      </c>
      <c r="F77" s="4">
        <v>1.1014446452312814</v>
      </c>
      <c r="G77" s="4">
        <v>1.5100255956117532</v>
      </c>
      <c r="H77" s="4">
        <v>12.16063594212403</v>
      </c>
      <c r="I77" s="4">
        <v>0.83324744137297102</v>
      </c>
      <c r="J77" s="3">
        <v>5.9030192763049838</v>
      </c>
      <c r="K77" s="3">
        <v>-5.4928042220267006</v>
      </c>
      <c r="L77" s="3">
        <v>-0.21563996766556923</v>
      </c>
      <c r="M77" s="3">
        <v>2.301624557952902E-2</v>
      </c>
      <c r="N77" s="4">
        <f t="shared" si="21"/>
        <v>-3.6530452904187334E-2</v>
      </c>
      <c r="O77" s="4">
        <f t="shared" si="22"/>
        <v>-4.1902541305279999E-3</v>
      </c>
      <c r="P77" s="3">
        <v>162.88271596207144</v>
      </c>
      <c r="Q77" s="7">
        <v>-132.37969122254952</v>
      </c>
      <c r="R77" s="7">
        <v>30.503024739521919</v>
      </c>
      <c r="S77" s="4">
        <f t="shared" si="23"/>
        <v>1.2304207273624916</v>
      </c>
      <c r="T77" s="3">
        <v>2.2268446586542305</v>
      </c>
      <c r="U77" s="3">
        <v>28.417758358078686</v>
      </c>
      <c r="V77" s="7"/>
      <c r="W77">
        <v>48</v>
      </c>
      <c r="X77" s="13">
        <f t="shared" si="24"/>
        <v>178.03429636432693</v>
      </c>
      <c r="Y77" s="13">
        <f t="shared" si="25"/>
        <v>-168.18884063150145</v>
      </c>
      <c r="Z77" s="21">
        <f t="shared" si="26"/>
        <v>9.8454557328254939</v>
      </c>
      <c r="AA77" s="224">
        <f t="shared" si="27"/>
        <v>168.18884063150145</v>
      </c>
      <c r="AB77" s="199">
        <f t="shared" si="28"/>
        <v>1.058538103335861</v>
      </c>
      <c r="AC77" s="21">
        <f t="shared" si="30"/>
        <v>362.99017857142854</v>
      </c>
      <c r="AD77" s="4">
        <v>0.53090000000000004</v>
      </c>
      <c r="AE77" s="3">
        <v>2.0845664533076298</v>
      </c>
      <c r="AF77" s="3">
        <f t="shared" si="20"/>
        <v>3.8448890727289013</v>
      </c>
      <c r="AH77">
        <v>148.74925400000001</v>
      </c>
      <c r="AI77">
        <v>-134.625282</v>
      </c>
      <c r="AJ77" s="244">
        <f t="shared" si="29"/>
        <v>203.54799314285717</v>
      </c>
      <c r="AK77" s="244">
        <f t="shared" si="31"/>
        <v>196.70155771428568</v>
      </c>
      <c r="AL77" s="3">
        <f t="shared" si="32"/>
        <v>-196.70155771428568</v>
      </c>
    </row>
    <row r="78" spans="1:38">
      <c r="A78" s="2">
        <v>41451</v>
      </c>
      <c r="B78" s="4">
        <v>30.120457564489616</v>
      </c>
      <c r="C78" s="4">
        <v>23.911182017299819</v>
      </c>
      <c r="D78" s="4">
        <v>13.442424077415742</v>
      </c>
      <c r="E78" s="7">
        <v>229.5390429049786</v>
      </c>
      <c r="F78" s="4">
        <v>1.1117004595774198</v>
      </c>
      <c r="G78" s="4">
        <v>1.3253618484917726</v>
      </c>
      <c r="H78" s="4">
        <v>13.189368975934622</v>
      </c>
      <c r="I78" s="4">
        <v>0.86736783534456352</v>
      </c>
      <c r="J78" s="3">
        <v>2.9484271050808815</v>
      </c>
      <c r="K78" s="3">
        <v>-4.0002826028799339</v>
      </c>
      <c r="L78" s="3">
        <v>-0.74785661495418243</v>
      </c>
      <c r="M78" s="3">
        <v>-2.7794339627890397E-2</v>
      </c>
      <c r="N78" s="4">
        <f t="shared" si="21"/>
        <v>-0.25364595708180726</v>
      </c>
      <c r="O78" s="4">
        <f t="shared" si="22"/>
        <v>6.9480940191276354E-3</v>
      </c>
      <c r="P78" s="3">
        <v>107.36280776601716</v>
      </c>
      <c r="Q78" s="7">
        <v>-95.33971831804908</v>
      </c>
      <c r="R78" s="7">
        <v>12.023089447968076</v>
      </c>
      <c r="S78" s="4">
        <f t="shared" si="23"/>
        <v>1.1261078767598156</v>
      </c>
      <c r="T78" s="3">
        <v>2.7704669949991003</v>
      </c>
      <c r="U78" s="3">
        <v>27.603013209006338</v>
      </c>
      <c r="V78" s="21">
        <f>AVERAGE(V70,V81)</f>
        <v>362.99017857142854</v>
      </c>
      <c r="W78">
        <v>48</v>
      </c>
      <c r="X78" s="13">
        <f t="shared" si="24"/>
        <v>166.10968575359038</v>
      </c>
      <c r="Y78" s="13">
        <f t="shared" si="25"/>
        <v>-161.62837078314791</v>
      </c>
      <c r="Z78" s="21">
        <f t="shared" si="26"/>
        <v>4.48131497044246</v>
      </c>
      <c r="AA78" s="224">
        <f t="shared" si="27"/>
        <v>161.62837078314791</v>
      </c>
      <c r="AB78" s="199">
        <f t="shared" si="28"/>
        <v>1.0277260418373884</v>
      </c>
      <c r="AC78" s="21">
        <f t="shared" si="30"/>
        <v>306.05044642857138</v>
      </c>
      <c r="AD78" s="4">
        <v>0.4103</v>
      </c>
      <c r="AE78" s="3">
        <v>2.1064440047851498</v>
      </c>
      <c r="AF78" s="3">
        <f t="shared" si="20"/>
        <v>3.202259232751369</v>
      </c>
      <c r="AH78">
        <v>103.326813</v>
      </c>
      <c r="AI78">
        <v>-89.994677999999993</v>
      </c>
      <c r="AJ78" s="244">
        <f t="shared" si="29"/>
        <v>192.09742585714289</v>
      </c>
      <c r="AK78" s="244">
        <f t="shared" si="31"/>
        <v>191.31003657142855</v>
      </c>
      <c r="AL78" s="3">
        <f t="shared" si="32"/>
        <v>-191.31003657142855</v>
      </c>
    </row>
    <row r="79" spans="1:38">
      <c r="A79" s="2">
        <v>41452</v>
      </c>
      <c r="B79" s="4">
        <v>30.205101582444019</v>
      </c>
      <c r="C79" s="4">
        <v>25.343592258876839</v>
      </c>
      <c r="D79" s="4">
        <v>14.482931329040083</v>
      </c>
      <c r="E79" s="7">
        <v>219.69822153460996</v>
      </c>
      <c r="F79" s="4">
        <v>1.0733985802031902</v>
      </c>
      <c r="G79" s="4">
        <v>1.5764359105659818</v>
      </c>
      <c r="H79" s="4">
        <v>11.76379731097258</v>
      </c>
      <c r="I79" s="4">
        <v>2.0187766562222653</v>
      </c>
      <c r="J79" s="3">
        <v>4.599317853050942</v>
      </c>
      <c r="K79" s="3">
        <v>-10.738125690130342</v>
      </c>
      <c r="L79" s="3">
        <v>-1.0315032472935999</v>
      </c>
      <c r="M79" s="3">
        <v>0.22902874019375172</v>
      </c>
      <c r="N79" s="4">
        <f t="shared" si="21"/>
        <v>-0.22427309445668245</v>
      </c>
      <c r="O79" s="4">
        <f t="shared" si="22"/>
        <v>-2.1328558335302155E-2</v>
      </c>
      <c r="P79" s="3">
        <v>232.37165742935585</v>
      </c>
      <c r="Q79" s="7">
        <v>-263.21170632777819</v>
      </c>
      <c r="R79" s="7">
        <v>-30.840048898422339</v>
      </c>
      <c r="S79" s="4">
        <f t="shared" si="23"/>
        <v>0.88283177321901807</v>
      </c>
      <c r="T79" s="3">
        <v>3.2746962279378526</v>
      </c>
      <c r="U79" s="3">
        <v>27.343456025784548</v>
      </c>
      <c r="V79" s="7"/>
      <c r="W79">
        <v>48</v>
      </c>
      <c r="X79" s="13">
        <f t="shared" si="24"/>
        <v>180.41160464049361</v>
      </c>
      <c r="Y79" s="13">
        <f t="shared" si="25"/>
        <v>-168.68993157442992</v>
      </c>
      <c r="Z79" s="21">
        <f t="shared" si="26"/>
        <v>11.72167306606371</v>
      </c>
      <c r="AA79" s="224">
        <f t="shared" si="27"/>
        <v>168.68993157442992</v>
      </c>
      <c r="AB79" s="199">
        <f t="shared" si="28"/>
        <v>1.0694865008045356</v>
      </c>
      <c r="AC79" s="21">
        <f t="shared" si="30"/>
        <v>306.05044642857138</v>
      </c>
      <c r="AD79" s="4">
        <v>0.24540000000000001</v>
      </c>
      <c r="AE79" s="3">
        <v>2.0694387938249998</v>
      </c>
      <c r="AF79" s="3">
        <f t="shared" si="20"/>
        <v>4.0759969687696165</v>
      </c>
      <c r="AH79">
        <v>252.51129399999999</v>
      </c>
      <c r="AI79">
        <v>-280.06575400000003</v>
      </c>
      <c r="AJ79" s="244">
        <f t="shared" si="29"/>
        <v>196.23239142857142</v>
      </c>
      <c r="AK79" s="244">
        <f t="shared" si="31"/>
        <v>187.71197542857149</v>
      </c>
      <c r="AL79" s="3">
        <f t="shared" si="32"/>
        <v>-187.71197542857149</v>
      </c>
    </row>
    <row r="80" spans="1:38">
      <c r="A80" s="2">
        <v>41453</v>
      </c>
      <c r="B80" s="4">
        <v>30.398766211386331</v>
      </c>
      <c r="C80" s="4">
        <v>27.397737953651184</v>
      </c>
      <c r="D80" s="4">
        <v>15.950313963816482</v>
      </c>
      <c r="E80" s="7">
        <v>215.40314327744443</v>
      </c>
      <c r="F80" s="4">
        <v>1.0686174004251776</v>
      </c>
      <c r="G80" s="4">
        <v>1.58879976641974</v>
      </c>
      <c r="H80" s="4">
        <v>10.064944360088587</v>
      </c>
      <c r="I80" s="4">
        <v>2.0530938998145785</v>
      </c>
      <c r="J80" s="3">
        <v>5.8630056508339283</v>
      </c>
      <c r="K80" s="3">
        <v>-8.0308024454179687</v>
      </c>
      <c r="L80" s="3">
        <v>-2.7589297371376973</v>
      </c>
      <c r="M80" s="3">
        <v>1.5101873356252518</v>
      </c>
      <c r="N80" s="4">
        <f t="shared" si="21"/>
        <v>-0.47056576463392613</v>
      </c>
      <c r="O80" s="4">
        <f t="shared" si="22"/>
        <v>-0.18804936939855865</v>
      </c>
      <c r="P80" s="3">
        <v>254.28095236620231</v>
      </c>
      <c r="Q80" s="7">
        <v>-228.98375474503729</v>
      </c>
      <c r="R80" s="7">
        <v>25.297197621165026</v>
      </c>
      <c r="S80" s="4">
        <f t="shared" si="23"/>
        <v>1.1104759490442118</v>
      </c>
      <c r="T80" s="3">
        <v>5.7801776925925941</v>
      </c>
      <c r="U80" s="3">
        <v>29.213280928497948</v>
      </c>
      <c r="V80" s="7"/>
      <c r="W80">
        <v>48</v>
      </c>
      <c r="X80" s="13">
        <f t="shared" si="24"/>
        <v>171.96307228807558</v>
      </c>
      <c r="Y80" s="13">
        <f t="shared" si="25"/>
        <v>-159.04307858035776</v>
      </c>
      <c r="Z80" s="21">
        <f t="shared" si="26"/>
        <v>12.91999370771787</v>
      </c>
      <c r="AA80" s="224">
        <f t="shared" si="27"/>
        <v>159.04307858035776</v>
      </c>
      <c r="AB80" s="199">
        <f t="shared" si="28"/>
        <v>1.0812358124795094</v>
      </c>
      <c r="AC80" s="21">
        <f t="shared" si="30"/>
        <v>306.05044642857138</v>
      </c>
      <c r="AD80" s="4">
        <v>0.1971</v>
      </c>
      <c r="AE80" s="3">
        <v>2.0425514035045498</v>
      </c>
      <c r="AF80" s="3">
        <f t="shared" si="20"/>
        <v>4.1190231871406953</v>
      </c>
      <c r="AH80">
        <v>296.499863</v>
      </c>
      <c r="AI80">
        <v>-281.01877000000002</v>
      </c>
      <c r="AJ80" s="244">
        <f t="shared" si="29"/>
        <v>199.33450985714282</v>
      </c>
      <c r="AK80" s="244">
        <f t="shared" si="31"/>
        <v>191.99690371428574</v>
      </c>
      <c r="AL80" s="3">
        <f t="shared" si="32"/>
        <v>-191.99690371428574</v>
      </c>
    </row>
    <row r="81" spans="1:38">
      <c r="A81" s="2">
        <v>41454</v>
      </c>
      <c r="B81" s="4">
        <v>29.539425650422103</v>
      </c>
      <c r="C81" s="4">
        <v>27.533929822414759</v>
      </c>
      <c r="D81" s="4">
        <v>16.339241892159571</v>
      </c>
      <c r="E81" s="7">
        <v>203.77366823674015</v>
      </c>
      <c r="F81" s="4">
        <v>0.99613873486962135</v>
      </c>
      <c r="G81" s="4">
        <v>1.9464682095849299</v>
      </c>
      <c r="H81" s="4">
        <v>10.226364432771385</v>
      </c>
      <c r="I81" s="4">
        <v>1.2476535909157562</v>
      </c>
      <c r="J81" s="3">
        <v>6.4457666488024676</v>
      </c>
      <c r="K81" s="3">
        <v>-8.7718409041941605</v>
      </c>
      <c r="L81" s="3">
        <v>-0.65026025010900423</v>
      </c>
      <c r="M81" s="3">
        <v>0.1645968415603975</v>
      </c>
      <c r="N81" s="4">
        <f t="shared" si="21"/>
        <v>-0.10088175472964313</v>
      </c>
      <c r="O81" s="4">
        <f t="shared" si="22"/>
        <v>-1.8764230149420209E-2</v>
      </c>
      <c r="P81" s="3">
        <v>224.45450502531963</v>
      </c>
      <c r="Q81" s="7">
        <v>-214.47450589810953</v>
      </c>
      <c r="R81" s="7">
        <v>9.9799991272101067</v>
      </c>
      <c r="S81" s="4">
        <f t="shared" si="23"/>
        <v>1.0465323329941663</v>
      </c>
      <c r="T81" s="3">
        <v>3.9260833333333331</v>
      </c>
      <c r="U81" s="3">
        <v>27.072812500000001</v>
      </c>
      <c r="V81" s="7">
        <v>249.11071428571424</v>
      </c>
      <c r="W81">
        <v>48</v>
      </c>
      <c r="X81" s="13"/>
      <c r="Y81" s="21"/>
      <c r="Z81" s="21"/>
      <c r="AA81" s="224"/>
      <c r="AB81" s="199"/>
      <c r="AC81" s="21">
        <f t="shared" si="30"/>
        <v>371.12529761904761</v>
      </c>
      <c r="AD81" s="4">
        <v>0.13420000000000001</v>
      </c>
      <c r="AE81" s="3">
        <v>2.0485212968295898</v>
      </c>
      <c r="AF81" s="3">
        <f t="shared" si="20"/>
        <v>5.363709369355556</v>
      </c>
      <c r="AH81">
        <v>252.708564</v>
      </c>
      <c r="AI81">
        <v>-239.654133</v>
      </c>
      <c r="AJ81" s="244">
        <f t="shared" si="29"/>
        <v>207.76538583333331</v>
      </c>
      <c r="AK81" s="244">
        <f t="shared" si="31"/>
        <v>201.55884066666667</v>
      </c>
      <c r="AL81" s="3">
        <f t="shared" si="32"/>
        <v>-201.55884066666667</v>
      </c>
    </row>
    <row r="82" spans="1:38">
      <c r="A82" s="2">
        <v>41455</v>
      </c>
      <c r="B82" s="4">
        <v>29.460799964689262</v>
      </c>
      <c r="C82" s="4">
        <v>27.791169668079096</v>
      </c>
      <c r="D82" s="4">
        <v>16.556763953108518</v>
      </c>
      <c r="E82" s="7">
        <v>208.22183417196322</v>
      </c>
      <c r="F82" s="4">
        <v>1.0183018382565263</v>
      </c>
      <c r="G82" s="4">
        <v>2.0000469632768354</v>
      </c>
      <c r="H82" s="4">
        <v>10.262653425141247</v>
      </c>
      <c r="I82" s="4">
        <v>0.86065466101694865</v>
      </c>
      <c r="J82" s="3">
        <v>4.7373684904917468</v>
      </c>
      <c r="K82" s="3">
        <v>-2.6410992032641309</v>
      </c>
      <c r="L82" s="3">
        <v>-0.23987112285770351</v>
      </c>
      <c r="M82" s="3">
        <v>2.5234990687292985E-2</v>
      </c>
      <c r="N82" s="4">
        <f t="shared" si="21"/>
        <v>-5.0633832546305574E-2</v>
      </c>
      <c r="O82" s="4">
        <f t="shared" si="22"/>
        <v>-9.5547303395893245E-3</v>
      </c>
      <c r="P82" s="3">
        <v>107.01003330220995</v>
      </c>
      <c r="Q82" s="7">
        <v>-63.99202065483415</v>
      </c>
      <c r="R82" s="7">
        <v>43.018012647375798</v>
      </c>
      <c r="S82" s="4">
        <f t="shared" si="23"/>
        <v>1.6722402606945352</v>
      </c>
      <c r="T82" s="3">
        <v>2.361196791769824</v>
      </c>
      <c r="U82" s="3">
        <v>26.533392101162622</v>
      </c>
      <c r="V82" s="7"/>
      <c r="W82">
        <v>48</v>
      </c>
      <c r="X82" s="13"/>
      <c r="Y82" s="21"/>
      <c r="Z82" s="21"/>
      <c r="AA82" s="224"/>
      <c r="AB82" s="199"/>
      <c r="AC82" s="21">
        <f t="shared" si="30"/>
        <v>344.99047619047616</v>
      </c>
      <c r="AD82" s="4">
        <v>0.27689999999999998</v>
      </c>
      <c r="AE82" s="3">
        <v>2.0577436440677999</v>
      </c>
      <c r="AF82" s="3">
        <f t="shared" si="20"/>
        <v>5.5501634322033873</v>
      </c>
      <c r="AH82">
        <v>139.47184999999999</v>
      </c>
      <c r="AI82">
        <v>-87.033056999999999</v>
      </c>
      <c r="AJ82" s="244"/>
      <c r="AK82" s="244"/>
      <c r="AL82" s="3"/>
    </row>
    <row r="83" spans="1:38">
      <c r="A83" s="2">
        <v>41456</v>
      </c>
      <c r="B83" s="4">
        <v>29.757969668079099</v>
      </c>
      <c r="C83" s="4">
        <v>23.167841101694908</v>
      </c>
      <c r="D83" s="4">
        <v>13.009627473138091</v>
      </c>
      <c r="E83" s="7">
        <v>214.95282706567798</v>
      </c>
      <c r="F83" s="4">
        <v>1.0289385421395782</v>
      </c>
      <c r="G83" s="4">
        <v>1.4023276836158196</v>
      </c>
      <c r="H83" s="4">
        <v>14.518574329096031</v>
      </c>
      <c r="I83" s="4">
        <v>1.2787023305084748</v>
      </c>
      <c r="J83" s="3">
        <v>2.4157159612870864</v>
      </c>
      <c r="K83" s="3">
        <v>-4.5116361013357977</v>
      </c>
      <c r="L83" s="3">
        <v>-1.0866390052709607</v>
      </c>
      <c r="M83" s="3">
        <v>0.27670360267030386</v>
      </c>
      <c r="N83" s="4">
        <f t="shared" si="21"/>
        <v>-0.44982068367508016</v>
      </c>
      <c r="O83" s="4">
        <f t="shared" si="22"/>
        <v>-6.1331099506978834E-2</v>
      </c>
      <c r="P83" s="3">
        <v>115.37883416535293</v>
      </c>
      <c r="Q83" s="7">
        <v>-114.92015289614642</v>
      </c>
      <c r="R83" s="7">
        <v>0.45868126920650809</v>
      </c>
      <c r="S83" s="4">
        <f t="shared" si="23"/>
        <v>1.0039913040284676</v>
      </c>
      <c r="T83" s="3">
        <v>3.8509657555986592</v>
      </c>
      <c r="U83" s="3">
        <v>27.433831926090917</v>
      </c>
      <c r="V83" s="7"/>
      <c r="W83">
        <v>48</v>
      </c>
      <c r="X83" s="13"/>
      <c r="Y83" s="21"/>
      <c r="Z83" s="21"/>
      <c r="AA83" s="224"/>
      <c r="AB83" s="199"/>
      <c r="AC83" s="21">
        <f t="shared" si="30"/>
        <v>307.15669642857142</v>
      </c>
      <c r="AD83" s="4">
        <v>0.29509999999999997</v>
      </c>
      <c r="AE83" s="3">
        <v>2.1230261299434998</v>
      </c>
      <c r="AF83" s="3">
        <f t="shared" si="20"/>
        <v>3.4701003389830518</v>
      </c>
      <c r="AH83">
        <v>202.07393099999999</v>
      </c>
      <c r="AI83">
        <v>-231.58665199999999</v>
      </c>
      <c r="AJ83" s="244"/>
      <c r="AK83" s="244"/>
      <c r="AL83" s="3"/>
    </row>
    <row r="84" spans="1:38">
      <c r="A84" s="2">
        <v>41457</v>
      </c>
      <c r="E84" s="7"/>
      <c r="H84" s="4"/>
      <c r="J84" s="3"/>
      <c r="K84" s="3"/>
      <c r="L84" s="3"/>
      <c r="M84" s="3"/>
      <c r="N84" s="3"/>
      <c r="O84" s="3"/>
      <c r="P84" s="7"/>
      <c r="Q84" s="7"/>
      <c r="R84" s="7"/>
      <c r="T84" s="3">
        <v>2.2753541666666668</v>
      </c>
      <c r="U84" s="3">
        <v>28.041875000000001</v>
      </c>
      <c r="V84" s="7">
        <v>501.27499999999998</v>
      </c>
      <c r="W84">
        <v>48</v>
      </c>
      <c r="X84" s="13"/>
      <c r="Y84" s="21"/>
      <c r="Z84" s="21"/>
      <c r="AA84" s="224"/>
      <c r="AB84" s="199"/>
      <c r="AC84" s="21">
        <f t="shared" si="30"/>
        <v>260.0492857142857</v>
      </c>
      <c r="AD84" s="4"/>
      <c r="AE84" s="3">
        <v>2.2892009685230001</v>
      </c>
      <c r="AF84" s="3"/>
      <c r="AH84" t="s">
        <v>214</v>
      </c>
      <c r="AI84" t="s">
        <v>214</v>
      </c>
      <c r="AJ84" s="244"/>
      <c r="AK84" s="244"/>
      <c r="AL84" s="3"/>
    </row>
    <row r="85" spans="1:38">
      <c r="A85" s="2">
        <v>41458</v>
      </c>
      <c r="E85" s="7"/>
      <c r="H85" s="4"/>
      <c r="J85" s="3"/>
      <c r="K85" s="3"/>
      <c r="L85" s="3"/>
      <c r="M85" s="3"/>
      <c r="N85" s="3"/>
      <c r="O85" s="3"/>
      <c r="P85" s="7"/>
      <c r="Q85" s="7"/>
      <c r="R85" s="7"/>
      <c r="T85" s="3">
        <v>4.6640000000000006</v>
      </c>
      <c r="U85" s="3">
        <v>25.272500000000001</v>
      </c>
      <c r="V85" s="7">
        <v>284.58571428571429</v>
      </c>
      <c r="W85">
        <v>48</v>
      </c>
      <c r="X85" s="13"/>
      <c r="Y85" s="21"/>
      <c r="Z85" s="21"/>
      <c r="AA85" s="224"/>
      <c r="AB85" s="199"/>
      <c r="AC85" s="21">
        <f t="shared" si="30"/>
        <v>236.98464285714286</v>
      </c>
      <c r="AD85" s="4"/>
      <c r="AE85" s="3"/>
      <c r="AF85" s="3"/>
      <c r="AH85" t="s">
        <v>214</v>
      </c>
      <c r="AI85" t="s">
        <v>214</v>
      </c>
      <c r="AJ85" s="244"/>
      <c r="AK85" s="244"/>
      <c r="AL85" s="3"/>
    </row>
    <row r="86" spans="1:38">
      <c r="A86" s="2">
        <v>41459</v>
      </c>
      <c r="E86" s="7"/>
      <c r="H86" s="4"/>
      <c r="J86" s="3"/>
      <c r="K86" s="3"/>
      <c r="L86" s="3"/>
      <c r="M86" s="3"/>
      <c r="N86" s="3"/>
      <c r="O86" s="3"/>
      <c r="P86" s="7"/>
      <c r="Q86" s="7"/>
      <c r="R86" s="7"/>
      <c r="T86" s="3">
        <v>4.0002500000000003</v>
      </c>
      <c r="U86" s="3">
        <v>25.936354166666664</v>
      </c>
      <c r="V86" s="7">
        <v>193.65535714285716</v>
      </c>
      <c r="W86">
        <v>48</v>
      </c>
      <c r="X86" s="13"/>
      <c r="Y86" s="21"/>
      <c r="Z86" s="21"/>
      <c r="AA86" s="224"/>
      <c r="AB86" s="199"/>
      <c r="AC86" s="21">
        <f t="shared" si="30"/>
        <v>253.11428571428573</v>
      </c>
      <c r="AD86" s="4"/>
      <c r="AE86" s="3"/>
      <c r="AF86" s="3"/>
      <c r="AH86" t="s">
        <v>214</v>
      </c>
      <c r="AI86" t="s">
        <v>214</v>
      </c>
      <c r="AJ86" s="244"/>
      <c r="AK86" s="244"/>
      <c r="AL86" s="3"/>
    </row>
    <row r="87" spans="1:38">
      <c r="A87" s="2">
        <v>41460</v>
      </c>
      <c r="E87" s="7"/>
      <c r="H87" s="4"/>
      <c r="J87" s="3"/>
      <c r="K87" s="3"/>
      <c r="L87" s="3"/>
      <c r="M87" s="3"/>
      <c r="N87" s="3"/>
      <c r="O87" s="3"/>
      <c r="P87" s="7"/>
      <c r="Q87" s="7"/>
      <c r="R87" s="7"/>
      <c r="T87" s="3">
        <v>3.0530312500000001</v>
      </c>
      <c r="U87" s="3">
        <v>25.220729166666668</v>
      </c>
      <c r="V87" s="7">
        <v>71.619642857142864</v>
      </c>
      <c r="W87">
        <v>48</v>
      </c>
      <c r="X87" s="13"/>
      <c r="Y87" s="21"/>
      <c r="Z87" s="21"/>
      <c r="AA87" s="224"/>
      <c r="AB87" s="199"/>
      <c r="AC87" s="21">
        <f t="shared" si="30"/>
        <v>249.51632653061225</v>
      </c>
      <c r="AD87" s="4"/>
      <c r="AE87" s="3"/>
      <c r="AF87" s="3"/>
      <c r="AH87" t="s">
        <v>214</v>
      </c>
      <c r="AI87" t="s">
        <v>214</v>
      </c>
      <c r="AJ87" s="244"/>
      <c r="AK87" s="244"/>
      <c r="AL87" s="3"/>
    </row>
    <row r="88" spans="1:38">
      <c r="A88" s="2">
        <v>41461</v>
      </c>
      <c r="E88" s="7"/>
      <c r="H88" s="4"/>
      <c r="J88" s="3"/>
      <c r="K88" s="3"/>
      <c r="L88" s="3"/>
      <c r="M88" s="3"/>
      <c r="N88" s="3"/>
      <c r="O88" s="3"/>
      <c r="P88" s="7"/>
      <c r="Q88" s="7"/>
      <c r="R88" s="7"/>
      <c r="T88" s="3">
        <v>2.9843541666666655</v>
      </c>
      <c r="U88" s="3">
        <v>25.153124999999999</v>
      </c>
      <c r="V88" s="7">
        <v>133.78749999999999</v>
      </c>
      <c r="W88">
        <v>48</v>
      </c>
      <c r="X88" s="13"/>
      <c r="Y88" s="21"/>
      <c r="Z88" s="21"/>
      <c r="AA88" s="224"/>
      <c r="AB88" s="199"/>
      <c r="AC88" s="21">
        <f t="shared" si="30"/>
        <v>253.56377551020407</v>
      </c>
      <c r="AD88" s="4"/>
      <c r="AE88" s="3"/>
      <c r="AF88" s="3"/>
      <c r="AH88" t="s">
        <v>214</v>
      </c>
      <c r="AI88" t="s">
        <v>214</v>
      </c>
      <c r="AJ88" s="244"/>
      <c r="AK88" s="244"/>
      <c r="AL88" s="3"/>
    </row>
    <row r="89" spans="1:38">
      <c r="A89" s="2">
        <v>41462</v>
      </c>
      <c r="E89" s="7"/>
      <c r="H89" s="4"/>
      <c r="J89" s="3"/>
      <c r="K89" s="3"/>
      <c r="L89" s="3"/>
      <c r="M89" s="3"/>
      <c r="N89" s="3"/>
      <c r="O89" s="3"/>
      <c r="P89" s="7"/>
      <c r="Q89" s="7"/>
      <c r="R89" s="7"/>
      <c r="T89" s="3">
        <v>2.1256145833333333</v>
      </c>
      <c r="U89" s="3">
        <v>26.970104166666658</v>
      </c>
      <c r="V89" s="7">
        <v>333.76249999999999</v>
      </c>
      <c r="W89">
        <v>48</v>
      </c>
      <c r="X89" s="13"/>
      <c r="Y89" s="21"/>
      <c r="Z89" s="21"/>
      <c r="AA89" s="224"/>
      <c r="AB89" s="199"/>
      <c r="AC89" s="21">
        <f t="shared" si="30"/>
        <v>266.65841836734694</v>
      </c>
      <c r="AD89" s="4"/>
      <c r="AE89" s="3"/>
      <c r="AF89" s="3"/>
      <c r="AH89" t="s">
        <v>214</v>
      </c>
      <c r="AI89" t="s">
        <v>214</v>
      </c>
      <c r="AJ89" s="244"/>
      <c r="AK89" s="244"/>
      <c r="AL89" s="3"/>
    </row>
    <row r="90" spans="1:38">
      <c r="A90" s="2">
        <v>41463</v>
      </c>
      <c r="E90" s="7"/>
      <c r="H90" s="4"/>
      <c r="J90" s="3"/>
      <c r="K90" s="3"/>
      <c r="L90" s="3"/>
      <c r="M90" s="3"/>
      <c r="N90" s="3"/>
      <c r="O90" s="3"/>
      <c r="P90" s="7"/>
      <c r="Q90" s="7"/>
      <c r="R90" s="7"/>
      <c r="T90" s="3">
        <v>1.782906249999999</v>
      </c>
      <c r="U90" s="3">
        <v>26.575833333333332</v>
      </c>
      <c r="V90" s="7">
        <v>227.92857142857139</v>
      </c>
      <c r="W90">
        <v>48</v>
      </c>
      <c r="X90" s="13"/>
      <c r="Y90" s="21"/>
      <c r="Z90" s="21"/>
      <c r="AA90" s="224"/>
      <c r="AB90" s="199"/>
      <c r="AC90" s="21">
        <f t="shared" si="30"/>
        <v>257.89489795918365</v>
      </c>
      <c r="AD90" s="4"/>
      <c r="AE90" s="3"/>
      <c r="AF90" s="3"/>
      <c r="AH90" t="s">
        <v>214</v>
      </c>
      <c r="AI90" t="s">
        <v>214</v>
      </c>
      <c r="AJ90" s="244"/>
      <c r="AK90" s="244"/>
      <c r="AL90" s="3"/>
    </row>
    <row r="91" spans="1:38">
      <c r="A91" s="2">
        <v>41464</v>
      </c>
      <c r="E91" s="7"/>
      <c r="H91" s="4"/>
      <c r="J91" s="3"/>
      <c r="K91" s="3"/>
      <c r="L91" s="3"/>
      <c r="M91" s="3"/>
      <c r="N91" s="3"/>
      <c r="O91" s="3"/>
      <c r="P91" s="7"/>
      <c r="Q91" s="7"/>
      <c r="R91" s="7"/>
      <c r="T91" s="3">
        <v>2.9096041666666661</v>
      </c>
      <c r="U91" s="3">
        <v>27.5628125</v>
      </c>
      <c r="V91" s="7">
        <v>529.60714285714289</v>
      </c>
      <c r="W91">
        <v>48</v>
      </c>
      <c r="X91" s="13"/>
      <c r="Y91" s="21"/>
      <c r="Z91" s="21"/>
      <c r="AA91" s="224"/>
      <c r="AB91" s="199"/>
      <c r="AC91" s="21">
        <f t="shared" si="30"/>
        <v>319.81301020408165</v>
      </c>
      <c r="AD91" s="4"/>
      <c r="AE91" s="3"/>
      <c r="AF91" s="3"/>
      <c r="AH91" t="s">
        <v>214</v>
      </c>
      <c r="AI91" t="s">
        <v>214</v>
      </c>
      <c r="AJ91" s="244"/>
      <c r="AK91" s="244"/>
      <c r="AL91" s="3"/>
    </row>
    <row r="92" spans="1:38">
      <c r="A92" s="2">
        <v>41465</v>
      </c>
      <c r="E92" s="7"/>
      <c r="H92" s="4"/>
      <c r="J92" s="3"/>
      <c r="K92" s="3">
        <v>-4.062627399858167</v>
      </c>
      <c r="L92" s="3"/>
      <c r="M92" s="3">
        <v>6.652079929925403E-2</v>
      </c>
      <c r="O92" s="4">
        <f t="shared" ref="O92:O155" si="33">M92/K92</f>
        <v>-1.6373837113779221E-2</v>
      </c>
      <c r="P92" s="7"/>
      <c r="Q92" s="7">
        <v>-99.099556779778084</v>
      </c>
      <c r="R92" s="7"/>
      <c r="T92" s="3">
        <v>3.32859375</v>
      </c>
      <c r="U92" s="3">
        <v>27.258749999999999</v>
      </c>
      <c r="V92" s="7">
        <v>376.24821428571431</v>
      </c>
      <c r="W92">
        <v>48</v>
      </c>
      <c r="X92" s="13"/>
      <c r="Y92" s="21"/>
      <c r="Z92" s="21"/>
      <c r="AA92" s="224"/>
      <c r="AB92" s="199"/>
      <c r="AC92" s="21">
        <f t="shared" si="30"/>
        <v>348.54770408163267</v>
      </c>
      <c r="AD92" s="4">
        <v>0.21290000000000001</v>
      </c>
      <c r="AE92" s="3">
        <v>1.7987217514124301</v>
      </c>
      <c r="AF92" s="3"/>
      <c r="AH92">
        <v>154.70112599999999</v>
      </c>
      <c r="AI92">
        <v>-100.532068</v>
      </c>
      <c r="AJ92" s="244"/>
      <c r="AK92" s="244"/>
      <c r="AL92" s="3"/>
    </row>
    <row r="93" spans="1:38">
      <c r="A93" s="2">
        <v>41466</v>
      </c>
      <c r="B93" s="4">
        <v>28.085914406779661</v>
      </c>
      <c r="C93" s="4">
        <v>18.88955632062147</v>
      </c>
      <c r="D93" s="4">
        <v>10.349692345284348</v>
      </c>
      <c r="E93" s="7">
        <v>208.33352092161007</v>
      </c>
      <c r="F93" s="4">
        <v>0.94747513656599169</v>
      </c>
      <c r="G93" s="4">
        <v>2.8325923375706221</v>
      </c>
      <c r="H93" s="4">
        <v>22.328271362994343</v>
      </c>
      <c r="I93" s="4">
        <v>1.4889187853107344</v>
      </c>
      <c r="J93" s="3">
        <v>1.0150053529473195</v>
      </c>
      <c r="K93" s="3">
        <v>-5.9058431287704627</v>
      </c>
      <c r="L93" s="3">
        <v>0.35166876480973358</v>
      </c>
      <c r="M93" s="3">
        <v>0.19832205088875532</v>
      </c>
      <c r="N93" s="4">
        <f t="shared" ref="N93:N155" si="34">L93/J93</f>
        <v>0.34646986224119525</v>
      </c>
      <c r="O93" s="4">
        <f t="shared" si="33"/>
        <v>-3.358064997064085E-2</v>
      </c>
      <c r="P93" s="7">
        <v>93.617107787856284</v>
      </c>
      <c r="Q93" s="7">
        <v>-146.4999643118212</v>
      </c>
      <c r="R93" s="7">
        <v>-52.882856523964918</v>
      </c>
      <c r="S93" s="4">
        <f t="shared" si="23"/>
        <v>0.63902478220810222</v>
      </c>
      <c r="T93" s="3">
        <v>3.8336145833333326</v>
      </c>
      <c r="U93" s="3">
        <v>25.549583333333334</v>
      </c>
      <c r="V93" s="7">
        <v>132.31071428571428</v>
      </c>
      <c r="W93">
        <v>48</v>
      </c>
      <c r="X93" s="13"/>
      <c r="Y93" s="21"/>
      <c r="Z93" s="21"/>
      <c r="AA93" s="224"/>
      <c r="AB93" s="199"/>
      <c r="AC93" s="21">
        <f t="shared" si="30"/>
        <v>359.65816326530609</v>
      </c>
      <c r="AD93" s="4">
        <v>0.36149999999999999</v>
      </c>
      <c r="AE93" s="3">
        <v>1.8996327683615799</v>
      </c>
      <c r="AF93" s="3">
        <f t="shared" ref="AF93:AF124" si="35">3.48*G93-1.41</f>
        <v>8.4474213347457656</v>
      </c>
      <c r="AH93">
        <v>99.110405999999998</v>
      </c>
      <c r="AI93">
        <v>-145.63238999999999</v>
      </c>
      <c r="AJ93" s="244"/>
      <c r="AK93" s="244"/>
      <c r="AL93" s="3"/>
    </row>
    <row r="94" spans="1:38">
      <c r="A94" s="2">
        <v>41467</v>
      </c>
      <c r="B94" s="4">
        <v>29.298775986540253</v>
      </c>
      <c r="C94" s="4">
        <v>19.86286725127864</v>
      </c>
      <c r="D94" s="4">
        <v>10.692468247169559</v>
      </c>
      <c r="E94" s="7">
        <v>229.28829835952362</v>
      </c>
      <c r="F94" s="4">
        <v>1.0717870542108108</v>
      </c>
      <c r="G94" s="4">
        <v>2.5649155449242644</v>
      </c>
      <c r="H94" s="4">
        <v>19.004191161396786</v>
      </c>
      <c r="I94" s="4">
        <v>1.2825337998760167</v>
      </c>
      <c r="J94" s="3">
        <v>8.8875802549493699</v>
      </c>
      <c r="K94" s="3">
        <v>-5.9172133743895658</v>
      </c>
      <c r="L94" s="3">
        <v>-0.61746630793040924</v>
      </c>
      <c r="M94" s="3">
        <v>-3.0083482945970928E-2</v>
      </c>
      <c r="N94" s="4">
        <f t="shared" si="34"/>
        <v>-6.9475187870911309E-2</v>
      </c>
      <c r="O94" s="4">
        <f t="shared" si="33"/>
        <v>5.0840625548803052E-3</v>
      </c>
      <c r="P94" s="7">
        <v>211.64242624694521</v>
      </c>
      <c r="Q94" s="7">
        <v>-141.29111739464628</v>
      </c>
      <c r="R94" s="7">
        <v>70.351308852298928</v>
      </c>
      <c r="S94" s="4">
        <f t="shared" si="23"/>
        <v>1.4979174214879882</v>
      </c>
      <c r="T94" s="3">
        <v>3.1514166666666665</v>
      </c>
      <c r="U94" s="3">
        <v>28.207708333333329</v>
      </c>
      <c r="V94" s="7">
        <v>505.04642857142863</v>
      </c>
      <c r="W94">
        <v>48</v>
      </c>
      <c r="X94" s="13"/>
      <c r="Y94" s="21"/>
      <c r="Z94" s="21"/>
      <c r="AA94" s="224"/>
      <c r="AB94" s="199"/>
      <c r="AC94" s="21">
        <f t="shared" si="30"/>
        <v>376.25459183673468</v>
      </c>
      <c r="AD94" s="4">
        <v>0.26200000000000001</v>
      </c>
      <c r="AE94" s="3">
        <v>1.9108596234521</v>
      </c>
      <c r="AF94" s="3">
        <f t="shared" si="35"/>
        <v>7.5159060963364404</v>
      </c>
      <c r="AH94">
        <v>416.105594</v>
      </c>
      <c r="AI94">
        <v>-430.20459</v>
      </c>
      <c r="AJ94" s="244"/>
      <c r="AK94" s="244"/>
      <c r="AL94" s="3"/>
    </row>
    <row r="95" spans="1:38">
      <c r="A95" s="2">
        <v>41468</v>
      </c>
      <c r="B95" s="4">
        <v>29.255679113700555</v>
      </c>
      <c r="C95" s="4">
        <v>16.574474752824852</v>
      </c>
      <c r="D95" s="4">
        <v>8.2597469181470551</v>
      </c>
      <c r="E95" s="7">
        <v>212.99495718573453</v>
      </c>
      <c r="F95" s="4">
        <v>0.97530961749648126</v>
      </c>
      <c r="G95" s="4">
        <v>2.3281403601694919</v>
      </c>
      <c r="H95" s="4">
        <v>27.250488877118645</v>
      </c>
      <c r="I95" s="4">
        <v>1.4025169491525424</v>
      </c>
      <c r="J95" s="3">
        <v>1.0481297151464586</v>
      </c>
      <c r="K95" s="3">
        <v>-0.70099332425128935</v>
      </c>
      <c r="L95" s="3">
        <v>-6.2324127223772181E-2</v>
      </c>
      <c r="M95" s="3">
        <v>0.38974496382635665</v>
      </c>
      <c r="N95" s="4">
        <f t="shared" si="34"/>
        <v>-5.9462227168193042E-2</v>
      </c>
      <c r="O95" s="4">
        <f t="shared" si="33"/>
        <v>-0.55598955131652927</v>
      </c>
      <c r="P95" s="7">
        <v>30.266391793658144</v>
      </c>
      <c r="Q95" s="7">
        <v>-26.177718913863515</v>
      </c>
      <c r="R95" s="7">
        <v>4.088672879794629</v>
      </c>
      <c r="S95" s="4">
        <f t="shared" si="23"/>
        <v>1.1561890435621303</v>
      </c>
      <c r="T95" s="3">
        <v>2.9256041666666661</v>
      </c>
      <c r="U95" s="3">
        <v>26.500833333333333</v>
      </c>
      <c r="V95" s="7">
        <v>334.93035714285719</v>
      </c>
      <c r="W95">
        <v>48</v>
      </c>
      <c r="X95" s="13"/>
      <c r="Y95" s="21"/>
      <c r="Z95" s="21"/>
      <c r="AA95" s="224"/>
      <c r="AB95" s="199"/>
      <c r="AC95" s="21">
        <f t="shared" si="30"/>
        <v>364.47678571428571</v>
      </c>
      <c r="AD95" s="4">
        <v>0.1988</v>
      </c>
      <c r="AE95" s="3">
        <v>1.90338276836158</v>
      </c>
      <c r="AF95" s="3">
        <f t="shared" si="35"/>
        <v>6.6919284533898313</v>
      </c>
      <c r="AH95">
        <v>104.78868799999999</v>
      </c>
      <c r="AI95">
        <v>-42.523170999999998</v>
      </c>
      <c r="AJ95" s="244"/>
      <c r="AK95" s="244"/>
      <c r="AL95" s="3"/>
    </row>
    <row r="96" spans="1:38">
      <c r="A96" s="2">
        <v>41469</v>
      </c>
      <c r="B96" s="4">
        <v>28.978771274717506</v>
      </c>
      <c r="C96" s="4">
        <v>14.355791313559328</v>
      </c>
      <c r="D96" s="4">
        <v>6.6956982153643549</v>
      </c>
      <c r="E96" s="7">
        <v>218.74199439442097</v>
      </c>
      <c r="F96" s="4">
        <v>0.9847546893478426</v>
      </c>
      <c r="G96" s="4">
        <v>2.4501110522598863</v>
      </c>
      <c r="H96" s="4">
        <v>35.201662782485869</v>
      </c>
      <c r="I96" s="4">
        <v>1.2046098163841805</v>
      </c>
      <c r="J96" s="3">
        <v>2.2262612891904872</v>
      </c>
      <c r="K96" s="3">
        <v>-6.4922059483625176</v>
      </c>
      <c r="L96" s="3">
        <v>0.24736110388808435</v>
      </c>
      <c r="M96" s="3">
        <v>0.10333371890058637</v>
      </c>
      <c r="N96" s="4">
        <f t="shared" si="34"/>
        <v>0.11111054443121084</v>
      </c>
      <c r="O96" s="4">
        <f t="shared" si="33"/>
        <v>-1.5916580546347193E-2</v>
      </c>
      <c r="P96" s="7">
        <v>117.89854797277505</v>
      </c>
      <c r="Q96" s="7">
        <v>-158.29295201431449</v>
      </c>
      <c r="R96" s="7">
        <v>-40.394404041539445</v>
      </c>
      <c r="S96" s="4">
        <f t="shared" si="23"/>
        <v>0.74481236512737115</v>
      </c>
      <c r="T96" s="3">
        <v>2.5588854166666661</v>
      </c>
      <c r="U96" s="3">
        <v>26.459479166666668</v>
      </c>
      <c r="V96" s="7">
        <v>411.53571428571422</v>
      </c>
      <c r="W96">
        <v>48</v>
      </c>
      <c r="X96" s="13">
        <f t="shared" ref="X96:X127" si="36">AVERAGE(P93:P99)</f>
        <v>136.38273691483897</v>
      </c>
      <c r="Y96" s="13">
        <f t="shared" ref="Y96:Y127" si="37">AVERAGE(Q93:Q99)</f>
        <v>-155.77418907354124</v>
      </c>
      <c r="Z96" s="21">
        <f t="shared" ref="Z96:Z127" si="38">AVERAGE(R93:R99)</f>
        <v>-19.391452158702236</v>
      </c>
      <c r="AA96" s="224">
        <f t="shared" ref="AA96:AA127" si="39">-Y96</f>
        <v>155.77418907354124</v>
      </c>
      <c r="AB96" s="199">
        <f t="shared" ref="AB96:AB127" si="40">X96/-Y96</f>
        <v>0.87551562762719615</v>
      </c>
      <c r="AC96" s="21">
        <f t="shared" si="30"/>
        <v>387.54438775510204</v>
      </c>
      <c r="AD96" s="4">
        <v>0.1968</v>
      </c>
      <c r="AE96" s="3">
        <v>1.97124293785311</v>
      </c>
      <c r="AF96" s="3">
        <f t="shared" si="35"/>
        <v>7.1163864618644048</v>
      </c>
      <c r="AH96">
        <v>123.118762</v>
      </c>
      <c r="AI96">
        <v>-145.93755300000001</v>
      </c>
      <c r="AJ96" s="244">
        <f t="shared" ref="AJ96:AJ127" si="41">AVERAGE(AH93:AH99)</f>
        <v>192.72681357142861</v>
      </c>
      <c r="AK96" s="244">
        <f>-AVERAGE(AI93:AI99)</f>
        <v>209.65961885714287</v>
      </c>
      <c r="AL96" s="3">
        <f t="shared" si="32"/>
        <v>-209.65961885714287</v>
      </c>
    </row>
    <row r="97" spans="1:38">
      <c r="A97" s="2">
        <v>41470</v>
      </c>
      <c r="B97" s="4">
        <v>29.06420280720339</v>
      </c>
      <c r="C97" s="4">
        <v>15.773650600282481</v>
      </c>
      <c r="D97" s="4">
        <v>7.7235626056222086</v>
      </c>
      <c r="E97" s="7">
        <v>209.99815170374299</v>
      </c>
      <c r="F97" s="4">
        <v>0.95506030455640956</v>
      </c>
      <c r="G97" s="4">
        <v>3.5391712570621467</v>
      </c>
      <c r="H97" s="4">
        <v>34.118075741525409</v>
      </c>
      <c r="I97" s="4">
        <v>1.4619856991525426</v>
      </c>
      <c r="J97" s="3">
        <v>4.5956863912569892</v>
      </c>
      <c r="K97" s="3">
        <v>-5.3356323434358099</v>
      </c>
      <c r="L97" s="3">
        <v>0.92198851750696575</v>
      </c>
      <c r="M97" s="3">
        <v>1.0953730995369155</v>
      </c>
      <c r="N97" s="4">
        <f t="shared" si="34"/>
        <v>0.2006204164107003</v>
      </c>
      <c r="O97" s="4">
        <f t="shared" si="33"/>
        <v>-0.20529396124613122</v>
      </c>
      <c r="P97" s="7">
        <v>138.93967060493708</v>
      </c>
      <c r="Q97" s="7">
        <v>-154.34413063134548</v>
      </c>
      <c r="R97" s="7">
        <v>-15.404460026408401</v>
      </c>
      <c r="S97" s="4">
        <f t="shared" si="23"/>
        <v>0.90019406657450218</v>
      </c>
      <c r="T97" s="3">
        <v>5.5065729166666655</v>
      </c>
      <c r="U97" s="3">
        <v>26.761145833333341</v>
      </c>
      <c r="V97" s="7">
        <v>344.10357142857134</v>
      </c>
      <c r="W97">
        <v>48</v>
      </c>
      <c r="X97" s="13">
        <f t="shared" si="36"/>
        <v>159.45922073925311</v>
      </c>
      <c r="Y97" s="13">
        <f t="shared" si="37"/>
        <v>-157.82003717874525</v>
      </c>
      <c r="Z97" s="21">
        <f t="shared" si="38"/>
        <v>1.6391835605078557</v>
      </c>
      <c r="AA97" s="224">
        <f t="shared" si="39"/>
        <v>157.82003717874525</v>
      </c>
      <c r="AB97" s="199">
        <f t="shared" si="40"/>
        <v>1.0103864096714876</v>
      </c>
      <c r="AC97" s="21">
        <f t="shared" si="30"/>
        <v>441.40663265306119</v>
      </c>
      <c r="AD97" s="4">
        <v>0.19320000000000001</v>
      </c>
      <c r="AE97" s="3">
        <v>2.02437146892655</v>
      </c>
      <c r="AF97" s="3">
        <f t="shared" si="35"/>
        <v>10.90631597457627</v>
      </c>
      <c r="AH97">
        <v>196.09535199999999</v>
      </c>
      <c r="AI97">
        <v>-240.76809399999999</v>
      </c>
      <c r="AJ97" s="244">
        <f t="shared" si="41"/>
        <v>234.39379728571427</v>
      </c>
      <c r="AK97" s="244">
        <f t="shared" ref="AK97:AK160" si="42">-AVERAGE(AI94:AI100)</f>
        <v>249.64324414285716</v>
      </c>
      <c r="AL97" s="3">
        <f t="shared" si="32"/>
        <v>-249.64324414285716</v>
      </c>
    </row>
    <row r="98" spans="1:38">
      <c r="A98" s="2">
        <v>41471</v>
      </c>
      <c r="B98" s="4">
        <v>28.914040766242945</v>
      </c>
      <c r="C98" s="4">
        <v>16.468085275423725</v>
      </c>
      <c r="D98" s="4">
        <v>8.2879508727196409</v>
      </c>
      <c r="E98" s="7">
        <v>218.11744681320613</v>
      </c>
      <c r="F98" s="4">
        <v>0.992602212338623</v>
      </c>
      <c r="G98" s="4">
        <v>3.2537784251412432</v>
      </c>
      <c r="H98" s="4">
        <v>34.049662782485875</v>
      </c>
      <c r="I98" s="4">
        <v>1.3512528248587568</v>
      </c>
      <c r="J98" s="3">
        <v>2.4993105218782463</v>
      </c>
      <c r="K98" s="3">
        <v>-2.9497352045029905</v>
      </c>
      <c r="L98" s="3">
        <v>0.17515062204203599</v>
      </c>
      <c r="M98" s="3">
        <v>0.34533368655660895</v>
      </c>
      <c r="N98" s="4">
        <f t="shared" si="34"/>
        <v>7.0079576150629444E-2</v>
      </c>
      <c r="O98" s="4">
        <f t="shared" si="33"/>
        <v>-0.11707277522044397</v>
      </c>
      <c r="P98" s="7">
        <v>77.264395874816913</v>
      </c>
      <c r="Q98" s="7">
        <v>-79.081653385430343</v>
      </c>
      <c r="R98" s="7">
        <v>-1.8172575106134303</v>
      </c>
      <c r="S98" s="4">
        <f t="shared" si="23"/>
        <v>0.9770204916966464</v>
      </c>
      <c r="T98" s="3">
        <v>5.7390833333333333</v>
      </c>
      <c r="U98" s="3">
        <v>27.196145833333343</v>
      </c>
      <c r="V98" s="7">
        <v>447.16250000000002</v>
      </c>
      <c r="W98">
        <v>48</v>
      </c>
      <c r="X98" s="13">
        <f t="shared" si="36"/>
        <v>130.35525815750432</v>
      </c>
      <c r="Y98" s="13">
        <f t="shared" si="37"/>
        <v>-142.39221657725375</v>
      </c>
      <c r="Z98" s="21">
        <f t="shared" si="38"/>
        <v>-12.036958419749411</v>
      </c>
      <c r="AA98" s="224">
        <f t="shared" si="39"/>
        <v>142.39221657725375</v>
      </c>
      <c r="AB98" s="199">
        <f t="shared" si="40"/>
        <v>0.91546617709108513</v>
      </c>
      <c r="AC98" s="21">
        <f t="shared" si="30"/>
        <v>413.08494897959184</v>
      </c>
      <c r="AD98" s="4">
        <v>0.2273</v>
      </c>
      <c r="AE98" s="3">
        <v>2.0815889830508501</v>
      </c>
      <c r="AF98" s="3">
        <f t="shared" si="35"/>
        <v>9.9131489194915261</v>
      </c>
      <c r="AH98">
        <v>100.81788299999999</v>
      </c>
      <c r="AI98">
        <v>-82.270595</v>
      </c>
      <c r="AJ98" s="244">
        <f t="shared" si="41"/>
        <v>188.17767842857143</v>
      </c>
      <c r="AK98" s="244">
        <f t="shared" si="42"/>
        <v>192.52531042857143</v>
      </c>
      <c r="AL98" s="3">
        <f t="shared" si="32"/>
        <v>-192.52531042857143</v>
      </c>
    </row>
    <row r="99" spans="1:38">
      <c r="A99" s="2">
        <v>41472</v>
      </c>
      <c r="B99" s="4">
        <v>29.437872960179437</v>
      </c>
      <c r="C99" s="4">
        <v>15.369906491585203</v>
      </c>
      <c r="D99" s="4">
        <v>7.3051857267464406</v>
      </c>
      <c r="E99" s="7">
        <v>227.71964066080341</v>
      </c>
      <c r="F99" s="4">
        <v>1.0397173620205533</v>
      </c>
      <c r="G99" s="4">
        <v>2.8251149173222516</v>
      </c>
      <c r="H99" s="4">
        <v>37.346576998925897</v>
      </c>
      <c r="I99" s="4">
        <v>1.2433881574115684</v>
      </c>
      <c r="J99" s="3">
        <v>4.5458499954634766</v>
      </c>
      <c r="K99" s="3">
        <v>-15.767909803217474</v>
      </c>
      <c r="L99" s="3">
        <v>-0.15461293053033853</v>
      </c>
      <c r="M99" s="3">
        <v>0.26258131608949004</v>
      </c>
      <c r="N99" s="4">
        <f t="shared" si="34"/>
        <v>-3.4011885716562197E-2</v>
      </c>
      <c r="O99" s="4">
        <f t="shared" si="33"/>
        <v>-1.6652893082627209E-2</v>
      </c>
      <c r="P99" s="7">
        <v>285.05061812288415</v>
      </c>
      <c r="Q99" s="7">
        <v>-384.73178686336718</v>
      </c>
      <c r="R99" s="7">
        <v>-99.681168740483031</v>
      </c>
      <c r="S99" s="4">
        <f t="shared" si="23"/>
        <v>0.74090737458123368</v>
      </c>
      <c r="T99" s="3">
        <v>3.428947916666667</v>
      </c>
      <c r="U99" s="3">
        <v>28.168958333333332</v>
      </c>
      <c r="V99" s="7">
        <v>537.72142857142865</v>
      </c>
      <c r="W99">
        <v>48</v>
      </c>
      <c r="X99" s="13">
        <f t="shared" si="36"/>
        <v>131.60375168082768</v>
      </c>
      <c r="Y99" s="13">
        <f t="shared" si="37"/>
        <v>-148.02459307407199</v>
      </c>
      <c r="Z99" s="21">
        <f t="shared" si="38"/>
        <v>-16.420841393244299</v>
      </c>
      <c r="AA99" s="224">
        <f t="shared" si="39"/>
        <v>148.02459307407199</v>
      </c>
      <c r="AB99" s="199">
        <f t="shared" si="40"/>
        <v>0.88906680266955873</v>
      </c>
      <c r="AC99" s="21">
        <f t="shared" si="30"/>
        <v>413.10408163265305</v>
      </c>
      <c r="AD99" s="4">
        <v>0.373</v>
      </c>
      <c r="AE99" s="3">
        <v>2.0430649621260302</v>
      </c>
      <c r="AF99" s="3">
        <f t="shared" si="35"/>
        <v>8.4213999122814354</v>
      </c>
      <c r="AH99">
        <v>309.05101000000002</v>
      </c>
      <c r="AI99">
        <v>-380.28093899999999</v>
      </c>
      <c r="AJ99" s="244">
        <f t="shared" si="41"/>
        <v>183.84437814285712</v>
      </c>
      <c r="AK99" s="244">
        <f t="shared" si="42"/>
        <v>201.38368328571428</v>
      </c>
      <c r="AL99" s="3">
        <f t="shared" si="32"/>
        <v>-201.38368328571428</v>
      </c>
    </row>
    <row r="100" spans="1:38">
      <c r="A100" s="2">
        <v>41473</v>
      </c>
      <c r="B100" s="4">
        <v>30.235559447971749</v>
      </c>
      <c r="C100" s="4">
        <v>16.791984096152792</v>
      </c>
      <c r="D100" s="4">
        <v>8.1077488033833038</v>
      </c>
      <c r="E100" s="7">
        <v>224.56020493499372</v>
      </c>
      <c r="F100" s="4">
        <v>1.0479579043287348</v>
      </c>
      <c r="G100" s="4">
        <v>3.2337569882407036</v>
      </c>
      <c r="H100" s="4">
        <v>31.747100910688477</v>
      </c>
      <c r="I100" s="4">
        <v>1.4539471035570106</v>
      </c>
      <c r="J100" s="3">
        <v>11.853219849905553</v>
      </c>
      <c r="K100" s="3">
        <v>-6.5774908633474585</v>
      </c>
      <c r="L100" s="3">
        <v>-2.4543319027151666E-3</v>
      </c>
      <c r="M100" s="3">
        <v>0.12338001366293272</v>
      </c>
      <c r="N100" s="4">
        <f t="shared" si="34"/>
        <v>-2.0706035438419063E-4</v>
      </c>
      <c r="O100" s="4">
        <f t="shared" si="33"/>
        <v>-1.8757914868488525E-2</v>
      </c>
      <c r="P100" s="7">
        <v>255.15249455875511</v>
      </c>
      <c r="Q100" s="7">
        <v>-160.82090104824937</v>
      </c>
      <c r="R100" s="7">
        <v>94.331593510505741</v>
      </c>
      <c r="S100" s="4">
        <f t="shared" si="23"/>
        <v>1.5865630206996817</v>
      </c>
      <c r="T100" s="3">
        <v>2.6367083333333343</v>
      </c>
      <c r="U100" s="3">
        <v>27.644583333333333</v>
      </c>
      <c r="V100" s="7">
        <v>509.34642857142853</v>
      </c>
      <c r="W100">
        <v>48</v>
      </c>
      <c r="X100" s="13">
        <f t="shared" si="36"/>
        <v>123.81872625175495</v>
      </c>
      <c r="Y100" s="13">
        <f t="shared" si="37"/>
        <v>-138.65630334770734</v>
      </c>
      <c r="Z100" s="21">
        <f t="shared" si="38"/>
        <v>-14.837577095952396</v>
      </c>
      <c r="AA100" s="224">
        <f t="shared" si="39"/>
        <v>138.65630334770734</v>
      </c>
      <c r="AB100" s="199">
        <f t="shared" si="40"/>
        <v>0.89299024467178889</v>
      </c>
      <c r="AC100" s="21">
        <f t="shared" si="30"/>
        <v>387.01454081632659</v>
      </c>
      <c r="AD100" s="4">
        <v>0.4546</v>
      </c>
      <c r="AE100" s="3">
        <v>2.0264331415170398</v>
      </c>
      <c r="AF100" s="3">
        <f t="shared" si="35"/>
        <v>9.8434743190776484</v>
      </c>
      <c r="AH100">
        <v>390.779292</v>
      </c>
      <c r="AI100">
        <v>-425.51776699999999</v>
      </c>
      <c r="AJ100" s="244">
        <f t="shared" si="41"/>
        <v>165.36005971428571</v>
      </c>
      <c r="AK100" s="244">
        <f t="shared" si="42"/>
        <v>183.44072128571429</v>
      </c>
      <c r="AL100" s="3">
        <f t="shared" si="32"/>
        <v>-183.44072128571429</v>
      </c>
    </row>
    <row r="101" spans="1:38">
      <c r="A101" s="2">
        <v>41474</v>
      </c>
      <c r="B101" s="4">
        <v>29.469419879943501</v>
      </c>
      <c r="C101" s="4">
        <v>18.179437676553679</v>
      </c>
      <c r="D101" s="4">
        <v>9.3854863147398486</v>
      </c>
      <c r="E101" s="7">
        <v>198.35368666137003</v>
      </c>
      <c r="F101" s="4">
        <v>0.91953484443698796</v>
      </c>
      <c r="G101" s="4">
        <v>3.5953998940677967</v>
      </c>
      <c r="H101" s="4">
        <v>32.42105826271186</v>
      </c>
      <c r="I101" s="4">
        <v>1.6218241525423729</v>
      </c>
      <c r="J101" s="3">
        <v>-0.26950826168591002</v>
      </c>
      <c r="K101" s="3">
        <v>-1.2171356578569346</v>
      </c>
      <c r="L101" s="3">
        <v>0.54222693555632118</v>
      </c>
      <c r="M101" s="3">
        <v>0.17021322481830503</v>
      </c>
      <c r="N101" s="4">
        <f t="shared" si="34"/>
        <v>-2.011912110465254</v>
      </c>
      <c r="O101" s="4">
        <f t="shared" si="33"/>
        <v>-0.1398473733963288</v>
      </c>
      <c r="P101" s="7">
        <v>7.9146881747038291</v>
      </c>
      <c r="Q101" s="7">
        <v>-33.296373184205763</v>
      </c>
      <c r="R101" s="7">
        <v>-25.381685009501933</v>
      </c>
      <c r="S101" s="4">
        <f t="shared" si="23"/>
        <v>0.23770421273564371</v>
      </c>
      <c r="T101" s="3">
        <v>3.2115937499999991</v>
      </c>
      <c r="U101" s="3">
        <v>26.71125</v>
      </c>
      <c r="V101" s="7">
        <v>306.79464285714295</v>
      </c>
      <c r="W101">
        <v>48</v>
      </c>
      <c r="X101" s="13">
        <f t="shared" si="36"/>
        <v>111.85499212622832</v>
      </c>
      <c r="Y101" s="13">
        <f t="shared" si="37"/>
        <v>-127.04385928933904</v>
      </c>
      <c r="Z101" s="21">
        <f t="shared" si="38"/>
        <v>-15.188867163110745</v>
      </c>
      <c r="AA101" s="224">
        <f t="shared" si="39"/>
        <v>127.04385928933904</v>
      </c>
      <c r="AB101" s="199">
        <f t="shared" si="40"/>
        <v>0.88044390930758432</v>
      </c>
      <c r="AC101" s="21">
        <f t="shared" si="30"/>
        <v>362.44770408163265</v>
      </c>
      <c r="AD101" s="4">
        <v>0.53139999999999998</v>
      </c>
      <c r="AE101" s="3">
        <v>2.0392943618125199</v>
      </c>
      <c r="AF101" s="3">
        <f t="shared" si="35"/>
        <v>11.101991631355933</v>
      </c>
      <c r="AH101">
        <v>92.592761999999993</v>
      </c>
      <c r="AI101">
        <v>-30.379054</v>
      </c>
      <c r="AJ101" s="244">
        <f t="shared" si="41"/>
        <v>146.51052985714287</v>
      </c>
      <c r="AK101" s="244">
        <f t="shared" si="42"/>
        <v>159.68705600000001</v>
      </c>
      <c r="AL101" s="3">
        <f t="shared" si="32"/>
        <v>-159.68705600000001</v>
      </c>
    </row>
    <row r="102" spans="1:38">
      <c r="A102" s="2">
        <v>41475</v>
      </c>
      <c r="B102" s="4">
        <v>28.85401980932204</v>
      </c>
      <c r="C102" s="4">
        <v>18.320598870056497</v>
      </c>
      <c r="D102" s="4">
        <v>9.6863374936945643</v>
      </c>
      <c r="E102" s="7">
        <v>196.70790850105934</v>
      </c>
      <c r="F102" s="4">
        <v>0.90332908968273262</v>
      </c>
      <c r="G102" s="4">
        <v>3.135581038135594</v>
      </c>
      <c r="H102" s="4">
        <v>33.427006002824875</v>
      </c>
      <c r="I102" s="4">
        <v>3.019507944915254</v>
      </c>
      <c r="J102" s="3">
        <v>0.51288310249901703</v>
      </c>
      <c r="K102" s="3">
        <v>-1.5880923719836191</v>
      </c>
      <c r="L102" s="3">
        <v>0.40960903558464085</v>
      </c>
      <c r="M102" s="3">
        <v>1.14542239433268</v>
      </c>
      <c r="N102" s="4">
        <f t="shared" si="34"/>
        <v>0.79864014546165685</v>
      </c>
      <c r="O102" s="4">
        <f t="shared" si="33"/>
        <v>-0.72125678237594026</v>
      </c>
      <c r="P102" s="7">
        <v>39.005846456921581</v>
      </c>
      <c r="Q102" s="7">
        <v>-65.604354391591187</v>
      </c>
      <c r="R102" s="7">
        <v>-26.598507934669605</v>
      </c>
      <c r="S102" s="4">
        <f t="shared" si="23"/>
        <v>0.59456185216146473</v>
      </c>
      <c r="T102" s="3">
        <v>5.4990520833333356</v>
      </c>
      <c r="U102" s="3">
        <v>27.633749999999999</v>
      </c>
      <c r="V102" s="7">
        <v>335.06428571428563</v>
      </c>
      <c r="W102">
        <v>48</v>
      </c>
      <c r="X102" s="13">
        <f t="shared" si="36"/>
        <v>119.46308506692834</v>
      </c>
      <c r="Y102" s="13">
        <f t="shared" si="37"/>
        <v>-133.75757960337631</v>
      </c>
      <c r="Z102" s="21">
        <f t="shared" si="38"/>
        <v>-14.294494536447997</v>
      </c>
      <c r="AA102" s="224">
        <f t="shared" si="39"/>
        <v>133.75757960337631</v>
      </c>
      <c r="AB102" s="199">
        <f t="shared" si="40"/>
        <v>0.89313133073404427</v>
      </c>
      <c r="AC102" s="21">
        <f t="shared" si="30"/>
        <v>363.60663265306124</v>
      </c>
      <c r="AD102" s="4">
        <v>0.56679999999999997</v>
      </c>
      <c r="AE102" s="3">
        <v>2.03819209039548</v>
      </c>
      <c r="AF102" s="3">
        <f t="shared" si="35"/>
        <v>9.501822012711866</v>
      </c>
      <c r="AH102">
        <v>74.455585999999997</v>
      </c>
      <c r="AI102">
        <v>-104.531781</v>
      </c>
      <c r="AJ102" s="244">
        <f t="shared" si="41"/>
        <v>160.09589414285716</v>
      </c>
      <c r="AK102" s="244">
        <f t="shared" si="42"/>
        <v>177.37964571428574</v>
      </c>
      <c r="AL102" s="3">
        <f t="shared" si="32"/>
        <v>-177.37964571428574</v>
      </c>
    </row>
    <row r="103" spans="1:38">
      <c r="A103" s="2">
        <v>41476</v>
      </c>
      <c r="B103" s="4">
        <v>28.38844171963278</v>
      </c>
      <c r="C103" s="4">
        <v>19.001247175141241</v>
      </c>
      <c r="D103" s="4">
        <v>10.338846937856259</v>
      </c>
      <c r="E103" s="7">
        <v>198.99116128177968</v>
      </c>
      <c r="F103" s="4">
        <v>0.91028374052934247</v>
      </c>
      <c r="G103" s="4">
        <v>2.7294493290960453</v>
      </c>
      <c r="H103" s="4">
        <v>31.584325035310737</v>
      </c>
      <c r="I103" s="4">
        <v>2.4677138064971751</v>
      </c>
      <c r="J103" s="3">
        <v>1.1526048851564623</v>
      </c>
      <c r="K103" s="3">
        <v>-2.6692144877998718</v>
      </c>
      <c r="L103" s="3">
        <v>0.37645574220221362</v>
      </c>
      <c r="M103" s="3">
        <v>1.1939073426068756</v>
      </c>
      <c r="N103" s="4">
        <f t="shared" si="34"/>
        <v>0.32661300246971536</v>
      </c>
      <c r="O103" s="4">
        <f t="shared" si="33"/>
        <v>-0.4472878998910898</v>
      </c>
      <c r="P103" s="7">
        <v>63.403369969265874</v>
      </c>
      <c r="Q103" s="7">
        <v>-92.714923929761966</v>
      </c>
      <c r="R103" s="7">
        <v>-29.311553960496092</v>
      </c>
      <c r="S103" s="4">
        <f t="shared" si="23"/>
        <v>0.68385290395425835</v>
      </c>
      <c r="T103" s="3">
        <v>5.6922500000000014</v>
      </c>
      <c r="U103" s="3">
        <v>27.225937500000001</v>
      </c>
      <c r="V103" s="7">
        <v>228.90892857142859</v>
      </c>
      <c r="W103">
        <v>48</v>
      </c>
      <c r="X103" s="13">
        <f t="shared" si="36"/>
        <v>98.991794304607723</v>
      </c>
      <c r="Y103" s="13">
        <f t="shared" si="37"/>
        <v>-98.098672812482889</v>
      </c>
      <c r="Z103" s="21">
        <f t="shared" si="38"/>
        <v>0.89312149212480862</v>
      </c>
      <c r="AA103" s="224">
        <f t="shared" si="39"/>
        <v>98.098672812482889</v>
      </c>
      <c r="AB103" s="199">
        <f t="shared" si="40"/>
        <v>1.0091043177906398</v>
      </c>
      <c r="AC103" s="21">
        <f t="shared" si="30"/>
        <v>332.34642857142859</v>
      </c>
      <c r="AD103" s="4">
        <v>0.57630000000000003</v>
      </c>
      <c r="AE103" s="3">
        <v>1.97445974576271</v>
      </c>
      <c r="AF103" s="3">
        <f t="shared" si="35"/>
        <v>8.0884836652542376</v>
      </c>
      <c r="AH103">
        <v>-6.2714670000000003</v>
      </c>
      <c r="AI103">
        <v>-20.336818999999998</v>
      </c>
      <c r="AJ103" s="244">
        <f t="shared" si="41"/>
        <v>140.75392928571426</v>
      </c>
      <c r="AK103" s="244">
        <f t="shared" si="42"/>
        <v>148.32026428571427</v>
      </c>
      <c r="AL103" s="3">
        <f t="shared" si="32"/>
        <v>-148.32026428571427</v>
      </c>
    </row>
    <row r="104" spans="1:38">
      <c r="A104" s="2">
        <v>41477</v>
      </c>
      <c r="B104" s="4">
        <v>27.902214442090397</v>
      </c>
      <c r="C104" s="4">
        <v>19.36372369350282</v>
      </c>
      <c r="D104" s="4">
        <v>10.759436885576568</v>
      </c>
      <c r="E104" s="7">
        <v>199.89299743997165</v>
      </c>
      <c r="F104" s="4">
        <v>0.90887136898991783</v>
      </c>
      <c r="G104" s="4">
        <v>2.6840406073446332</v>
      </c>
      <c r="H104" s="4">
        <v>31.162987641242946</v>
      </c>
      <c r="I104" s="4">
        <v>2.2694706920903958</v>
      </c>
      <c r="J104" s="3">
        <v>1.8868927700263611</v>
      </c>
      <c r="K104" s="3">
        <v>-1.4305576782892655</v>
      </c>
      <c r="L104" s="3">
        <v>0.89238426072082466</v>
      </c>
      <c r="M104" s="3">
        <v>1.6134849143260492</v>
      </c>
      <c r="N104" s="4">
        <f t="shared" si="34"/>
        <v>0.47293851293327999</v>
      </c>
      <c r="O104" s="4">
        <f t="shared" si="33"/>
        <v>-1.1278712762253231</v>
      </c>
      <c r="P104" s="7">
        <v>55.19353172625069</v>
      </c>
      <c r="Q104" s="7">
        <v>-73.057022222767543</v>
      </c>
      <c r="R104" s="7">
        <v>-17.863490496516853</v>
      </c>
      <c r="S104" s="4">
        <f t="shared" si="23"/>
        <v>0.75548564733384571</v>
      </c>
      <c r="T104" s="3">
        <v>6.1766666666666667</v>
      </c>
      <c r="U104" s="3">
        <v>26.170729166666675</v>
      </c>
      <c r="V104" s="7">
        <v>172.13571428571427</v>
      </c>
      <c r="W104">
        <v>48</v>
      </c>
      <c r="X104" s="13">
        <f t="shared" si="36"/>
        <v>85.335664558086265</v>
      </c>
      <c r="Y104" s="13">
        <f t="shared" si="37"/>
        <v>-89.072139772963993</v>
      </c>
      <c r="Z104" s="21">
        <f t="shared" si="38"/>
        <v>-3.7364752148777285</v>
      </c>
      <c r="AA104" s="224">
        <f t="shared" si="39"/>
        <v>89.072139772963993</v>
      </c>
      <c r="AB104" s="199">
        <f t="shared" si="40"/>
        <v>0.95805113445796153</v>
      </c>
      <c r="AC104" s="21">
        <f t="shared" si="30"/>
        <v>324.51122448979595</v>
      </c>
      <c r="AD104" s="4">
        <v>0.63139999999999996</v>
      </c>
      <c r="AE104" s="3">
        <v>1.93475282485876</v>
      </c>
      <c r="AF104" s="3">
        <f t="shared" si="35"/>
        <v>7.9304613135593236</v>
      </c>
      <c r="AH104">
        <v>64.148643000000007</v>
      </c>
      <c r="AI104">
        <v>-74.492436999999995</v>
      </c>
      <c r="AJ104" s="244">
        <f t="shared" si="41"/>
        <v>117.59230114285712</v>
      </c>
      <c r="AK104" s="244">
        <f t="shared" si="42"/>
        <v>114.17477328571428</v>
      </c>
      <c r="AL104" s="3">
        <f t="shared" si="32"/>
        <v>-114.17477328571428</v>
      </c>
    </row>
    <row r="105" spans="1:38">
      <c r="A105" s="2">
        <v>41478</v>
      </c>
      <c r="B105" s="4">
        <v>28.598181585451979</v>
      </c>
      <c r="C105" s="4">
        <v>19.828459216101702</v>
      </c>
      <c r="D105" s="4">
        <v>10.889289473989971</v>
      </c>
      <c r="E105" s="7">
        <v>206.72479144597455</v>
      </c>
      <c r="F105" s="4">
        <v>0.95414674905153884</v>
      </c>
      <c r="G105" s="4">
        <v>2.404537782485876</v>
      </c>
      <c r="H105" s="4">
        <v>28.491085451977412</v>
      </c>
      <c r="I105" s="4">
        <v>2.2559186087570624</v>
      </c>
      <c r="J105" s="3">
        <v>2.9094204478374599</v>
      </c>
      <c r="K105" s="3">
        <v>-3.6456138376185279</v>
      </c>
      <c r="L105" s="3">
        <v>-1.3876627088377826</v>
      </c>
      <c r="M105" s="3">
        <v>1.6076234783686032</v>
      </c>
      <c r="N105" s="4">
        <f t="shared" si="34"/>
        <v>-0.47695502720111044</v>
      </c>
      <c r="O105" s="4">
        <f t="shared" si="33"/>
        <v>-0.44097470274547018</v>
      </c>
      <c r="P105" s="7">
        <v>130.52104645971698</v>
      </c>
      <c r="Q105" s="7">
        <v>-126.0776955836912</v>
      </c>
      <c r="R105" s="7">
        <v>4.4433508760257894</v>
      </c>
      <c r="S105" s="4">
        <f t="shared" si="23"/>
        <v>1.0352429575703679</v>
      </c>
      <c r="T105" s="3">
        <v>6.106343749999998</v>
      </c>
      <c r="U105" s="3">
        <v>27.732395833333328</v>
      </c>
      <c r="V105" s="7">
        <v>455.27499999999998</v>
      </c>
      <c r="W105">
        <v>48</v>
      </c>
      <c r="X105" s="13">
        <f t="shared" si="36"/>
        <v>104.47369408986307</v>
      </c>
      <c r="Y105" s="13">
        <f t="shared" si="37"/>
        <v>-105.17965432442328</v>
      </c>
      <c r="Z105" s="21">
        <f t="shared" si="38"/>
        <v>-0.70596023456023305</v>
      </c>
      <c r="AA105" s="224">
        <f t="shared" si="39"/>
        <v>105.17965432442328</v>
      </c>
      <c r="AB105" s="199">
        <f t="shared" si="40"/>
        <v>0.99328805329229641</v>
      </c>
      <c r="AC105" s="21">
        <f t="shared" si="30"/>
        <v>348.7738945578231</v>
      </c>
      <c r="AD105" s="4">
        <v>0.51029999999999998</v>
      </c>
      <c r="AE105" s="3">
        <v>1.8614406779660999</v>
      </c>
      <c r="AF105" s="3">
        <f t="shared" si="35"/>
        <v>6.9577914830508476</v>
      </c>
      <c r="AH105">
        <v>195.91543300000001</v>
      </c>
      <c r="AI105">
        <v>-206.11872299999999</v>
      </c>
      <c r="AJ105" s="244">
        <f t="shared" si="41"/>
        <v>135.33613657142857</v>
      </c>
      <c r="AK105" s="244">
        <f t="shared" si="42"/>
        <v>141.91423328571429</v>
      </c>
      <c r="AL105" s="3">
        <f t="shared" si="32"/>
        <v>-141.91423328571429</v>
      </c>
    </row>
    <row r="106" spans="1:38">
      <c r="A106" s="2">
        <v>41479</v>
      </c>
      <c r="B106" s="4">
        <v>28.668427736581915</v>
      </c>
      <c r="C106" s="4">
        <v>18.819915783898313</v>
      </c>
      <c r="D106" s="4">
        <v>10.116465834039824</v>
      </c>
      <c r="E106" s="7">
        <v>210.78421830861581</v>
      </c>
      <c r="F106" s="4">
        <v>0.96797189845361753</v>
      </c>
      <c r="G106" s="4">
        <v>2.3468504590395489</v>
      </c>
      <c r="H106" s="4">
        <v>31.498523128531058</v>
      </c>
      <c r="I106" s="4">
        <v>1.6715044138418083</v>
      </c>
      <c r="J106" s="3">
        <v>4.6680028388234645</v>
      </c>
      <c r="K106" s="3">
        <v>-4.9210149759774442</v>
      </c>
      <c r="L106" s="3">
        <v>-0.13771986880227771</v>
      </c>
      <c r="M106" s="3">
        <v>0.70896166265227489</v>
      </c>
      <c r="N106" s="4">
        <f t="shared" si="34"/>
        <v>-2.9502953095244686E-2</v>
      </c>
      <c r="O106" s="4">
        <f t="shared" si="33"/>
        <v>-0.14406817823419776</v>
      </c>
      <c r="P106" s="7">
        <v>141.75158278663989</v>
      </c>
      <c r="Q106" s="7">
        <v>-135.11943932711327</v>
      </c>
      <c r="R106" s="7">
        <v>6.6321434595266169</v>
      </c>
      <c r="S106" s="4">
        <f t="shared" si="23"/>
        <v>1.0490835626061972</v>
      </c>
      <c r="T106" s="3">
        <v>5.5727812500000011</v>
      </c>
      <c r="U106" s="3">
        <v>27.225000000000001</v>
      </c>
      <c r="V106" s="7">
        <v>318.89999999999998</v>
      </c>
      <c r="W106">
        <v>48</v>
      </c>
      <c r="X106" s="13">
        <f t="shared" si="36"/>
        <v>107.47160704524811</v>
      </c>
      <c r="Y106" s="13">
        <f t="shared" si="37"/>
        <v>-108.10663218312503</v>
      </c>
      <c r="Z106" s="21">
        <f t="shared" si="38"/>
        <v>-0.63502513787692905</v>
      </c>
      <c r="AA106" s="224">
        <f t="shared" si="39"/>
        <v>108.10663218312503</v>
      </c>
      <c r="AB106" s="199">
        <f t="shared" si="40"/>
        <v>0.99412593728013621</v>
      </c>
      <c r="AC106" s="21">
        <f t="shared" si="30"/>
        <v>326.68534580498863</v>
      </c>
      <c r="AD106" s="4">
        <v>0.39140000000000003</v>
      </c>
      <c r="AE106" s="3">
        <v>1.82468220338983</v>
      </c>
      <c r="AF106" s="3">
        <f t="shared" si="35"/>
        <v>6.7570395974576307</v>
      </c>
      <c r="AH106">
        <v>173.65725599999999</v>
      </c>
      <c r="AI106">
        <v>-176.86526900000001</v>
      </c>
      <c r="AJ106" s="244">
        <f t="shared" si="41"/>
        <v>134.01881328571432</v>
      </c>
      <c r="AK106" s="244">
        <f t="shared" si="42"/>
        <v>139.05875142857144</v>
      </c>
      <c r="AL106" s="3">
        <f t="shared" si="32"/>
        <v>-139.05875142857144</v>
      </c>
    </row>
    <row r="107" spans="1:38">
      <c r="A107" s="2">
        <v>41480</v>
      </c>
      <c r="B107" s="4">
        <v>29.486765033124826</v>
      </c>
      <c r="C107" s="4">
        <v>17.209970630255931</v>
      </c>
      <c r="D107" s="4">
        <v>8.6574425562455808</v>
      </c>
      <c r="E107" s="7">
        <v>228.38451508354163</v>
      </c>
      <c r="F107" s="4">
        <v>1.0547577328761959</v>
      </c>
      <c r="G107" s="4">
        <v>2.0581649111644844</v>
      </c>
      <c r="H107" s="4">
        <v>33.382791588017561</v>
      </c>
      <c r="I107" s="4">
        <v>1.4606375862970484</v>
      </c>
      <c r="J107" s="3">
        <v>6.3626812510730462</v>
      </c>
      <c r="K107" s="3">
        <v>-4.3099650632181605</v>
      </c>
      <c r="L107" s="3">
        <v>-1.315904687362448</v>
      </c>
      <c r="M107" s="3">
        <v>-0.24183298940078424</v>
      </c>
      <c r="N107" s="4">
        <f t="shared" si="34"/>
        <v>-0.20681606314013057</v>
      </c>
      <c r="O107" s="4">
        <f t="shared" si="33"/>
        <v>5.6110197148608119E-2</v>
      </c>
      <c r="P107" s="7">
        <v>159.55958633310499</v>
      </c>
      <c r="Q107" s="7">
        <v>-97.635169771617015</v>
      </c>
      <c r="R107" s="7">
        <v>61.924416561487973</v>
      </c>
      <c r="S107" s="4">
        <f t="shared" si="23"/>
        <v>1.6342429342452958</v>
      </c>
      <c r="T107" s="3">
        <v>4.3622187500000011</v>
      </c>
      <c r="U107" s="3">
        <v>27.969374999999999</v>
      </c>
      <c r="V107" s="7">
        <v>454.5</v>
      </c>
      <c r="W107">
        <v>48</v>
      </c>
      <c r="X107" s="13">
        <f t="shared" si="36"/>
        <v>112.38117114994789</v>
      </c>
      <c r="Y107" s="13">
        <f t="shared" si="37"/>
        <v>-106.63535635464551</v>
      </c>
      <c r="Z107" s="21">
        <f t="shared" si="38"/>
        <v>5.7458147953023966</v>
      </c>
      <c r="AA107" s="224">
        <f t="shared" si="39"/>
        <v>106.63535635464551</v>
      </c>
      <c r="AB107" s="199">
        <f t="shared" si="40"/>
        <v>1.0538828301580676</v>
      </c>
      <c r="AC107" s="21">
        <f t="shared" si="30"/>
        <v>350.13936130007556</v>
      </c>
      <c r="AD107" s="4">
        <v>0.2447</v>
      </c>
      <c r="AE107" s="3">
        <v>1.8161373826230001</v>
      </c>
      <c r="AF107" s="3">
        <f t="shared" si="35"/>
        <v>5.7524138908524058</v>
      </c>
      <c r="AH107">
        <v>228.64789500000001</v>
      </c>
      <c r="AI107">
        <v>-186.49932999999999</v>
      </c>
      <c r="AJ107" s="244">
        <f t="shared" si="41"/>
        <v>151.68097400000002</v>
      </c>
      <c r="AK107" s="244">
        <f t="shared" si="42"/>
        <v>151.84042399999998</v>
      </c>
      <c r="AL107" s="3">
        <f t="shared" si="32"/>
        <v>-151.84042399999998</v>
      </c>
    </row>
    <row r="108" spans="1:38">
      <c r="A108" s="2">
        <v>41481</v>
      </c>
      <c r="B108" s="4">
        <v>30.122208431882385</v>
      </c>
      <c r="C108" s="4">
        <v>14.602557838983053</v>
      </c>
      <c r="D108" s="4">
        <v>6.5173445809335915</v>
      </c>
      <c r="E108" s="7">
        <v>226.54353753370563</v>
      </c>
      <c r="F108" s="4">
        <v>1.0424871754051337</v>
      </c>
      <c r="G108" s="4">
        <v>2.1310204641756552</v>
      </c>
      <c r="H108" s="4">
        <v>37.423689936440688</v>
      </c>
      <c r="I108" s="4">
        <v>1.4378945332562907</v>
      </c>
      <c r="J108" s="3">
        <v>3.3514916663737915</v>
      </c>
      <c r="K108" s="3">
        <v>-5.5671680220972561</v>
      </c>
      <c r="L108" s="3">
        <v>-1.0083536296730413</v>
      </c>
      <c r="M108" s="3">
        <v>0.51820593808694648</v>
      </c>
      <c r="N108" s="4">
        <f t="shared" si="34"/>
        <v>-0.30086711531765442</v>
      </c>
      <c r="O108" s="4">
        <f t="shared" si="33"/>
        <v>-9.3082503712853384E-2</v>
      </c>
      <c r="P108" s="7">
        <v>141.88089489714139</v>
      </c>
      <c r="Q108" s="7">
        <v>-146.04897504442084</v>
      </c>
      <c r="R108" s="7">
        <v>-4.1680801472794542</v>
      </c>
      <c r="S108" s="4">
        <f t="shared" si="23"/>
        <v>0.97146107909342239</v>
      </c>
      <c r="T108" s="3">
        <v>4.0750000000000002</v>
      </c>
      <c r="U108" s="3">
        <v>28.782291666666669</v>
      </c>
      <c r="V108" s="7">
        <v>476.63333333333327</v>
      </c>
      <c r="W108">
        <v>48</v>
      </c>
      <c r="X108" s="13">
        <f t="shared" si="36"/>
        <v>113.12836821924705</v>
      </c>
      <c r="Y108" s="13">
        <f t="shared" si="37"/>
        <v>-101.12886134555218</v>
      </c>
      <c r="Z108" s="21">
        <f t="shared" si="38"/>
        <v>11.999506873694884</v>
      </c>
      <c r="AA108" s="224">
        <f t="shared" si="39"/>
        <v>101.12886134555218</v>
      </c>
      <c r="AB108" s="199">
        <f t="shared" si="40"/>
        <v>1.1186556114054638</v>
      </c>
      <c r="AC108" s="21">
        <f t="shared" si="30"/>
        <v>396.91071428571428</v>
      </c>
      <c r="AD108" s="4">
        <v>0.14199999999999999</v>
      </c>
      <c r="AE108" s="3">
        <v>1.8455325500770401</v>
      </c>
      <c r="AF108" s="3">
        <f t="shared" si="35"/>
        <v>6.0059512153312795</v>
      </c>
      <c r="AH108">
        <v>216.79961</v>
      </c>
      <c r="AI108">
        <v>-224.555274</v>
      </c>
      <c r="AJ108" s="244">
        <f t="shared" si="41"/>
        <v>154.91369657142857</v>
      </c>
      <c r="AK108" s="244">
        <f t="shared" si="42"/>
        <v>150.702439</v>
      </c>
      <c r="AL108" s="3">
        <f t="shared" si="32"/>
        <v>-150.702439</v>
      </c>
    </row>
    <row r="109" spans="1:38">
      <c r="A109" s="2">
        <v>41482</v>
      </c>
      <c r="B109" s="4">
        <v>29.32682323446328</v>
      </c>
      <c r="C109" s="4">
        <v>13.631303848870068</v>
      </c>
      <c r="D109" s="4">
        <v>6.047988271991148</v>
      </c>
      <c r="E109" s="7">
        <v>206.44137314618646</v>
      </c>
      <c r="F109" s="4">
        <v>0.93147203466074602</v>
      </c>
      <c r="G109" s="4">
        <v>2.0708057909604514</v>
      </c>
      <c r="H109" s="4">
        <v>40.457410134180797</v>
      </c>
      <c r="I109" s="4">
        <v>1.4647891949152536</v>
      </c>
      <c r="J109" s="3">
        <v>0.96289483198819559</v>
      </c>
      <c r="K109" s="3">
        <v>-2.910675084203457</v>
      </c>
      <c r="L109" s="3">
        <v>0.13357867783655231</v>
      </c>
      <c r="M109" s="3">
        <v>0.676541557567515</v>
      </c>
      <c r="N109" s="4">
        <f t="shared" si="34"/>
        <v>0.13872613435959316</v>
      </c>
      <c r="O109" s="4">
        <f t="shared" si="33"/>
        <v>-0.23243458579048479</v>
      </c>
      <c r="P109" s="7">
        <v>59.991237144616861</v>
      </c>
      <c r="Q109" s="7">
        <v>-86.093199402503345</v>
      </c>
      <c r="R109" s="7">
        <v>-26.101962257886484</v>
      </c>
      <c r="S109" s="4">
        <f t="shared" si="23"/>
        <v>0.69681737420566214</v>
      </c>
      <c r="T109" s="3">
        <v>3.1487708333333333</v>
      </c>
      <c r="U109" s="3">
        <v>26.631354166666668</v>
      </c>
      <c r="V109" s="7">
        <v>180.44444444444446</v>
      </c>
      <c r="W109">
        <v>48</v>
      </c>
      <c r="X109" s="13">
        <f t="shared" si="36"/>
        <v>119.64001190013474</v>
      </c>
      <c r="Y109" s="13">
        <f t="shared" si="37"/>
        <v>-113.90090151683238</v>
      </c>
      <c r="Z109" s="21">
        <f t="shared" si="38"/>
        <v>5.7391103833023873</v>
      </c>
      <c r="AA109" s="224">
        <f t="shared" si="39"/>
        <v>113.90090151683238</v>
      </c>
      <c r="AB109" s="199">
        <f t="shared" si="40"/>
        <v>1.0503868740885622</v>
      </c>
      <c r="AC109" s="21">
        <f t="shared" si="30"/>
        <v>410.19206349206348</v>
      </c>
      <c r="AD109" s="4">
        <v>0.1953</v>
      </c>
      <c r="AE109" s="3">
        <v>1.7989795197740099</v>
      </c>
      <c r="AF109" s="3">
        <f t="shared" si="35"/>
        <v>5.7964041525423706</v>
      </c>
      <c r="AH109">
        <v>65.234323000000003</v>
      </c>
      <c r="AI109">
        <v>-84.543407999999999</v>
      </c>
      <c r="AJ109" s="244">
        <f t="shared" si="41"/>
        <v>163.53709000000001</v>
      </c>
      <c r="AK109" s="244">
        <f t="shared" si="42"/>
        <v>160.12800914285714</v>
      </c>
      <c r="AL109" s="3">
        <f t="shared" si="32"/>
        <v>-160.12800914285714</v>
      </c>
    </row>
    <row r="110" spans="1:38">
      <c r="A110" s="2">
        <v>41483</v>
      </c>
      <c r="B110" s="4">
        <v>28.89575180084746</v>
      </c>
      <c r="C110" s="4">
        <v>13.746888947740112</v>
      </c>
      <c r="D110" s="4">
        <v>6.2667659800584303</v>
      </c>
      <c r="E110" s="7">
        <v>211.20532640360167</v>
      </c>
      <c r="F110" s="4">
        <v>0.94714966480260177</v>
      </c>
      <c r="G110" s="4">
        <v>2.1931483050847462</v>
      </c>
      <c r="H110" s="4">
        <v>37.647912429378543</v>
      </c>
      <c r="I110" s="4">
        <v>1.3903652895480227</v>
      </c>
      <c r="J110" s="3">
        <v>3.7874888859974116</v>
      </c>
      <c r="K110" s="3">
        <v>-3.1987613187331876</v>
      </c>
      <c r="L110" s="3">
        <v>2.3673725985483788E-2</v>
      </c>
      <c r="M110" s="3">
        <v>0.23523839503369567</v>
      </c>
      <c r="N110" s="4">
        <f t="shared" si="34"/>
        <v>6.2505070504647728E-3</v>
      </c>
      <c r="O110" s="4">
        <f t="shared" si="33"/>
        <v>-7.3540465071916541E-2</v>
      </c>
      <c r="P110" s="7">
        <v>97.770318702164374</v>
      </c>
      <c r="Q110" s="7">
        <v>-82.415993130405184</v>
      </c>
      <c r="R110" s="7">
        <v>15.35432557175919</v>
      </c>
      <c r="S110" s="4">
        <f t="shared" si="23"/>
        <v>1.1863027428118758</v>
      </c>
      <c r="T110" s="3">
        <v>3.5264479166666676</v>
      </c>
      <c r="U110" s="3">
        <v>27.441354166666674</v>
      </c>
      <c r="V110" s="7">
        <v>393.08703703703719</v>
      </c>
      <c r="W110">
        <v>48</v>
      </c>
      <c r="X110" s="13">
        <f t="shared" si="36"/>
        <v>120.3033806106757</v>
      </c>
      <c r="Y110" s="13">
        <f t="shared" si="37"/>
        <v>-110.94199892779898</v>
      </c>
      <c r="Z110" s="21">
        <f t="shared" si="38"/>
        <v>9.361381682876722</v>
      </c>
      <c r="AA110" s="224">
        <f t="shared" si="39"/>
        <v>110.94199892779898</v>
      </c>
      <c r="AB110" s="199">
        <f t="shared" si="40"/>
        <v>1.0843808636346017</v>
      </c>
      <c r="AC110" s="21">
        <f t="shared" si="30"/>
        <v>407.25661375661372</v>
      </c>
      <c r="AD110" s="4">
        <v>0.22409999999999999</v>
      </c>
      <c r="AE110" s="3">
        <v>1.8289689265536699</v>
      </c>
      <c r="AF110" s="3">
        <f t="shared" si="35"/>
        <v>6.2221561016949165</v>
      </c>
      <c r="AH110">
        <v>117.363658</v>
      </c>
      <c r="AI110">
        <v>-109.808527</v>
      </c>
      <c r="AJ110" s="244">
        <f t="shared" si="41"/>
        <v>161.19634785714285</v>
      </c>
      <c r="AK110" s="244">
        <f t="shared" si="42"/>
        <v>153.22908114285715</v>
      </c>
      <c r="AL110" s="3">
        <f t="shared" si="32"/>
        <v>-153.22908114285715</v>
      </c>
    </row>
    <row r="111" spans="1:38">
      <c r="A111" s="2">
        <v>41484</v>
      </c>
      <c r="B111" s="4">
        <v>29.731886758474587</v>
      </c>
      <c r="C111" s="4">
        <v>13.650138771186436</v>
      </c>
      <c r="D111" s="4">
        <v>5.9327031613505392</v>
      </c>
      <c r="E111" s="7">
        <v>216.54029285840389</v>
      </c>
      <c r="F111" s="4">
        <v>0.98500052852809372</v>
      </c>
      <c r="G111" s="4">
        <v>2.4448137358757061</v>
      </c>
      <c r="H111" s="4">
        <v>37.308683615819227</v>
      </c>
      <c r="I111" s="4">
        <v>1.2325476694915258</v>
      </c>
      <c r="J111" s="3">
        <v>2.9577265817691916</v>
      </c>
      <c r="K111" s="3">
        <v>-1.4666544770738039</v>
      </c>
      <c r="L111" s="3">
        <v>-8.0137144848767133E-2</v>
      </c>
      <c r="M111" s="3">
        <v>-2.867292877736859E-2</v>
      </c>
      <c r="N111" s="4">
        <f t="shared" si="34"/>
        <v>-2.7094169333540072E-2</v>
      </c>
      <c r="O111" s="4">
        <f t="shared" si="33"/>
        <v>1.9549886647177727E-2</v>
      </c>
      <c r="P111" s="7">
        <v>60.423911211344993</v>
      </c>
      <c r="Q111" s="7">
        <v>-34.511557159114439</v>
      </c>
      <c r="R111" s="7">
        <v>25.912354052230555</v>
      </c>
      <c r="S111" s="4">
        <f t="shared" si="23"/>
        <v>1.7508312051166648</v>
      </c>
      <c r="T111" s="3">
        <v>1.5905833333333337</v>
      </c>
      <c r="U111" s="3">
        <v>29.227916666666669</v>
      </c>
      <c r="V111" s="7">
        <v>499.53518518518507</v>
      </c>
      <c r="W111">
        <v>48</v>
      </c>
      <c r="X111" s="13">
        <f t="shared" si="36"/>
        <v>107.96585046447088</v>
      </c>
      <c r="Y111" s="13">
        <f t="shared" si="37"/>
        <v>-112.40556329220554</v>
      </c>
      <c r="Z111" s="21">
        <f t="shared" si="38"/>
        <v>-4.4397128277346711</v>
      </c>
      <c r="AA111" s="224">
        <f t="shared" si="39"/>
        <v>112.40556329220554</v>
      </c>
      <c r="AB111" s="199">
        <f t="shared" si="40"/>
        <v>0.96050273049036416</v>
      </c>
      <c r="AC111" s="21">
        <f t="shared" si="30"/>
        <v>372.19841269841265</v>
      </c>
      <c r="AD111" s="4">
        <v>0.311</v>
      </c>
      <c r="AE111" s="3">
        <v>1.84735169491525</v>
      </c>
      <c r="AF111" s="3">
        <f t="shared" si="35"/>
        <v>7.097951800847456</v>
      </c>
      <c r="AH111">
        <v>86.777700999999993</v>
      </c>
      <c r="AI111">
        <v>-66.526542000000006</v>
      </c>
      <c r="AJ111" s="244">
        <f t="shared" si="41"/>
        <v>147.11759428571426</v>
      </c>
      <c r="AK111" s="244">
        <f t="shared" si="42"/>
        <v>153.98217271428572</v>
      </c>
      <c r="AL111" s="3">
        <f t="shared" si="32"/>
        <v>-153.98217271428572</v>
      </c>
    </row>
    <row r="112" spans="1:38">
      <c r="A112" s="2">
        <v>41485</v>
      </c>
      <c r="B112" s="4">
        <v>30.958150123587561</v>
      </c>
      <c r="C112" s="4">
        <v>12.621825211864405</v>
      </c>
      <c r="D112" s="4">
        <v>4.776679434435537</v>
      </c>
      <c r="E112" s="7">
        <v>230.54131907662432</v>
      </c>
      <c r="F112" s="4">
        <v>1.0641426882972318</v>
      </c>
      <c r="G112" s="4">
        <v>2.313133827683616</v>
      </c>
      <c r="H112" s="4">
        <v>38.403192620056508</v>
      </c>
      <c r="I112" s="4">
        <v>1.3622959039548024</v>
      </c>
      <c r="J112" s="3">
        <v>3.343055256188912</v>
      </c>
      <c r="K112" s="3">
        <v>-9.257171276726698</v>
      </c>
      <c r="L112" s="3">
        <v>-0.72316254275085035</v>
      </c>
      <c r="M112" s="3">
        <v>-0.27875557744950813</v>
      </c>
      <c r="N112" s="4">
        <f t="shared" si="34"/>
        <v>-0.21631785517516594</v>
      </c>
      <c r="O112" s="4">
        <f t="shared" si="33"/>
        <v>3.0112392772760177E-2</v>
      </c>
      <c r="P112" s="7">
        <v>176.10255222593085</v>
      </c>
      <c r="Q112" s="7">
        <v>-215.48197678265254</v>
      </c>
      <c r="R112" s="7">
        <v>-39.379424556721688</v>
      </c>
      <c r="S112" s="4">
        <f t="shared" si="23"/>
        <v>0.81724956701858165</v>
      </c>
      <c r="T112" s="3">
        <v>3.0849479166666658</v>
      </c>
      <c r="U112" s="3">
        <v>29.614479166666669</v>
      </c>
      <c r="V112" s="7">
        <v>548.24444444444453</v>
      </c>
      <c r="W112">
        <v>48</v>
      </c>
      <c r="X112" s="13">
        <f t="shared" si="36"/>
        <v>122.03892841510749</v>
      </c>
      <c r="Y112" s="13">
        <f t="shared" si="37"/>
        <v>-118.1869776253584</v>
      </c>
      <c r="Z112" s="21">
        <f t="shared" si="38"/>
        <v>3.8519507897490621</v>
      </c>
      <c r="AA112" s="224">
        <f t="shared" si="39"/>
        <v>118.1869776253584</v>
      </c>
      <c r="AB112" s="199">
        <f t="shared" si="40"/>
        <v>1.0325920068957124</v>
      </c>
      <c r="AC112" s="21">
        <f t="shared" si="30"/>
        <v>380.4248677248678</v>
      </c>
      <c r="AD112" s="4">
        <v>0.36809999999999998</v>
      </c>
      <c r="AE112" s="3">
        <v>1.8469173728813599</v>
      </c>
      <c r="AF112" s="3">
        <f t="shared" si="35"/>
        <v>6.6397057203389842</v>
      </c>
      <c r="AH112">
        <v>256.27918699999998</v>
      </c>
      <c r="AI112">
        <v>-272.097714</v>
      </c>
      <c r="AJ112" s="244">
        <f t="shared" si="41"/>
        <v>159.21184871428571</v>
      </c>
      <c r="AK112" s="244">
        <f t="shared" si="42"/>
        <v>156.02810928571427</v>
      </c>
      <c r="AL112" s="3">
        <f t="shared" si="32"/>
        <v>-156.02810928571427</v>
      </c>
    </row>
    <row r="113" spans="1:38">
      <c r="A113" s="2">
        <v>41486</v>
      </c>
      <c r="B113" s="4">
        <v>30.107479625706219</v>
      </c>
      <c r="C113" s="4">
        <v>12.757181497175134</v>
      </c>
      <c r="D113" s="4">
        <v>5.1530849568654178</v>
      </c>
      <c r="E113" s="7">
        <v>218.89801266772608</v>
      </c>
      <c r="F113" s="4">
        <v>0.99608809657590269</v>
      </c>
      <c r="G113" s="4">
        <v>3.317936087570621</v>
      </c>
      <c r="H113" s="4">
        <v>38.521962747175138</v>
      </c>
      <c r="I113" s="4">
        <v>1.4539924081920896</v>
      </c>
      <c r="J113" s="3">
        <v>6.0599247340993534</v>
      </c>
      <c r="K113" s="3">
        <v>-4.7010353874385142</v>
      </c>
      <c r="L113" s="3">
        <v>-1.7198086881579783E-2</v>
      </c>
      <c r="M113" s="3">
        <v>6.5927996056458729E-2</v>
      </c>
      <c r="N113" s="4">
        <f t="shared" si="34"/>
        <v>-2.8380033806040036E-3</v>
      </c>
      <c r="O113" s="4">
        <f t="shared" si="33"/>
        <v>-1.4024143751953625E-2</v>
      </c>
      <c r="P113" s="7">
        <v>146.39516376042636</v>
      </c>
      <c r="Q113" s="7">
        <v>-114.4071212038794</v>
      </c>
      <c r="R113" s="7">
        <v>31.988042556546958</v>
      </c>
      <c r="S113" s="4">
        <f t="shared" si="23"/>
        <v>1.2795983520950818</v>
      </c>
      <c r="T113" s="3">
        <v>3.8891458333333326</v>
      </c>
      <c r="U113" s="3">
        <v>28.699583333333333</v>
      </c>
      <c r="V113" s="7">
        <v>298.3518518518519</v>
      </c>
      <c r="W113">
        <v>48</v>
      </c>
      <c r="X113" s="13">
        <f t="shared" si="36"/>
        <v>133.14920075729339</v>
      </c>
      <c r="Y113" s="13">
        <f t="shared" si="37"/>
        <v>-125.72511390081102</v>
      </c>
      <c r="Z113" s="21">
        <f t="shared" si="38"/>
        <v>7.4240868564823739</v>
      </c>
      <c r="AA113" s="224">
        <f t="shared" si="39"/>
        <v>125.72511390081102</v>
      </c>
      <c r="AB113" s="199">
        <f t="shared" si="40"/>
        <v>1.05905015017397</v>
      </c>
      <c r="AC113" s="21">
        <f t="shared" si="30"/>
        <v>418.70925925925934</v>
      </c>
      <c r="AD113" s="4">
        <v>0.39589999999999997</v>
      </c>
      <c r="AE113" s="3">
        <v>1.84594985875706</v>
      </c>
      <c r="AF113" s="3">
        <f t="shared" si="35"/>
        <v>10.136417584745761</v>
      </c>
      <c r="AH113">
        <v>157.27206100000001</v>
      </c>
      <c r="AI113">
        <v>-128.57277300000001</v>
      </c>
      <c r="AJ113" s="244">
        <f t="shared" si="41"/>
        <v>165.53417271428572</v>
      </c>
      <c r="AK113" s="244">
        <f t="shared" si="42"/>
        <v>159.29435928571431</v>
      </c>
      <c r="AL113" s="3">
        <f t="shared" si="32"/>
        <v>-159.29435928571431</v>
      </c>
    </row>
    <row r="114" spans="1:38">
      <c r="A114" s="2">
        <v>41487</v>
      </c>
      <c r="B114" s="4">
        <v>29.233248234463279</v>
      </c>
      <c r="C114" s="4">
        <v>13.202123587570625</v>
      </c>
      <c r="D114" s="4">
        <v>5.7581516497004417</v>
      </c>
      <c r="E114" s="7">
        <v>210.70834988524007</v>
      </c>
      <c r="F114" s="4">
        <v>0.94683263466864676</v>
      </c>
      <c r="G114" s="4">
        <v>2.9892010946327683</v>
      </c>
      <c r="H114" s="4">
        <v>37.054127295197738</v>
      </c>
      <c r="I114" s="4">
        <v>1.4622438206214692</v>
      </c>
      <c r="J114" s="3">
        <v>1.2846757976083352</v>
      </c>
      <c r="K114" s="3">
        <v>-4.3471036953275908</v>
      </c>
      <c r="L114" s="3">
        <v>0.3240130860998558</v>
      </c>
      <c r="M114" s="3">
        <v>0.14790131810836563</v>
      </c>
      <c r="N114" s="4">
        <f t="shared" si="34"/>
        <v>0.25221389451180359</v>
      </c>
      <c r="O114" s="4">
        <f t="shared" si="33"/>
        <v>-3.4022956081617012E-2</v>
      </c>
      <c r="P114" s="7">
        <v>73.196875309671199</v>
      </c>
      <c r="Q114" s="7">
        <v>-107.88012032246297</v>
      </c>
      <c r="R114" s="7">
        <v>-34.683245012791772</v>
      </c>
      <c r="S114" s="4">
        <f t="shared" si="23"/>
        <v>0.67850198063257094</v>
      </c>
      <c r="T114" s="3">
        <v>3.0672187499999999</v>
      </c>
      <c r="U114" s="3">
        <v>27.200937499999998</v>
      </c>
      <c r="V114" s="7">
        <v>209.09259259259258</v>
      </c>
      <c r="W114">
        <v>48</v>
      </c>
      <c r="X114" s="13">
        <f t="shared" si="36"/>
        <v>129.43308081952921</v>
      </c>
      <c r="Y114" s="13">
        <f t="shared" si="37"/>
        <v>-126.27018188621777</v>
      </c>
      <c r="Z114" s="21">
        <f t="shared" si="38"/>
        <v>3.1628989333114186</v>
      </c>
      <c r="AA114" s="224">
        <f t="shared" si="39"/>
        <v>126.27018188621777</v>
      </c>
      <c r="AB114" s="199">
        <f t="shared" si="40"/>
        <v>1.0250486606264773</v>
      </c>
      <c r="AC114" s="21">
        <f t="shared" si="30"/>
        <v>427.79153439153441</v>
      </c>
      <c r="AD114" s="4">
        <v>0.42509999999999998</v>
      </c>
      <c r="AE114" s="3">
        <v>1.8258792372881401</v>
      </c>
      <c r="AF114" s="3">
        <f t="shared" si="35"/>
        <v>8.9924198093220333</v>
      </c>
      <c r="AH114">
        <v>130.09662</v>
      </c>
      <c r="AI114">
        <v>-191.770971</v>
      </c>
      <c r="AJ114" s="244">
        <f t="shared" si="41"/>
        <v>163.36580642857143</v>
      </c>
      <c r="AK114" s="244">
        <f t="shared" si="42"/>
        <v>162.17058785714286</v>
      </c>
      <c r="AL114" s="3">
        <f t="shared" si="32"/>
        <v>-162.17058785714286</v>
      </c>
    </row>
    <row r="115" spans="1:38">
      <c r="A115" s="2">
        <v>41488</v>
      </c>
      <c r="B115" s="4">
        <v>30.558465316617603</v>
      </c>
      <c r="C115" s="4">
        <v>13.159469096598841</v>
      </c>
      <c r="D115" s="4">
        <v>5.3034882088169661</v>
      </c>
      <c r="E115" s="7">
        <v>228.80621347627834</v>
      </c>
      <c r="F115" s="4">
        <v>1.0533090920876951</v>
      </c>
      <c r="G115" s="4">
        <v>2.8723034832360024</v>
      </c>
      <c r="H115" s="4">
        <v>37.024680595633846</v>
      </c>
      <c r="I115" s="4">
        <v>1.7095048499893235</v>
      </c>
      <c r="J115" s="3">
        <v>9.5348419235716602</v>
      </c>
      <c r="K115" s="3">
        <v>-7.7474519201173688</v>
      </c>
      <c r="L115" s="3">
        <v>-0.61098725428679979</v>
      </c>
      <c r="M115" s="3">
        <v>2.416788723642424E-2</v>
      </c>
      <c r="N115" s="4">
        <f t="shared" si="34"/>
        <v>-6.4079431959573566E-2</v>
      </c>
      <c r="O115" s="4">
        <f t="shared" si="33"/>
        <v>-3.119462693749523E-3</v>
      </c>
      <c r="P115" s="7">
        <v>240.39244055159773</v>
      </c>
      <c r="Q115" s="7">
        <v>-186.51887537649105</v>
      </c>
      <c r="R115" s="7">
        <v>53.873565175106677</v>
      </c>
      <c r="S115" s="4">
        <f t="shared" si="23"/>
        <v>1.2888370684541288</v>
      </c>
      <c r="T115" s="3">
        <v>3.0409375000000001</v>
      </c>
      <c r="U115" s="3">
        <v>28.985729166666673</v>
      </c>
      <c r="V115" s="7">
        <v>534.21851851851852</v>
      </c>
      <c r="W115">
        <v>48</v>
      </c>
      <c r="X115" s="13">
        <f t="shared" si="36"/>
        <v>130.76007344879829</v>
      </c>
      <c r="Y115" s="13">
        <f t="shared" si="37"/>
        <v>-127.57586552606449</v>
      </c>
      <c r="Z115" s="21">
        <f t="shared" si="38"/>
        <v>3.1842079227338282</v>
      </c>
      <c r="AA115" s="224">
        <f t="shared" si="39"/>
        <v>127.57586552606449</v>
      </c>
      <c r="AB115" s="199">
        <f t="shared" si="40"/>
        <v>1.0249593283933727</v>
      </c>
      <c r="AC115" s="21">
        <f t="shared" si="30"/>
        <v>422.01640211640216</v>
      </c>
      <c r="AD115" s="4">
        <v>0.4</v>
      </c>
      <c r="AE115" s="3">
        <v>1.8367724150411999</v>
      </c>
      <c r="AF115" s="3">
        <f t="shared" si="35"/>
        <v>8.585616121661289</v>
      </c>
      <c r="AH115">
        <v>301.45939099999998</v>
      </c>
      <c r="AI115">
        <v>-238.87683000000001</v>
      </c>
      <c r="AJ115" s="244">
        <f t="shared" si="41"/>
        <v>175.60816471428572</v>
      </c>
      <c r="AK115" s="244">
        <f t="shared" si="42"/>
        <v>176.51791985714286</v>
      </c>
      <c r="AL115" s="3">
        <f t="shared" si="32"/>
        <v>-176.51791985714286</v>
      </c>
    </row>
    <row r="116" spans="1:38">
      <c r="A116" s="2">
        <v>41489</v>
      </c>
      <c r="B116" s="4">
        <v>30.962105049435038</v>
      </c>
      <c r="C116" s="4">
        <v>12.680178319209041</v>
      </c>
      <c r="D116" s="4">
        <v>4.8200738749576777</v>
      </c>
      <c r="E116" s="7">
        <v>217.5804201977401</v>
      </c>
      <c r="F116" s="4">
        <v>1.0044431187515579</v>
      </c>
      <c r="G116" s="4">
        <v>2.909728460451976</v>
      </c>
      <c r="H116" s="4">
        <v>37.89025052966101</v>
      </c>
      <c r="I116" s="4">
        <v>1.8906703742937847</v>
      </c>
      <c r="J116" s="3">
        <v>3.7590297084525988</v>
      </c>
      <c r="K116" s="3">
        <v>-5.4568474239978482</v>
      </c>
      <c r="L116" s="3">
        <v>-0.72319095750452811</v>
      </c>
      <c r="M116" s="3">
        <v>0.32899229811346536</v>
      </c>
      <c r="N116" s="4">
        <f t="shared" si="34"/>
        <v>-0.19238766745534155</v>
      </c>
      <c r="O116" s="4">
        <f t="shared" si="33"/>
        <v>-6.0289810682013875E-2</v>
      </c>
      <c r="P116" s="7">
        <v>137.76314353991825</v>
      </c>
      <c r="Q116" s="7">
        <v>-138.86015333067155</v>
      </c>
      <c r="R116" s="7">
        <v>-1.0970097907533045</v>
      </c>
      <c r="S116" s="4">
        <f t="shared" si="23"/>
        <v>0.99209989500630202</v>
      </c>
      <c r="T116" s="3">
        <v>4.1574062500000002</v>
      </c>
      <c r="U116" s="3">
        <v>29.629895833333332</v>
      </c>
      <c r="V116" s="7">
        <v>448.43518518518528</v>
      </c>
      <c r="W116">
        <v>48</v>
      </c>
      <c r="X116" s="13">
        <f t="shared" si="36"/>
        <v>108.47505985311837</v>
      </c>
      <c r="Y116" s="13">
        <f t="shared" si="37"/>
        <v>-105.53247697326374</v>
      </c>
      <c r="Z116" s="21">
        <f t="shared" si="38"/>
        <v>2.9425828798546556</v>
      </c>
      <c r="AA116" s="224">
        <f t="shared" si="39"/>
        <v>105.53247697326374</v>
      </c>
      <c r="AB116" s="199">
        <f t="shared" si="40"/>
        <v>1.0278831973270193</v>
      </c>
      <c r="AC116" s="21">
        <f t="shared" si="30"/>
        <v>405.16664631664628</v>
      </c>
      <c r="AD116" s="4">
        <v>0.44629999999999997</v>
      </c>
      <c r="AE116" s="3">
        <v>1.8172387005649699</v>
      </c>
      <c r="AF116" s="3">
        <f t="shared" si="35"/>
        <v>8.7158550423728762</v>
      </c>
      <c r="AH116">
        <v>109.49059099999999</v>
      </c>
      <c r="AI116">
        <v>-107.407158</v>
      </c>
      <c r="AJ116" s="244">
        <f t="shared" si="41"/>
        <v>146.80628142857145</v>
      </c>
      <c r="AK116" s="244">
        <f t="shared" si="42"/>
        <v>141.91228442857144</v>
      </c>
      <c r="AL116" s="3">
        <f t="shared" si="32"/>
        <v>-141.91228442857144</v>
      </c>
    </row>
    <row r="117" spans="1:38">
      <c r="A117" s="2">
        <v>41490</v>
      </c>
      <c r="B117" s="4">
        <v>31.367620215395473</v>
      </c>
      <c r="C117" s="4">
        <v>14.136082274011299</v>
      </c>
      <c r="D117" s="4">
        <v>5.7681028239071992</v>
      </c>
      <c r="E117" s="7">
        <v>208.45716366525423</v>
      </c>
      <c r="F117" s="4">
        <v>0.97637629092668343</v>
      </c>
      <c r="G117" s="4">
        <v>2.6222800141242932</v>
      </c>
      <c r="H117" s="4">
        <v>33.550357168079088</v>
      </c>
      <c r="I117" s="4">
        <v>1.9807683615819203</v>
      </c>
      <c r="J117" s="3">
        <v>1.281291775133196</v>
      </c>
      <c r="K117" s="3">
        <v>-3.3443203483634241</v>
      </c>
      <c r="L117" s="3">
        <v>-0.4741138869118548</v>
      </c>
      <c r="M117" s="3">
        <v>0.24865752781376579</v>
      </c>
      <c r="N117" s="4">
        <f t="shared" si="34"/>
        <v>-0.37002804210037837</v>
      </c>
      <c r="O117" s="4">
        <f t="shared" si="33"/>
        <v>-7.4352185769359327E-2</v>
      </c>
      <c r="P117" s="7">
        <v>71.757479137815054</v>
      </c>
      <c r="Q117" s="7">
        <v>-86.231469028252548</v>
      </c>
      <c r="R117" s="7">
        <v>-14.473989890437494</v>
      </c>
      <c r="S117" s="4">
        <f t="shared" si="23"/>
        <v>0.83214956148206998</v>
      </c>
      <c r="T117" s="3">
        <v>3.598416666666667</v>
      </c>
      <c r="U117" s="3">
        <v>29.101041666666664</v>
      </c>
      <c r="V117" s="7">
        <v>456.66296296296315</v>
      </c>
      <c r="W117">
        <v>48</v>
      </c>
      <c r="X117" s="13">
        <f t="shared" si="36"/>
        <v>105.48357116250989</v>
      </c>
      <c r="Y117" s="13">
        <f t="shared" si="37"/>
        <v>-98.870749525694194</v>
      </c>
      <c r="Z117" s="21">
        <f t="shared" si="38"/>
        <v>6.6128216368157249</v>
      </c>
      <c r="AA117" s="224">
        <f t="shared" si="39"/>
        <v>98.870749525694194</v>
      </c>
      <c r="AB117" s="199">
        <f t="shared" si="40"/>
        <v>1.0668834985932536</v>
      </c>
      <c r="AC117" s="21">
        <f t="shared" si="30"/>
        <v>438.3768213268213</v>
      </c>
      <c r="AD117" s="4">
        <v>0.38119999999999998</v>
      </c>
      <c r="AE117" s="3">
        <v>1.7942655367231599</v>
      </c>
      <c r="AF117" s="3">
        <f t="shared" si="35"/>
        <v>7.7155344491525408</v>
      </c>
      <c r="AH117">
        <v>102.18509400000001</v>
      </c>
      <c r="AI117">
        <v>-129.942127</v>
      </c>
      <c r="AJ117" s="244">
        <f t="shared" si="41"/>
        <v>144.29820071428574</v>
      </c>
      <c r="AK117" s="244">
        <f t="shared" si="42"/>
        <v>149.578238</v>
      </c>
      <c r="AL117" s="3">
        <f t="shared" si="32"/>
        <v>-149.578238</v>
      </c>
    </row>
    <row r="118" spans="1:38">
      <c r="A118" s="2">
        <v>41491</v>
      </c>
      <c r="B118" s="4">
        <v>31.415034742056616</v>
      </c>
      <c r="C118" s="4">
        <v>13.560876544201223</v>
      </c>
      <c r="D118" s="4">
        <v>5.3243205858428961</v>
      </c>
      <c r="E118" s="7">
        <v>212.05055676174825</v>
      </c>
      <c r="F118" s="4">
        <v>0.99104614745203978</v>
      </c>
      <c r="G118" s="4">
        <v>2.4939787764984929</v>
      </c>
      <c r="H118" s="4">
        <v>34.212199096951124</v>
      </c>
      <c r="I118" s="4">
        <v>1.6892002025991995</v>
      </c>
      <c r="J118" s="3">
        <v>2.9161723054242419</v>
      </c>
      <c r="K118" s="3">
        <v>-1.6960731196328993</v>
      </c>
      <c r="L118" s="3">
        <v>-0.46101128793735774</v>
      </c>
      <c r="M118" s="3">
        <v>0.1227328236188208</v>
      </c>
      <c r="N118" s="4">
        <f t="shared" si="34"/>
        <v>-0.15808780814489296</v>
      </c>
      <c r="O118" s="4">
        <f t="shared" si="33"/>
        <v>-7.2362931879602743E-2</v>
      </c>
      <c r="P118" s="7">
        <v>69.712859616228712</v>
      </c>
      <c r="Q118" s="7">
        <v>-43.651342638041292</v>
      </c>
      <c r="R118" s="7">
        <v>26.06151697818742</v>
      </c>
      <c r="S118" s="4">
        <f t="shared" si="23"/>
        <v>1.5970381528534088</v>
      </c>
      <c r="T118" s="3">
        <v>3.3765306122448973</v>
      </c>
      <c r="U118" s="3">
        <v>29.180816326530628</v>
      </c>
      <c r="V118" s="7">
        <v>459.10925925925909</v>
      </c>
      <c r="W118">
        <v>49</v>
      </c>
      <c r="X118" s="13">
        <f t="shared" si="36"/>
        <v>104.91851723558814</v>
      </c>
      <c r="Y118" s="13">
        <f t="shared" si="37"/>
        <v>-94.385020619865585</v>
      </c>
      <c r="Z118" s="21">
        <f t="shared" si="38"/>
        <v>10.533496615722555</v>
      </c>
      <c r="AA118" s="224">
        <f t="shared" si="39"/>
        <v>94.385020619865585</v>
      </c>
      <c r="AB118" s="199">
        <f t="shared" si="40"/>
        <v>1.1116013594799758</v>
      </c>
      <c r="AC118" s="21">
        <f t="shared" si="30"/>
        <v>470.70480260480264</v>
      </c>
      <c r="AD118" s="4">
        <v>0.42980000000000002</v>
      </c>
      <c r="AE118" s="3">
        <v>1.7566148986077501</v>
      </c>
      <c r="AF118" s="3">
        <f t="shared" si="35"/>
        <v>7.269046142214755</v>
      </c>
      <c r="AH118">
        <v>172.474209</v>
      </c>
      <c r="AI118">
        <v>-166.957866</v>
      </c>
      <c r="AJ118" s="244">
        <f t="shared" si="41"/>
        <v>149.82529214285714</v>
      </c>
      <c r="AK118" s="244">
        <f t="shared" si="42"/>
        <v>146.63912257142857</v>
      </c>
      <c r="AL118" s="3">
        <f t="shared" si="32"/>
        <v>-146.63912257142857</v>
      </c>
    </row>
    <row r="119" spans="1:38">
      <c r="A119" s="2">
        <v>41492</v>
      </c>
      <c r="B119" s="4">
        <v>31.3003413841808</v>
      </c>
      <c r="C119" s="4">
        <v>13.517367055084753</v>
      </c>
      <c r="D119" s="4">
        <v>5.3299571360513225</v>
      </c>
      <c r="E119" s="7">
        <v>206.43063095868641</v>
      </c>
      <c r="F119" s="4">
        <v>0.96255627556929646</v>
      </c>
      <c r="G119" s="4">
        <v>2.4778320974576276</v>
      </c>
      <c r="H119" s="4">
        <v>35.087110875706202</v>
      </c>
      <c r="I119" s="4">
        <v>1.6063679378531068</v>
      </c>
      <c r="J119" s="3">
        <v>-1.2726524062259452</v>
      </c>
      <c r="K119" s="3">
        <v>-2.3064275696164134</v>
      </c>
      <c r="L119" s="3">
        <v>-0.23161764739517599</v>
      </c>
      <c r="M119" s="3">
        <v>0.24266646842722031</v>
      </c>
      <c r="N119" s="4">
        <f t="shared" si="34"/>
        <v>0.18199600005632241</v>
      </c>
      <c r="O119" s="4">
        <f t="shared" si="33"/>
        <v>-0.10521313204193906</v>
      </c>
      <c r="P119" s="7">
        <v>20.107457056171302</v>
      </c>
      <c r="Q119" s="7">
        <v>-61.1782569130472</v>
      </c>
      <c r="R119" s="7">
        <v>-41.070799856875894</v>
      </c>
      <c r="S119" s="4">
        <f t="shared" si="23"/>
        <v>0.32866998948253917</v>
      </c>
      <c r="T119" s="3">
        <v>3.0964270833333329</v>
      </c>
      <c r="U119" s="3">
        <v>28.572604166666665</v>
      </c>
      <c r="V119" s="7">
        <v>430.2961538461538</v>
      </c>
      <c r="W119">
        <v>48</v>
      </c>
      <c r="X119" s="13">
        <f t="shared" si="36"/>
        <v>72.172883444530072</v>
      </c>
      <c r="Y119" s="13">
        <f t="shared" si="37"/>
        <v>-68.58187335525912</v>
      </c>
      <c r="Z119" s="21">
        <f t="shared" si="38"/>
        <v>3.5910100892709669</v>
      </c>
      <c r="AA119" s="224">
        <f t="shared" si="39"/>
        <v>68.58187335525912</v>
      </c>
      <c r="AB119" s="199">
        <f t="shared" si="40"/>
        <v>1.0523609215319807</v>
      </c>
      <c r="AC119" s="21">
        <f t="shared" si="30"/>
        <v>471.96754171754179</v>
      </c>
      <c r="AD119" s="4">
        <v>0.36799999999999999</v>
      </c>
      <c r="AE119" s="3">
        <v>1.78408898305085</v>
      </c>
      <c r="AF119" s="3">
        <f t="shared" si="35"/>
        <v>7.2128556991525432</v>
      </c>
      <c r="AH119">
        <v>54.666004000000001</v>
      </c>
      <c r="AI119">
        <v>-29.858266</v>
      </c>
      <c r="AJ119" s="244">
        <f t="shared" si="41"/>
        <v>129.34078214285714</v>
      </c>
      <c r="AK119" s="244">
        <f t="shared" si="42"/>
        <v>129.83402814285714</v>
      </c>
      <c r="AL119" s="3">
        <f t="shared" si="32"/>
        <v>-129.83402814285714</v>
      </c>
    </row>
    <row r="120" spans="1:38">
      <c r="A120" s="2">
        <v>41493</v>
      </c>
      <c r="B120" s="4">
        <v>31.853659604519773</v>
      </c>
      <c r="C120" s="4">
        <v>11.977084216101696</v>
      </c>
      <c r="D120" s="4">
        <v>4.0079192282210796</v>
      </c>
      <c r="E120" s="7">
        <v>212.37580000882767</v>
      </c>
      <c r="F120" s="4">
        <v>0.99067029127164385</v>
      </c>
      <c r="G120" s="4">
        <v>2.2513310381355924</v>
      </c>
      <c r="H120" s="4">
        <v>38.693155896892662</v>
      </c>
      <c r="I120" s="4">
        <v>1.6097496468926566</v>
      </c>
      <c r="J120" s="3">
        <v>6.6528823869943245</v>
      </c>
      <c r="K120" s="3">
        <v>-2.7689074619362386</v>
      </c>
      <c r="L120" s="3">
        <v>6.7736212152210179E-2</v>
      </c>
      <c r="M120" s="3">
        <v>5.5052082684289433E-2</v>
      </c>
      <c r="N120" s="4">
        <f t="shared" si="34"/>
        <v>1.0181483485207442E-2</v>
      </c>
      <c r="O120" s="4">
        <f t="shared" si="33"/>
        <v>-1.9882239995768103E-2</v>
      </c>
      <c r="P120" s="7">
        <v>125.45474292616711</v>
      </c>
      <c r="Q120" s="7">
        <v>-67.775029070892671</v>
      </c>
      <c r="R120" s="7">
        <v>57.679713855274443</v>
      </c>
      <c r="S120" s="4">
        <f t="shared" si="23"/>
        <v>1.8510466855711927</v>
      </c>
      <c r="T120" s="3">
        <v>2.0601562499999999</v>
      </c>
      <c r="U120" s="3">
        <v>29.563645833333336</v>
      </c>
      <c r="V120" s="7">
        <v>530.82307692307688</v>
      </c>
      <c r="W120">
        <v>48</v>
      </c>
      <c r="X120" s="13">
        <f t="shared" si="36"/>
        <v>63.542504900779257</v>
      </c>
      <c r="Y120" s="13">
        <f t="shared" si="37"/>
        <v>-57.573414067638922</v>
      </c>
      <c r="Z120" s="21">
        <f t="shared" si="38"/>
        <v>5.9690908331403261</v>
      </c>
      <c r="AA120" s="224">
        <f t="shared" si="39"/>
        <v>57.573414067638922</v>
      </c>
      <c r="AB120" s="199">
        <f t="shared" si="40"/>
        <v>1.1036779028967723</v>
      </c>
      <c r="AC120" s="21">
        <f t="shared" si="30"/>
        <v>479.49465811965808</v>
      </c>
      <c r="AD120" s="4">
        <v>0.28149999999999997</v>
      </c>
      <c r="AE120" s="3">
        <v>1.79954802259887</v>
      </c>
      <c r="AF120" s="3">
        <f t="shared" si="35"/>
        <v>6.4246320127118617</v>
      </c>
      <c r="AH120">
        <v>139.715496</v>
      </c>
      <c r="AI120">
        <v>-182.23444799999999</v>
      </c>
      <c r="AJ120" s="244">
        <f t="shared" si="41"/>
        <v>127.97340228571429</v>
      </c>
      <c r="AK120" s="244">
        <f t="shared" si="42"/>
        <v>127.68417185714284</v>
      </c>
      <c r="AL120" s="3">
        <f t="shared" si="32"/>
        <v>-127.68417185714284</v>
      </c>
    </row>
    <row r="121" spans="1:38">
      <c r="A121" s="2">
        <v>41494</v>
      </c>
      <c r="B121" s="4">
        <v>31.229505826271193</v>
      </c>
      <c r="C121" s="4">
        <v>13.892986228813561</v>
      </c>
      <c r="D121" s="4">
        <v>5.6336548747186912</v>
      </c>
      <c r="E121" s="7">
        <v>208.43874139300843</v>
      </c>
      <c r="F121" s="4">
        <v>0.97226465768382164</v>
      </c>
      <c r="G121" s="4">
        <v>2.2269067796610176</v>
      </c>
      <c r="H121" s="4">
        <v>36.907466984463284</v>
      </c>
      <c r="I121" s="4">
        <v>1.5863298022598868</v>
      </c>
      <c r="J121" s="3">
        <v>1.9313616234962905</v>
      </c>
      <c r="K121" s="3">
        <v>-2.9236047286509277</v>
      </c>
      <c r="L121" s="3">
        <v>-0.10774438107056038</v>
      </c>
      <c r="M121" s="3">
        <v>0.26306268725168874</v>
      </c>
      <c r="N121" s="4">
        <f t="shared" si="34"/>
        <v>-5.5786746386476141E-2</v>
      </c>
      <c r="O121" s="4">
        <f t="shared" si="33"/>
        <v>-8.997888280645816E-2</v>
      </c>
      <c r="P121" s="7">
        <v>69.241497821218857</v>
      </c>
      <c r="Q121" s="7">
        <v>-76.480017981662812</v>
      </c>
      <c r="R121" s="7">
        <v>-7.2385201604439544</v>
      </c>
      <c r="S121" s="4">
        <f t="shared" si="23"/>
        <v>0.90535409965280744</v>
      </c>
      <c r="T121" s="3">
        <v>3.2002395833333339</v>
      </c>
      <c r="U121" s="3">
        <v>28.955208333333331</v>
      </c>
      <c r="V121" s="7">
        <v>435.38846153846157</v>
      </c>
      <c r="W121">
        <v>48</v>
      </c>
      <c r="X121" s="13">
        <f t="shared" si="36"/>
        <v>68.729145133865046</v>
      </c>
      <c r="Y121" s="13">
        <f t="shared" si="37"/>
        <v>-65.219403862655412</v>
      </c>
      <c r="Z121" s="21">
        <f t="shared" si="38"/>
        <v>3.5097412712096352</v>
      </c>
      <c r="AA121" s="224">
        <f t="shared" si="39"/>
        <v>65.219403862655412</v>
      </c>
      <c r="AB121" s="199">
        <f t="shared" si="40"/>
        <v>1.0538143721552675</v>
      </c>
      <c r="AC121" s="21">
        <f t="shared" si="30"/>
        <v>490.90571835571836</v>
      </c>
      <c r="AD121" s="4">
        <v>0.21440000000000001</v>
      </c>
      <c r="AE121" s="3">
        <v>1.8959427966101701</v>
      </c>
      <c r="AF121" s="3">
        <f t="shared" si="35"/>
        <v>6.3396355932203408</v>
      </c>
      <c r="AH121">
        <v>168.78626</v>
      </c>
      <c r="AI121">
        <v>-171.19716299999999</v>
      </c>
      <c r="AJ121" s="244">
        <f t="shared" si="41"/>
        <v>130.55393585714287</v>
      </c>
      <c r="AK121" s="244">
        <f t="shared" si="42"/>
        <v>126.24292614285712</v>
      </c>
      <c r="AL121" s="3">
        <f t="shared" si="32"/>
        <v>-126.24292614285712</v>
      </c>
    </row>
    <row r="122" spans="1:38">
      <c r="A122" s="2">
        <v>41495</v>
      </c>
      <c r="B122" s="4">
        <v>30.992667937853113</v>
      </c>
      <c r="C122" s="4">
        <v>14.147774187853107</v>
      </c>
      <c r="D122" s="4">
        <v>5.8997516088343085</v>
      </c>
      <c r="E122" s="7">
        <v>220.49243577860167</v>
      </c>
      <c r="F122" s="4">
        <v>1.0257333075637105</v>
      </c>
      <c r="G122" s="4">
        <v>1.87270197740113</v>
      </c>
      <c r="H122" s="4">
        <v>35.311825211864409</v>
      </c>
      <c r="I122" s="4">
        <v>1.4425995762711867</v>
      </c>
      <c r="J122" s="3">
        <v>0.46377525026496996</v>
      </c>
      <c r="K122" s="3">
        <v>-0.22041199822058163</v>
      </c>
      <c r="L122" s="3">
        <v>-0.13376848053484475</v>
      </c>
      <c r="M122" s="3">
        <v>2.5289856956324554E-2</v>
      </c>
      <c r="N122" s="4">
        <f t="shared" si="34"/>
        <v>-0.28843384906464598</v>
      </c>
      <c r="O122" s="4">
        <f t="shared" si="33"/>
        <v>-0.11473902128964519</v>
      </c>
      <c r="P122" s="7">
        <v>11.173004014191301</v>
      </c>
      <c r="Q122" s="7">
        <v>-5.8968445242457479</v>
      </c>
      <c r="R122" s="7">
        <v>5.2761594899455533</v>
      </c>
      <c r="S122" s="4">
        <f t="shared" si="23"/>
        <v>1.8947428524275727</v>
      </c>
      <c r="T122" s="3">
        <v>1.7062187499999995</v>
      </c>
      <c r="U122" s="3">
        <v>29.868437499999999</v>
      </c>
      <c r="V122" s="7">
        <v>543.05769230769238</v>
      </c>
      <c r="W122">
        <v>48</v>
      </c>
      <c r="X122" s="13">
        <f t="shared" si="36"/>
        <v>68.540852755733496</v>
      </c>
      <c r="Y122" s="13">
        <f t="shared" si="37"/>
        <v>-65.021898285882202</v>
      </c>
      <c r="Z122" s="21">
        <f t="shared" si="38"/>
        <v>3.518954469851292</v>
      </c>
      <c r="AA122" s="224">
        <f t="shared" si="39"/>
        <v>65.021898285882202</v>
      </c>
      <c r="AB122" s="199">
        <f t="shared" si="40"/>
        <v>1.054119528383799</v>
      </c>
      <c r="AC122" s="21">
        <f t="shared" si="30"/>
        <v>486.0398351648351</v>
      </c>
      <c r="AD122" s="4">
        <v>0.14760000000000001</v>
      </c>
      <c r="AE122" s="3">
        <v>1.9726306497175099</v>
      </c>
      <c r="AF122" s="3">
        <f t="shared" si="35"/>
        <v>5.1070028813559318</v>
      </c>
      <c r="AH122">
        <v>158.06782100000001</v>
      </c>
      <c r="AI122">
        <v>-121.241169</v>
      </c>
      <c r="AJ122" s="244">
        <f t="shared" si="41"/>
        <v>113.71331657142858</v>
      </c>
      <c r="AK122" s="244">
        <f t="shared" si="42"/>
        <v>110.58202014285715</v>
      </c>
      <c r="AL122" s="3">
        <f t="shared" si="32"/>
        <v>-110.58202014285715</v>
      </c>
    </row>
    <row r="123" spans="1:38">
      <c r="A123" s="2">
        <v>41496</v>
      </c>
      <c r="B123" s="4">
        <v>31.115248923022605</v>
      </c>
      <c r="C123" s="4">
        <v>13.888270656779655</v>
      </c>
      <c r="D123" s="4">
        <v>5.6657713964255656</v>
      </c>
      <c r="E123" s="7">
        <v>218.11579713983051</v>
      </c>
      <c r="F123" s="4">
        <v>1.015810028599972</v>
      </c>
      <c r="G123" s="4">
        <v>2.0227812500000004</v>
      </c>
      <c r="H123" s="4">
        <v>35.791577153954798</v>
      </c>
      <c r="I123" s="4">
        <v>1.4697591807909609</v>
      </c>
      <c r="J123" s="3">
        <v>3.2197451210204382</v>
      </c>
      <c r="K123" s="3">
        <v>-2.5556158223745871</v>
      </c>
      <c r="L123" s="3">
        <v>-4.2988894398792596E-2</v>
      </c>
      <c r="M123" s="3">
        <v>1.9423274180838546E-2</v>
      </c>
      <c r="N123" s="4">
        <f t="shared" si="34"/>
        <v>-1.3351645171580559E-2</v>
      </c>
      <c r="O123" s="4">
        <f t="shared" si="33"/>
        <v>-7.6002324022204299E-3</v>
      </c>
      <c r="P123" s="7">
        <v>77.350493733662461</v>
      </c>
      <c r="Q123" s="7">
        <v>-61.80093831733025</v>
      </c>
      <c r="R123" s="7">
        <v>15.549555416332211</v>
      </c>
      <c r="S123" s="4">
        <f t="shared" si="23"/>
        <v>1.2516071088838436</v>
      </c>
      <c r="T123" s="3">
        <v>1.9639374999999994</v>
      </c>
      <c r="U123" s="3">
        <v>28.971875000000001</v>
      </c>
      <c r="V123" s="7">
        <v>501.125</v>
      </c>
      <c r="W123">
        <v>48</v>
      </c>
      <c r="X123" s="13">
        <f t="shared" si="36"/>
        <v>90.333063938132113</v>
      </c>
      <c r="Y123" s="13">
        <f t="shared" si="37"/>
        <v>-97.307794768409309</v>
      </c>
      <c r="Z123" s="21">
        <f t="shared" si="38"/>
        <v>-6.9747308302772018</v>
      </c>
      <c r="AA123" s="224">
        <f t="shared" si="39"/>
        <v>97.307794768409309</v>
      </c>
      <c r="AB123" s="199">
        <f t="shared" si="40"/>
        <v>0.92832299974655763</v>
      </c>
      <c r="AC123" s="21">
        <f t="shared" si="30"/>
        <v>460.5997252747253</v>
      </c>
      <c r="AD123" s="4">
        <v>0.15690000000000001</v>
      </c>
      <c r="AE123" s="3">
        <v>1.9686793785310699</v>
      </c>
      <c r="AF123" s="3">
        <f t="shared" si="35"/>
        <v>5.629278750000001</v>
      </c>
      <c r="AH123">
        <v>99.918931999999998</v>
      </c>
      <c r="AI123">
        <v>-92.358164000000002</v>
      </c>
      <c r="AJ123" s="244">
        <f t="shared" si="41"/>
        <v>143.31418000000002</v>
      </c>
      <c r="AK123" s="244">
        <f t="shared" si="42"/>
        <v>169.37960814285711</v>
      </c>
      <c r="AL123" s="3">
        <f t="shared" si="32"/>
        <v>-169.37960814285711</v>
      </c>
    </row>
    <row r="124" spans="1:38">
      <c r="A124" s="2">
        <v>41497</v>
      </c>
      <c r="B124" s="4">
        <v>31.511643137610971</v>
      </c>
      <c r="C124" s="4">
        <v>12.531779343220338</v>
      </c>
      <c r="D124" s="4">
        <v>4.5308029714515987</v>
      </c>
      <c r="E124" s="7">
        <v>218.78445539497588</v>
      </c>
      <c r="F124" s="4">
        <v>1.01826205860526</v>
      </c>
      <c r="G124" s="4">
        <v>2.2541983050847465</v>
      </c>
      <c r="H124" s="4">
        <v>37.483025343018575</v>
      </c>
      <c r="I124" s="4">
        <v>1.5149911622276033</v>
      </c>
      <c r="J124" s="3">
        <v>2.2065870727288521</v>
      </c>
      <c r="K124" s="3">
        <v>-5.8226798005880935</v>
      </c>
      <c r="L124" s="3">
        <v>-0.12612531832117418</v>
      </c>
      <c r="M124" s="3">
        <v>3.7843246890320402E-4</v>
      </c>
      <c r="N124" s="4">
        <f t="shared" si="34"/>
        <v>-5.7158550360397492E-2</v>
      </c>
      <c r="O124" s="4">
        <f t="shared" si="33"/>
        <v>-6.4992835234556801E-5</v>
      </c>
      <c r="P124" s="7">
        <v>108.06396076941557</v>
      </c>
      <c r="Q124" s="7">
        <v>-139.75339759336791</v>
      </c>
      <c r="R124" s="7">
        <v>-31.689436823952335</v>
      </c>
      <c r="S124" s="4">
        <f t="shared" si="23"/>
        <v>0.77324746754166795</v>
      </c>
      <c r="T124" s="3">
        <v>1.8129791666666666</v>
      </c>
      <c r="U124" s="3">
        <v>29.655625000000001</v>
      </c>
      <c r="V124" s="7">
        <v>536.5403846153846</v>
      </c>
      <c r="W124">
        <v>48</v>
      </c>
      <c r="X124" s="13">
        <f t="shared" si="36"/>
        <v>120.42038898529169</v>
      </c>
      <c r="Y124" s="13">
        <f t="shared" si="37"/>
        <v>-138.70684601643012</v>
      </c>
      <c r="Z124" s="21">
        <f t="shared" si="38"/>
        <v>-18.286457031138422</v>
      </c>
      <c r="AA124" s="224">
        <f t="shared" si="39"/>
        <v>138.70684601643012</v>
      </c>
      <c r="AB124" s="199">
        <f t="shared" si="40"/>
        <v>0.86816471171889842</v>
      </c>
      <c r="AC124" s="21">
        <f t="shared" si="30"/>
        <v>439.2607142857143</v>
      </c>
      <c r="AD124" s="4">
        <v>0.15490000000000001</v>
      </c>
      <c r="AE124" s="3">
        <v>1.9538606739305899</v>
      </c>
      <c r="AF124" s="3">
        <f t="shared" si="35"/>
        <v>6.4346101016949175</v>
      </c>
      <c r="AH124">
        <v>120.248829</v>
      </c>
      <c r="AI124">
        <v>-119.853407</v>
      </c>
      <c r="AJ124" s="244">
        <f t="shared" si="41"/>
        <v>182.57799557142857</v>
      </c>
      <c r="AK124" s="244">
        <f t="shared" si="42"/>
        <v>190.95142842857143</v>
      </c>
      <c r="AL124" s="3">
        <f t="shared" si="32"/>
        <v>-190.95142842857143</v>
      </c>
    </row>
    <row r="125" spans="1:38">
      <c r="A125" s="2">
        <v>41498</v>
      </c>
      <c r="B125" s="4">
        <v>31.660936511299436</v>
      </c>
      <c r="C125" s="4">
        <v>12.312165783898303</v>
      </c>
      <c r="D125" s="4">
        <v>4.3194180084470259</v>
      </c>
      <c r="E125" s="7">
        <v>217.12810624117228</v>
      </c>
      <c r="F125" s="4">
        <v>1.0115622603727294</v>
      </c>
      <c r="G125" s="4">
        <v>2.3988561087570619</v>
      </c>
      <c r="H125" s="4">
        <v>37.958327860169497</v>
      </c>
      <c r="I125" s="4">
        <v>1.4924832274011302</v>
      </c>
      <c r="J125" s="3">
        <v>3.1661200634647719</v>
      </c>
      <c r="K125" s="3">
        <v>-1.5618592570708607</v>
      </c>
      <c r="L125" s="3">
        <v>-0.23455246343803823</v>
      </c>
      <c r="M125" s="3">
        <v>0.19934089295534044</v>
      </c>
      <c r="N125" s="4">
        <f t="shared" si="34"/>
        <v>-7.408198638599986E-2</v>
      </c>
      <c r="O125" s="4">
        <f t="shared" si="33"/>
        <v>-0.12763050963323544</v>
      </c>
      <c r="P125" s="7">
        <v>68.39481296930785</v>
      </c>
      <c r="Q125" s="7">
        <v>-42.268803600628829</v>
      </c>
      <c r="R125" s="7">
        <v>26.126009368679021</v>
      </c>
      <c r="S125" s="4">
        <f t="shared" si="23"/>
        <v>1.6180920003207837</v>
      </c>
      <c r="T125" s="3">
        <v>3.4065625000000002</v>
      </c>
      <c r="U125" s="3">
        <v>29.655000000000001</v>
      </c>
      <c r="V125" s="7">
        <v>425.04807692307691</v>
      </c>
      <c r="W125">
        <v>48</v>
      </c>
      <c r="X125" s="13">
        <f t="shared" si="36"/>
        <v>164.28065911256564</v>
      </c>
      <c r="Y125" s="13">
        <f t="shared" si="37"/>
        <v>-186.41596802183645</v>
      </c>
      <c r="Z125" s="21">
        <f t="shared" si="38"/>
        <v>-22.135308909270794</v>
      </c>
      <c r="AA125" s="224">
        <f t="shared" si="39"/>
        <v>186.41596802183645</v>
      </c>
      <c r="AB125" s="199">
        <f t="shared" si="40"/>
        <v>0.88125851479269246</v>
      </c>
      <c r="AC125" s="21">
        <f t="shared" si="30"/>
        <v>427.3112637362637</v>
      </c>
      <c r="AD125" s="4">
        <v>0.17319999999999999</v>
      </c>
      <c r="AE125" s="3">
        <v>1.93735875706215</v>
      </c>
      <c r="AF125" s="3">
        <f t="shared" ref="AF125:AF156" si="43">3.48*G125-1.41</f>
        <v>6.9380192584745757</v>
      </c>
      <c r="AH125">
        <v>54.589874000000002</v>
      </c>
      <c r="AI125">
        <v>-57.331524000000002</v>
      </c>
      <c r="AJ125" s="244">
        <f t="shared" si="41"/>
        <v>216.25890385714283</v>
      </c>
      <c r="AK125" s="244">
        <f t="shared" si="42"/>
        <v>232.21958699999999</v>
      </c>
      <c r="AL125" s="3">
        <f t="shared" si="32"/>
        <v>-232.21958699999999</v>
      </c>
    </row>
    <row r="126" spans="1:38">
      <c r="A126" s="2">
        <v>41499</v>
      </c>
      <c r="B126" s="4">
        <v>30.401914830508492</v>
      </c>
      <c r="C126" s="4">
        <v>10.865179201977398</v>
      </c>
      <c r="D126" s="4">
        <v>3.6553031532990725</v>
      </c>
      <c r="E126" s="7">
        <v>206.02261542196325</v>
      </c>
      <c r="F126" s="4">
        <v>0.93190491138998122</v>
      </c>
      <c r="G126" s="4">
        <v>2.9552858403954807</v>
      </c>
      <c r="H126" s="4">
        <v>44.18817673022599</v>
      </c>
      <c r="I126" s="4">
        <v>2.3775496115819217</v>
      </c>
      <c r="J126" s="3">
        <v>1.2446553184850491</v>
      </c>
      <c r="K126" s="3">
        <v>-11.689257524168992</v>
      </c>
      <c r="L126" s="3">
        <v>0.18005895012369966</v>
      </c>
      <c r="M126" s="3">
        <v>0.27655632127838142</v>
      </c>
      <c r="N126" s="4">
        <f t="shared" si="34"/>
        <v>0.14466571383221269</v>
      </c>
      <c r="O126" s="4">
        <f t="shared" si="33"/>
        <v>-2.365901518608576E-2</v>
      </c>
      <c r="P126" s="7">
        <v>172.65293533296162</v>
      </c>
      <c r="Q126" s="7">
        <v>-287.17953229073697</v>
      </c>
      <c r="R126" s="7">
        <v>-114.52659695777535</v>
      </c>
      <c r="S126" s="4">
        <f t="shared" si="23"/>
        <v>0.60120209109530109</v>
      </c>
      <c r="T126" s="3">
        <v>3.4992916666666667</v>
      </c>
      <c r="U126" s="3">
        <v>27.167604166666649</v>
      </c>
      <c r="V126" s="7">
        <v>252.21538461538461</v>
      </c>
      <c r="W126">
        <v>48</v>
      </c>
      <c r="X126" s="13">
        <f t="shared" si="36"/>
        <v>206.07242513510755</v>
      </c>
      <c r="Y126" s="13">
        <f t="shared" si="37"/>
        <v>-229.88950239793527</v>
      </c>
      <c r="Z126" s="21">
        <f t="shared" si="38"/>
        <v>-23.81707726282772</v>
      </c>
      <c r="AA126" s="224">
        <f t="shared" si="39"/>
        <v>229.88950239793527</v>
      </c>
      <c r="AB126" s="199">
        <f t="shared" si="40"/>
        <v>0.89639771710149374</v>
      </c>
      <c r="AC126" s="21">
        <f t="shared" si="30"/>
        <v>371.42994505494505</v>
      </c>
      <c r="AD126" s="4">
        <v>0.33250000000000002</v>
      </c>
      <c r="AE126" s="3">
        <v>1.8526235875706201</v>
      </c>
      <c r="AF126" s="3">
        <f t="shared" si="43"/>
        <v>8.8743947245762733</v>
      </c>
      <c r="AH126">
        <v>261.87204800000001</v>
      </c>
      <c r="AI126">
        <v>-441.44138199999998</v>
      </c>
      <c r="AJ126" s="244">
        <f t="shared" si="41"/>
        <v>225.96422914285716</v>
      </c>
      <c r="AK126" s="244">
        <f t="shared" si="42"/>
        <v>241.14393928571431</v>
      </c>
      <c r="AL126" s="3">
        <f t="shared" si="32"/>
        <v>-241.14393928571431</v>
      </c>
    </row>
    <row r="127" spans="1:38">
      <c r="A127" s="2">
        <v>41500</v>
      </c>
      <c r="B127" s="4">
        <v>30.255830632062146</v>
      </c>
      <c r="C127" s="4">
        <v>13.843987288135596</v>
      </c>
      <c r="D127" s="4">
        <v>5.9145204972907583</v>
      </c>
      <c r="E127" s="7">
        <v>194.90379480049435</v>
      </c>
      <c r="F127" s="4">
        <v>0.8902350249157398</v>
      </c>
      <c r="G127" s="4">
        <v>3.0535690324858766</v>
      </c>
      <c r="H127" s="4">
        <v>37.443161899717502</v>
      </c>
      <c r="I127" s="4">
        <v>2.2202326977401126</v>
      </c>
      <c r="J127" s="3">
        <v>9.9957860982761098</v>
      </c>
      <c r="K127" s="3">
        <v>-14.669282888395299</v>
      </c>
      <c r="L127" s="3">
        <v>-0.79210572022289816</v>
      </c>
      <c r="M127" s="3">
        <v>0.22939993689796107</v>
      </c>
      <c r="N127" s="4">
        <f t="shared" si="34"/>
        <v>-7.9243964650214563E-2</v>
      </c>
      <c r="O127" s="4">
        <f t="shared" si="33"/>
        <v>-1.5638115280975098E-2</v>
      </c>
      <c r="P127" s="7">
        <v>336.06601825628417</v>
      </c>
      <c r="Q127" s="7">
        <v>-357.56838780703828</v>
      </c>
      <c r="R127" s="7">
        <v>-21.502369550754111</v>
      </c>
      <c r="S127" s="4">
        <f t="shared" si="23"/>
        <v>0.93986501524190147</v>
      </c>
      <c r="T127" s="3">
        <v>4.2322812499999989</v>
      </c>
      <c r="U127" s="3">
        <v>27.481145833333343</v>
      </c>
      <c r="V127" s="7">
        <v>381.45</v>
      </c>
      <c r="W127">
        <v>48</v>
      </c>
      <c r="X127" s="13">
        <f t="shared" si="36"/>
        <v>219.62584115039004</v>
      </c>
      <c r="Y127" s="13">
        <f t="shared" si="37"/>
        <v>-235.98355338934471</v>
      </c>
      <c r="Z127" s="21">
        <f t="shared" si="38"/>
        <v>-16.357712238954662</v>
      </c>
      <c r="AA127" s="224">
        <f t="shared" si="39"/>
        <v>235.98355338934471</v>
      </c>
      <c r="AB127" s="199">
        <f t="shared" si="40"/>
        <v>0.93068282935816982</v>
      </c>
      <c r="AC127" s="21">
        <f t="shared" si="30"/>
        <v>307.14065934065928</v>
      </c>
      <c r="AD127" s="4">
        <v>0.39800000000000002</v>
      </c>
      <c r="AE127" s="3">
        <v>1.8439512711864401</v>
      </c>
      <c r="AF127" s="3">
        <f t="shared" si="43"/>
        <v>9.2164202330508509</v>
      </c>
      <c r="AH127">
        <v>414.56220500000001</v>
      </c>
      <c r="AI127">
        <v>-333.23719</v>
      </c>
      <c r="AJ127" s="244">
        <f t="shared" si="41"/>
        <v>234.01128542857143</v>
      </c>
      <c r="AK127" s="244">
        <f t="shared" si="42"/>
        <v>246.77096957142857</v>
      </c>
      <c r="AL127" s="3">
        <f t="shared" si="32"/>
        <v>-246.77096957142857</v>
      </c>
    </row>
    <row r="128" spans="1:38">
      <c r="A128" s="2">
        <v>41501</v>
      </c>
      <c r="B128" s="4">
        <v>30.31727847810733</v>
      </c>
      <c r="C128" s="4">
        <v>16.471236052259869</v>
      </c>
      <c r="D128" s="4">
        <v>7.8471873269654262</v>
      </c>
      <c r="E128" s="7">
        <v>181.0952948446328</v>
      </c>
      <c r="F128" s="4">
        <v>0.8382364557311871</v>
      </c>
      <c r="G128" s="4">
        <v>3.4251119350282497</v>
      </c>
      <c r="H128" s="4">
        <v>33.739187146892661</v>
      </c>
      <c r="I128" s="4">
        <v>1.6433741172316383</v>
      </c>
      <c r="J128" s="3">
        <v>11.460738520549608</v>
      </c>
      <c r="K128" s="3">
        <v>-16.630331400751935</v>
      </c>
      <c r="L128" s="3">
        <v>-0.19641860313194273</v>
      </c>
      <c r="M128" s="3">
        <v>0.47149660006086075</v>
      </c>
      <c r="N128" s="4">
        <f t="shared" si="34"/>
        <v>-1.7138389710205457E-2</v>
      </c>
      <c r="O128" s="4">
        <f t="shared" si="33"/>
        <v>-2.8351605791784893E-2</v>
      </c>
      <c r="P128" s="7">
        <v>376.26338871213648</v>
      </c>
      <c r="Q128" s="7">
        <v>-410.44387201950701</v>
      </c>
      <c r="R128" s="7">
        <v>-34.180483307370537</v>
      </c>
      <c r="S128" s="4">
        <f t="shared" si="23"/>
        <v>0.91672312431126746</v>
      </c>
      <c r="T128" s="3">
        <v>3.157802083333332</v>
      </c>
      <c r="U128" s="3">
        <v>27.22635416666667</v>
      </c>
      <c r="V128" s="7">
        <v>351.74230769230769</v>
      </c>
      <c r="W128">
        <v>48</v>
      </c>
      <c r="X128" s="13">
        <f t="shared" ref="X128:X159" si="44">AVERAGE(P125:P131)</f>
        <v>214.77079506286466</v>
      </c>
      <c r="Y128" s="13">
        <f t="shared" ref="Y128:Y159" si="45">AVERAGE(Q125:Q131)</f>
        <v>-221.70834133687313</v>
      </c>
      <c r="Z128" s="21">
        <f t="shared" ref="Z128:Z159" si="46">AVERAGE(R125:R131)</f>
        <v>-6.9375462740084561</v>
      </c>
      <c r="AA128" s="224">
        <f t="shared" ref="AA128:AA159" si="47">-Y128</f>
        <v>221.70834133687313</v>
      </c>
      <c r="AB128" s="199">
        <f t="shared" ref="AB128:AB159" si="48">X128/-Y128</f>
        <v>0.96870868172042623</v>
      </c>
      <c r="AC128" s="21">
        <f t="shared" si="30"/>
        <v>247.02307692307696</v>
      </c>
      <c r="AD128" s="4">
        <v>0.46829999999999999</v>
      </c>
      <c r="AE128" s="3">
        <v>1.84671257062147</v>
      </c>
      <c r="AF128" s="3">
        <f t="shared" si="43"/>
        <v>10.509389533898309</v>
      </c>
      <c r="AH128">
        <v>404.552618</v>
      </c>
      <c r="AI128">
        <v>-460.07427300000001</v>
      </c>
      <c r="AJ128" s="244">
        <f t="shared" ref="AJ128:AJ159" si="49">AVERAGE(AH125:AH131)</f>
        <v>229.34412900000001</v>
      </c>
      <c r="AK128" s="244">
        <f t="shared" si="42"/>
        <v>237.84332485714282</v>
      </c>
      <c r="AL128" s="3">
        <f t="shared" si="32"/>
        <v>-237.84332485714282</v>
      </c>
    </row>
    <row r="129" spans="1:38">
      <c r="A129" s="2">
        <v>41502</v>
      </c>
      <c r="B129" s="4">
        <v>29.48326889124294</v>
      </c>
      <c r="C129" s="4">
        <v>19.312718573446329</v>
      </c>
      <c r="D129" s="4">
        <v>10.227497419608826</v>
      </c>
      <c r="E129" s="7">
        <v>168.48321636652548</v>
      </c>
      <c r="F129" s="4">
        <v>0.78046968799558147</v>
      </c>
      <c r="G129" s="4">
        <v>3.3914616878531088</v>
      </c>
      <c r="H129" s="4">
        <v>31.176528601694915</v>
      </c>
      <c r="I129" s="4">
        <v>1.4616864406779662</v>
      </c>
      <c r="J129" s="3">
        <v>11.370978611543389</v>
      </c>
      <c r="K129" s="3">
        <v>-11.41014358866078</v>
      </c>
      <c r="L129" s="3">
        <v>1.0825479884298324</v>
      </c>
      <c r="M129" s="3">
        <v>1.5153391262116154</v>
      </c>
      <c r="N129" s="4">
        <f t="shared" si="34"/>
        <v>9.5202710814253966E-2</v>
      </c>
      <c r="O129" s="4">
        <f t="shared" si="33"/>
        <v>-0.13280631522617606</v>
      </c>
      <c r="P129" s="7">
        <v>303.71536617198467</v>
      </c>
      <c r="Q129" s="7">
        <v>-310.21158515693759</v>
      </c>
      <c r="R129" s="7">
        <v>-6.4962189849529182</v>
      </c>
      <c r="S129" s="4">
        <f t="shared" si="23"/>
        <v>0.97905874797787951</v>
      </c>
      <c r="T129" s="3">
        <v>3.7501979166666661</v>
      </c>
      <c r="U129" s="3">
        <v>26.34802083333334</v>
      </c>
      <c r="V129" s="7">
        <v>151.88846153846151</v>
      </c>
      <c r="W129">
        <v>48</v>
      </c>
      <c r="X129" s="13">
        <f t="shared" si="44"/>
        <v>228.94518495335964</v>
      </c>
      <c r="Y129" s="13">
        <f t="shared" si="45"/>
        <v>-235.93413661173221</v>
      </c>
      <c r="Z129" s="21">
        <f t="shared" si="46"/>
        <v>-6.9889516583725788</v>
      </c>
      <c r="AA129" s="224">
        <f t="shared" si="47"/>
        <v>235.93413661173221</v>
      </c>
      <c r="AB129" s="199">
        <f t="shared" si="48"/>
        <v>0.97037753095528512</v>
      </c>
      <c r="AC129" s="21">
        <f t="shared" si="30"/>
        <v>262.78269230769229</v>
      </c>
      <c r="AD129" s="4">
        <v>0.47899999999999998</v>
      </c>
      <c r="AE129" s="3">
        <v>1.91997528248588</v>
      </c>
      <c r="AF129" s="3">
        <f t="shared" si="43"/>
        <v>10.392286673728819</v>
      </c>
      <c r="AH129">
        <v>226.005098</v>
      </c>
      <c r="AI129">
        <v>-183.711635</v>
      </c>
      <c r="AJ129" s="244">
        <f t="shared" si="49"/>
        <v>250.923519</v>
      </c>
      <c r="AK129" s="244">
        <f t="shared" si="42"/>
        <v>252.81391300000001</v>
      </c>
      <c r="AL129" s="3">
        <f t="shared" si="32"/>
        <v>-252.81391300000001</v>
      </c>
    </row>
    <row r="130" spans="1:38">
      <c r="A130" s="2">
        <v>41503</v>
      </c>
      <c r="B130" s="4">
        <v>27.795588576977405</v>
      </c>
      <c r="C130" s="4">
        <v>16.501178319209036</v>
      </c>
      <c r="D130" s="4">
        <v>8.6541886360097475</v>
      </c>
      <c r="E130" s="7">
        <v>194.13692289018363</v>
      </c>
      <c r="F130" s="4">
        <v>0.86467607198897856</v>
      </c>
      <c r="G130" s="4">
        <v>3.2643331567796605</v>
      </c>
      <c r="H130" s="4">
        <v>36.99809498587571</v>
      </c>
      <c r="I130" s="4">
        <v>1.893167549435028</v>
      </c>
      <c r="J130" s="3">
        <v>9.8130561398181708</v>
      </c>
      <c r="K130" s="3">
        <v>-2.4374821433234795</v>
      </c>
      <c r="L130" s="3">
        <v>1.0018779214731039</v>
      </c>
      <c r="M130" s="3">
        <v>1.9149884923930371</v>
      </c>
      <c r="N130" s="4">
        <f t="shared" si="34"/>
        <v>0.10209642207261112</v>
      </c>
      <c r="O130" s="4">
        <f t="shared" si="33"/>
        <v>-0.78564206004068271</v>
      </c>
      <c r="P130" s="7">
        <v>172.22440584064003</v>
      </c>
      <c r="Q130" s="7">
        <v>-104.45929525719643</v>
      </c>
      <c r="R130" s="7">
        <v>67.765110583443601</v>
      </c>
      <c r="S130" s="4">
        <f t="shared" si="23"/>
        <v>1.6487226475786041</v>
      </c>
      <c r="T130" s="3">
        <v>5.2382395833333328</v>
      </c>
      <c r="U130" s="3">
        <v>25.552499999999998</v>
      </c>
      <c r="V130" s="7">
        <v>51.1</v>
      </c>
      <c r="W130">
        <v>48</v>
      </c>
      <c r="X130" s="13">
        <f t="shared" si="44"/>
        <v>217.09781675129199</v>
      </c>
      <c r="Y130" s="13">
        <f t="shared" si="45"/>
        <v>-207.37304277345717</v>
      </c>
      <c r="Z130" s="21">
        <f t="shared" si="46"/>
        <v>9.7247739778348308</v>
      </c>
      <c r="AA130" s="224">
        <f t="shared" si="47"/>
        <v>207.37304277345717</v>
      </c>
      <c r="AB130" s="199">
        <f t="shared" si="48"/>
        <v>1.0468950729939308</v>
      </c>
      <c r="AC130" s="21">
        <f t="shared" si="30"/>
        <v>262.29395604395603</v>
      </c>
      <c r="AD130" s="4">
        <v>0.49220000000000003</v>
      </c>
      <c r="AE130" s="3">
        <v>1.9493961864406799</v>
      </c>
      <c r="AF130" s="3">
        <f t="shared" si="43"/>
        <v>9.9498793855932188</v>
      </c>
      <c r="AH130">
        <v>156.24832599999999</v>
      </c>
      <c r="AI130">
        <v>-131.747376</v>
      </c>
      <c r="AJ130" s="244">
        <f t="shared" si="49"/>
        <v>215.6523704285714</v>
      </c>
      <c r="AK130" s="244">
        <f t="shared" si="42"/>
        <v>191.14044314285712</v>
      </c>
      <c r="AL130" s="3">
        <f t="shared" si="32"/>
        <v>-191.14044314285712</v>
      </c>
    </row>
    <row r="131" spans="1:38">
      <c r="A131" s="2">
        <v>41504</v>
      </c>
      <c r="B131" s="4">
        <v>27.33702616525423</v>
      </c>
      <c r="C131" s="4">
        <v>17.838404661016952</v>
      </c>
      <c r="D131" s="4">
        <v>9.7927915081845303</v>
      </c>
      <c r="E131" s="7">
        <v>205.55303782662429</v>
      </c>
      <c r="F131" s="4">
        <v>0.91714348442152549</v>
      </c>
      <c r="G131" s="4">
        <v>2.8401811440677958</v>
      </c>
      <c r="H131" s="4">
        <v>34.346479519774014</v>
      </c>
      <c r="I131" s="4">
        <v>1.5604486228813561</v>
      </c>
      <c r="J131" s="3">
        <v>4.3280165185605917</v>
      </c>
      <c r="K131" s="3">
        <v>-1.2635296679910473</v>
      </c>
      <c r="L131" s="3">
        <v>0.32540972114872435</v>
      </c>
      <c r="M131" s="3">
        <v>0.39592504976173826</v>
      </c>
      <c r="N131" s="4">
        <f t="shared" si="34"/>
        <v>7.5186802026566399E-2</v>
      </c>
      <c r="O131" s="4">
        <f t="shared" si="33"/>
        <v>-0.31334843952753438</v>
      </c>
      <c r="P131" s="7">
        <v>74.078638156737981</v>
      </c>
      <c r="Q131" s="7">
        <v>-39.826913226066864</v>
      </c>
      <c r="R131" s="7">
        <v>34.251724930671116</v>
      </c>
      <c r="S131" s="4">
        <f t="shared" si="23"/>
        <v>1.8600145518747668</v>
      </c>
      <c r="T131" s="3">
        <v>3.3852708333333332</v>
      </c>
      <c r="U131" s="3">
        <v>25.892708333333331</v>
      </c>
      <c r="V131" s="7">
        <v>115.7173076923077</v>
      </c>
      <c r="W131">
        <v>48</v>
      </c>
      <c r="X131" s="13">
        <f t="shared" si="44"/>
        <v>197.93001141053153</v>
      </c>
      <c r="Y131" s="13">
        <f t="shared" si="45"/>
        <v>-183.53231863093239</v>
      </c>
      <c r="Z131" s="21">
        <f t="shared" si="46"/>
        <v>14.397692779599156</v>
      </c>
      <c r="AA131" s="224">
        <f t="shared" si="47"/>
        <v>183.53231863093239</v>
      </c>
      <c r="AB131" s="199">
        <f t="shared" si="48"/>
        <v>1.07844772455881</v>
      </c>
      <c r="AC131" s="21">
        <f t="shared" si="30"/>
        <v>279.98983516483514</v>
      </c>
      <c r="AD131" s="4">
        <v>0.51359999999999995</v>
      </c>
      <c r="AE131" s="3">
        <v>2.0406709039547999</v>
      </c>
      <c r="AF131" s="3">
        <f t="shared" si="43"/>
        <v>8.4738303813559295</v>
      </c>
      <c r="AH131">
        <v>87.578733999999997</v>
      </c>
      <c r="AI131">
        <v>-57.359893999999997</v>
      </c>
      <c r="AJ131" s="244">
        <f t="shared" si="49"/>
        <v>195.20113071428571</v>
      </c>
      <c r="AK131" s="244">
        <f t="shared" si="42"/>
        <v>183.74150857142857</v>
      </c>
      <c r="AL131" s="3">
        <f t="shared" si="32"/>
        <v>-183.74150857142857</v>
      </c>
    </row>
    <row r="132" spans="1:38">
      <c r="A132" s="2">
        <v>41505</v>
      </c>
      <c r="B132" s="4">
        <v>28.450853261719057</v>
      </c>
      <c r="C132" s="4">
        <v>15.648320499180672</v>
      </c>
      <c r="D132" s="4">
        <v>7.8185444472104448</v>
      </c>
      <c r="E132" s="7">
        <v>252.59359739458219</v>
      </c>
      <c r="F132" s="4">
        <v>1.1363254451900102</v>
      </c>
      <c r="G132" s="4">
        <v>2.2476917022225043</v>
      </c>
      <c r="H132" s="4">
        <v>36.306114860972464</v>
      </c>
      <c r="I132" s="4">
        <v>1.5171925396862285</v>
      </c>
      <c r="J132" s="3">
        <v>6.7281652095138575</v>
      </c>
      <c r="K132" s="3">
        <v>-6.2232621420652041</v>
      </c>
      <c r="L132" s="3">
        <v>-0.25494759832657859</v>
      </c>
      <c r="M132" s="3">
        <v>-0.31287170353843002</v>
      </c>
      <c r="N132" s="4">
        <f t="shared" si="34"/>
        <v>-3.7892588898690224E-2</v>
      </c>
      <c r="O132" s="4">
        <f t="shared" si="33"/>
        <v>5.0274549970122713E-2</v>
      </c>
      <c r="P132" s="7">
        <v>167.6155422027727</v>
      </c>
      <c r="Q132" s="7">
        <v>-141.84937052464255</v>
      </c>
      <c r="R132" s="7">
        <v>25.766171678130149</v>
      </c>
      <c r="S132" s="4">
        <f t="shared" ref="S132:S176" si="50">P132/-Q132</f>
        <v>1.181644596538086</v>
      </c>
      <c r="T132" s="3">
        <v>2.3252916666666672</v>
      </c>
      <c r="U132" s="3">
        <v>28.497395833333339</v>
      </c>
      <c r="V132" s="7">
        <v>535.36538461538453</v>
      </c>
      <c r="W132">
        <v>48</v>
      </c>
      <c r="X132" s="13">
        <f t="shared" si="44"/>
        <v>167.48565229071463</v>
      </c>
      <c r="Y132" s="13">
        <f t="shared" si="45"/>
        <v>-148.49909459726263</v>
      </c>
      <c r="Z132" s="21">
        <f t="shared" si="46"/>
        <v>18.986557693452017</v>
      </c>
      <c r="AA132" s="224">
        <f t="shared" si="47"/>
        <v>148.49909459726263</v>
      </c>
      <c r="AB132" s="199">
        <f t="shared" si="48"/>
        <v>1.1278563869021865</v>
      </c>
      <c r="AC132" s="21">
        <f t="shared" si="30"/>
        <v>298.18324175824171</v>
      </c>
      <c r="AD132" s="4">
        <v>0.45529999999999998</v>
      </c>
      <c r="AE132" s="3">
        <v>2.0137781405311399</v>
      </c>
      <c r="AF132" s="3">
        <f t="shared" si="43"/>
        <v>6.411967123734315</v>
      </c>
      <c r="AH132">
        <v>205.64560399999999</v>
      </c>
      <c r="AI132">
        <v>-162.125641</v>
      </c>
      <c r="AJ132" s="244">
        <f t="shared" si="49"/>
        <v>166.55815857142858</v>
      </c>
      <c r="AK132" s="244">
        <f t="shared" si="42"/>
        <v>153.16699328571431</v>
      </c>
      <c r="AL132" s="3">
        <f t="shared" si="32"/>
        <v>-153.16699328571431</v>
      </c>
    </row>
    <row r="133" spans="1:38">
      <c r="A133" s="2">
        <v>41506</v>
      </c>
      <c r="B133" s="4">
        <v>28.447857997881357</v>
      </c>
      <c r="C133" s="4">
        <v>16.568921433615824</v>
      </c>
      <c r="D133" s="4">
        <v>8.5078811393341809</v>
      </c>
      <c r="E133" s="7">
        <v>229.76233117055077</v>
      </c>
      <c r="F133" s="4">
        <v>1.0377092701004036</v>
      </c>
      <c r="G133" s="4">
        <v>2.4618698799435026</v>
      </c>
      <c r="H133" s="4">
        <v>33.520670550847463</v>
      </c>
      <c r="I133" s="4">
        <v>1.6280646186440684</v>
      </c>
      <c r="J133" s="3">
        <v>3.1356707290124741</v>
      </c>
      <c r="K133" s="3">
        <v>-3.7449453334037899</v>
      </c>
      <c r="L133" s="3">
        <v>-0.13047737851052382</v>
      </c>
      <c r="M133" s="3">
        <v>-0.10945052411997767</v>
      </c>
      <c r="N133" s="4">
        <f t="shared" si="34"/>
        <v>-4.1610675924386817E-2</v>
      </c>
      <c r="O133" s="4">
        <f t="shared" si="33"/>
        <v>2.9226200752174351E-2</v>
      </c>
      <c r="P133" s="7">
        <v>89.721357918487996</v>
      </c>
      <c r="Q133" s="7">
        <v>-87.25187542281148</v>
      </c>
      <c r="R133" s="7">
        <v>2.469482495676516</v>
      </c>
      <c r="S133" s="4">
        <f t="shared" si="50"/>
        <v>1.0283029159397401</v>
      </c>
      <c r="T133" s="3">
        <v>3.4139270833333337</v>
      </c>
      <c r="U133" s="3">
        <v>26.338437500000001</v>
      </c>
      <c r="V133" s="7">
        <v>248.79423076923075</v>
      </c>
      <c r="W133">
        <v>48</v>
      </c>
      <c r="X133" s="13">
        <f t="shared" si="44"/>
        <v>130.55586581014305</v>
      </c>
      <c r="Y133" s="13">
        <f t="shared" si="45"/>
        <v>-113.24397318392458</v>
      </c>
      <c r="Z133" s="21">
        <f t="shared" si="46"/>
        <v>17.311892626218476</v>
      </c>
      <c r="AA133" s="224">
        <f t="shared" si="47"/>
        <v>113.24397318392458</v>
      </c>
      <c r="AB133" s="199">
        <f t="shared" si="48"/>
        <v>1.1528725294555098</v>
      </c>
      <c r="AC133" s="21">
        <f t="shared" si="30"/>
        <v>283.89780219780215</v>
      </c>
      <c r="AD133" s="4">
        <v>0.41249999999999998</v>
      </c>
      <c r="AE133" s="3">
        <v>2.02795903954802</v>
      </c>
      <c r="AF133" s="3">
        <f t="shared" si="43"/>
        <v>7.1573071822033896</v>
      </c>
      <c r="AH133">
        <v>14.974008</v>
      </c>
      <c r="AI133">
        <v>-9.727093</v>
      </c>
      <c r="AJ133" s="244">
        <f t="shared" si="49"/>
        <v>146.21295228571429</v>
      </c>
      <c r="AK133" s="244">
        <f t="shared" si="42"/>
        <v>140.66848571428571</v>
      </c>
      <c r="AL133" s="3">
        <f t="shared" si="32"/>
        <v>-140.66848571428571</v>
      </c>
    </row>
    <row r="134" spans="1:38">
      <c r="A134" s="2">
        <v>41507</v>
      </c>
      <c r="B134" s="4">
        <v>28.817751032012751</v>
      </c>
      <c r="C134" s="4">
        <v>15.972633094072672</v>
      </c>
      <c r="D134" s="4">
        <v>7.9481757417656107</v>
      </c>
      <c r="E134" s="7">
        <v>239.22255734624181</v>
      </c>
      <c r="F134" s="4">
        <v>1.0845551096522519</v>
      </c>
      <c r="G134" s="4">
        <v>2.3391690397045726</v>
      </c>
      <c r="H134" s="4">
        <v>34.366490186485905</v>
      </c>
      <c r="I134" s="4">
        <v>1.6024959257848375</v>
      </c>
      <c r="J134" s="3">
        <v>7.011482728122906</v>
      </c>
      <c r="K134" s="3">
        <v>-7.966959480153176</v>
      </c>
      <c r="L134" s="3">
        <v>-0.57348520899680411</v>
      </c>
      <c r="M134" s="3">
        <v>-2.1821196429643312E-2</v>
      </c>
      <c r="N134" s="4">
        <f t="shared" si="34"/>
        <v>-8.17922872000479E-2</v>
      </c>
      <c r="O134" s="4">
        <f t="shared" si="33"/>
        <v>2.7389616432721919E-3</v>
      </c>
      <c r="P134" s="7">
        <v>201.891380870961</v>
      </c>
      <c r="Q134" s="7">
        <v>-190.68331880936483</v>
      </c>
      <c r="R134" s="7">
        <v>11.208062061596166</v>
      </c>
      <c r="S134" s="4">
        <f t="shared" si="50"/>
        <v>1.0587784087857282</v>
      </c>
      <c r="T134" s="3">
        <v>3.5937395833333325</v>
      </c>
      <c r="U134" s="3">
        <v>26.644270833333337</v>
      </c>
      <c r="V134" s="7">
        <v>505.32115384615378</v>
      </c>
      <c r="W134">
        <v>48</v>
      </c>
      <c r="X134" s="13">
        <f t="shared" si="44"/>
        <v>115.90678580079505</v>
      </c>
      <c r="Y134" s="13">
        <f t="shared" si="45"/>
        <v>-114.3401956790683</v>
      </c>
      <c r="Z134" s="21">
        <f t="shared" si="46"/>
        <v>1.5665901217267353</v>
      </c>
      <c r="AA134" s="224">
        <f t="shared" si="47"/>
        <v>114.3401956790683</v>
      </c>
      <c r="AB134" s="199">
        <f t="shared" si="48"/>
        <v>1.0137011320684099</v>
      </c>
      <c r="AC134" s="21">
        <f t="shared" si="30"/>
        <v>291.47527472527469</v>
      </c>
      <c r="AD134" s="4">
        <v>0.31809999999999999</v>
      </c>
      <c r="AE134" s="3">
        <v>2.0135152357991699</v>
      </c>
      <c r="AF134" s="3">
        <f t="shared" si="43"/>
        <v>6.7303082581719131</v>
      </c>
      <c r="AH134">
        <v>271.403527</v>
      </c>
      <c r="AI134">
        <v>-281.44464799999997</v>
      </c>
      <c r="AJ134" s="244">
        <f t="shared" si="49"/>
        <v>137.0478532857143</v>
      </c>
      <c r="AK134" s="244">
        <f t="shared" si="42"/>
        <v>138.40299099999999</v>
      </c>
      <c r="AL134" s="3">
        <f t="shared" si="32"/>
        <v>-138.40299099999999</v>
      </c>
    </row>
    <row r="135" spans="1:38">
      <c r="A135" s="2">
        <v>41508</v>
      </c>
      <c r="B135" s="4">
        <v>29.298981744350272</v>
      </c>
      <c r="C135" s="4">
        <v>15.839216454802271</v>
      </c>
      <c r="D135" s="4">
        <v>7.6984962649857067</v>
      </c>
      <c r="E135" s="7">
        <v>232.73394465042375</v>
      </c>
      <c r="F135" s="4">
        <v>1.0631113196259518</v>
      </c>
      <c r="G135" s="4">
        <v>2.1669016596045196</v>
      </c>
      <c r="H135" s="4">
        <v>31.835494173728822</v>
      </c>
      <c r="I135" s="4">
        <v>1.678840042372882</v>
      </c>
      <c r="J135" s="3">
        <v>5.6019409592904417</v>
      </c>
      <c r="K135" s="3">
        <v>-6.9774683802240736</v>
      </c>
      <c r="L135" s="3">
        <v>-0.14544502916475779</v>
      </c>
      <c r="M135" s="3">
        <v>-9.3664055898298834E-2</v>
      </c>
      <c r="N135" s="4">
        <f t="shared" si="34"/>
        <v>-2.5963327750455314E-2</v>
      </c>
      <c r="O135" s="4">
        <f t="shared" si="33"/>
        <v>1.3423787940589838E-2</v>
      </c>
      <c r="P135" s="7">
        <v>163.15287487341806</v>
      </c>
      <c r="Q135" s="7">
        <v>-165.21130378381858</v>
      </c>
      <c r="R135" s="7">
        <v>-2.0584289104005222</v>
      </c>
      <c r="S135" s="4">
        <f t="shared" si="50"/>
        <v>0.98754062910190454</v>
      </c>
      <c r="T135" s="3">
        <v>3.2938645833333324</v>
      </c>
      <c r="U135" s="3">
        <v>27.049270833333338</v>
      </c>
      <c r="V135" s="7">
        <v>479.0961538461537</v>
      </c>
      <c r="W135">
        <v>48</v>
      </c>
      <c r="X135" s="13">
        <f t="shared" si="44"/>
        <v>147.02874996876443</v>
      </c>
      <c r="Y135" s="13">
        <f t="shared" si="45"/>
        <v>-148.01578702541272</v>
      </c>
      <c r="Z135" s="21">
        <f t="shared" si="46"/>
        <v>-0.98703705664831687</v>
      </c>
      <c r="AA135" s="224">
        <f t="shared" si="47"/>
        <v>148.01578702541272</v>
      </c>
      <c r="AB135" s="199">
        <f t="shared" si="48"/>
        <v>0.99333154201667129</v>
      </c>
      <c r="AC135" s="21">
        <f t="shared" ref="AC135:AC173" si="51">AVERAGE(V132:V138)</f>
        <v>319.20219780219776</v>
      </c>
      <c r="AD135" s="4">
        <v>0.16689999999999999</v>
      </c>
      <c r="AE135" s="3">
        <v>2.01821327683616</v>
      </c>
      <c r="AF135" s="3">
        <f t="shared" si="43"/>
        <v>6.1308177754237283</v>
      </c>
      <c r="AH135">
        <v>204.05181300000001</v>
      </c>
      <c r="AI135">
        <v>-246.05266599999999</v>
      </c>
      <c r="AJ135" s="244">
        <f t="shared" si="49"/>
        <v>151.25449071428574</v>
      </c>
      <c r="AK135" s="244">
        <f t="shared" si="42"/>
        <v>153.58827342857143</v>
      </c>
      <c r="AL135" s="3">
        <f t="shared" ref="AL135:AL173" si="52">-AK135</f>
        <v>-153.58827342857143</v>
      </c>
    </row>
    <row r="136" spans="1:38">
      <c r="A136" s="2">
        <v>41509</v>
      </c>
      <c r="B136" s="4">
        <v>28.30307895480226</v>
      </c>
      <c r="C136" s="4">
        <v>14.910411899717511</v>
      </c>
      <c r="D136" s="4">
        <v>7.3163102961889956</v>
      </c>
      <c r="E136" s="7">
        <v>206.12709657485877</v>
      </c>
      <c r="F136" s="4">
        <v>0.92018592220323203</v>
      </c>
      <c r="G136" s="4">
        <v>2.6114533898305079</v>
      </c>
      <c r="H136" s="4">
        <v>35.673633121468917</v>
      </c>
      <c r="I136" s="4">
        <v>1.6430656779661017</v>
      </c>
      <c r="J136" s="3">
        <v>0.99622293634593007</v>
      </c>
      <c r="K136" s="3">
        <v>-2.2495189885589428</v>
      </c>
      <c r="L136" s="3">
        <v>0.13907590762390126</v>
      </c>
      <c r="M136" s="3">
        <v>0.39321998075652403</v>
      </c>
      <c r="N136" s="4">
        <f t="shared" si="34"/>
        <v>0.13960319778825922</v>
      </c>
      <c r="O136" s="4">
        <f t="shared" si="33"/>
        <v>-0.17480180552217672</v>
      </c>
      <c r="P136" s="7">
        <v>45.206860807983517</v>
      </c>
      <c r="Q136" s="7">
        <v>-63.425735263571198</v>
      </c>
      <c r="R136" s="7">
        <v>-18.218874455587681</v>
      </c>
      <c r="S136" s="4">
        <f t="shared" si="50"/>
        <v>0.71275264874931998</v>
      </c>
      <c r="T136" s="3">
        <v>2.8311250000000001</v>
      </c>
      <c r="U136" s="3">
        <v>25.9528125</v>
      </c>
      <c r="V136" s="7">
        <v>51.890384615384619</v>
      </c>
      <c r="W136">
        <v>48</v>
      </c>
      <c r="X136" s="13">
        <f t="shared" si="44"/>
        <v>155.88662126287758</v>
      </c>
      <c r="Y136" s="13">
        <f t="shared" si="45"/>
        <v>-160.90600380473302</v>
      </c>
      <c r="Z136" s="21">
        <f t="shared" si="46"/>
        <v>-5.0193825418554168</v>
      </c>
      <c r="AA136" s="224">
        <f t="shared" si="47"/>
        <v>160.90600380473302</v>
      </c>
      <c r="AB136" s="199">
        <f t="shared" si="48"/>
        <v>0.96880549871870103</v>
      </c>
      <c r="AC136" s="21">
        <f t="shared" si="51"/>
        <v>320.61263736263737</v>
      </c>
      <c r="AD136" s="4">
        <v>0.14949999999999999</v>
      </c>
      <c r="AE136" s="3">
        <v>2.0559039548022602</v>
      </c>
      <c r="AF136" s="3">
        <f t="shared" si="43"/>
        <v>7.6778577966101675</v>
      </c>
      <c r="AH136">
        <v>83.588654000000005</v>
      </c>
      <c r="AI136">
        <v>-96.222082</v>
      </c>
      <c r="AJ136" s="244">
        <f t="shared" si="49"/>
        <v>156.85968328571428</v>
      </c>
      <c r="AK136" s="244">
        <f t="shared" si="42"/>
        <v>163.16655685714287</v>
      </c>
      <c r="AL136" s="3">
        <f t="shared" si="52"/>
        <v>-163.16655685714287</v>
      </c>
    </row>
    <row r="137" spans="1:38">
      <c r="A137" s="2">
        <v>41510</v>
      </c>
      <c r="B137" s="4">
        <v>27.696774399717512</v>
      </c>
      <c r="C137" s="4">
        <v>14.951354343220338</v>
      </c>
      <c r="D137" s="4">
        <v>7.5304700195034853</v>
      </c>
      <c r="E137" s="7">
        <v>200.22152520303669</v>
      </c>
      <c r="F137" s="4">
        <v>0.88469071718392145</v>
      </c>
      <c r="G137" s="4">
        <v>2.5778426906779663</v>
      </c>
      <c r="H137" s="4">
        <v>35.580782662429378</v>
      </c>
      <c r="I137" s="4">
        <v>1.5012402895480221</v>
      </c>
      <c r="J137" s="3">
        <v>1.0613652375257052</v>
      </c>
      <c r="K137" s="3">
        <v>-3.4521874473232654</v>
      </c>
      <c r="L137" s="3">
        <v>0.30389114015419799</v>
      </c>
      <c r="M137" s="3">
        <v>1.2200147494768459</v>
      </c>
      <c r="N137" s="4">
        <f t="shared" si="34"/>
        <v>0.28632098490679847</v>
      </c>
      <c r="O137" s="4">
        <f t="shared" si="33"/>
        <v>-0.35340339077555388</v>
      </c>
      <c r="P137" s="7">
        <v>69.680845775204091</v>
      </c>
      <c r="Q137" s="7">
        <v>-112.13285272320269</v>
      </c>
      <c r="R137" s="7">
        <v>-42.452006947998598</v>
      </c>
      <c r="S137" s="4">
        <f t="shared" si="50"/>
        <v>0.62141329755704711</v>
      </c>
      <c r="T137" s="3">
        <v>3.1074479166666671</v>
      </c>
      <c r="U137" s="3">
        <v>25.1446875</v>
      </c>
      <c r="V137" s="7">
        <v>104.14230769230768</v>
      </c>
      <c r="W137">
        <v>48</v>
      </c>
      <c r="X137" s="13">
        <f t="shared" si="44"/>
        <v>169.56242204886146</v>
      </c>
      <c r="Y137" s="13">
        <f t="shared" si="45"/>
        <v>-173.21131512219216</v>
      </c>
      <c r="Z137" s="21">
        <f t="shared" si="46"/>
        <v>-3.648893073330695</v>
      </c>
      <c r="AA137" s="224">
        <f t="shared" si="47"/>
        <v>173.21131512219216</v>
      </c>
      <c r="AB137" s="199">
        <f t="shared" si="48"/>
        <v>0.97893386427580331</v>
      </c>
      <c r="AC137" s="21">
        <f t="shared" si="51"/>
        <v>364.13818681318679</v>
      </c>
      <c r="AD137" s="4">
        <v>0.14369999999999999</v>
      </c>
      <c r="AE137" s="3">
        <v>2.0534427966101698</v>
      </c>
      <c r="AF137" s="3">
        <f t="shared" si="43"/>
        <v>7.5608925635593227</v>
      </c>
      <c r="AH137">
        <v>92.092633000000006</v>
      </c>
      <c r="AI137">
        <v>-115.888913</v>
      </c>
      <c r="AJ137" s="244">
        <f t="shared" si="49"/>
        <v>178.6128437142857</v>
      </c>
      <c r="AK137" s="244">
        <f t="shared" si="42"/>
        <v>180.4074872857143</v>
      </c>
      <c r="AL137" s="3">
        <f t="shared" si="52"/>
        <v>-180.4074872857143</v>
      </c>
    </row>
    <row r="138" spans="1:38">
      <c r="A138" s="2">
        <v>41511</v>
      </c>
      <c r="B138" s="4">
        <v>27.69119381305488</v>
      </c>
      <c r="C138" s="4">
        <v>14.31002839991929</v>
      </c>
      <c r="D138" s="4">
        <v>7.0530797403872301</v>
      </c>
      <c r="E138" s="7">
        <v>232.64952716719623</v>
      </c>
      <c r="F138" s="4">
        <v>1.0256033429818618</v>
      </c>
      <c r="G138" s="4">
        <v>2.8090174662025831</v>
      </c>
      <c r="H138" s="4">
        <v>38.422630019168686</v>
      </c>
      <c r="I138" s="4">
        <v>1.61778169138418</v>
      </c>
      <c r="J138" s="3">
        <v>11.314204060552093</v>
      </c>
      <c r="K138" s="3">
        <v>-10.752411120596205</v>
      </c>
      <c r="L138" s="3">
        <v>4.7728020619401228E-2</v>
      </c>
      <c r="M138" s="3">
        <v>0.72909107317370747</v>
      </c>
      <c r="N138" s="4">
        <f t="shared" si="34"/>
        <v>4.2184161045679663E-3</v>
      </c>
      <c r="O138" s="4">
        <f t="shared" si="33"/>
        <v>-6.7807216911296861E-2</v>
      </c>
      <c r="P138" s="7">
        <v>291.9323873325236</v>
      </c>
      <c r="Q138" s="7">
        <v>-275.55605265047785</v>
      </c>
      <c r="R138" s="7">
        <v>16.376334682045751</v>
      </c>
      <c r="S138" s="4">
        <f t="shared" si="50"/>
        <v>1.0594301396196073</v>
      </c>
      <c r="T138" s="3">
        <v>5.5173958333333353</v>
      </c>
      <c r="U138" s="3">
        <v>26.215</v>
      </c>
      <c r="V138" s="7">
        <v>309.80576923076922</v>
      </c>
      <c r="W138">
        <v>48</v>
      </c>
      <c r="X138" s="13">
        <f t="shared" si="44"/>
        <v>174.94287658056115</v>
      </c>
      <c r="Y138" s="13">
        <f t="shared" si="45"/>
        <v>-186.23629612354952</v>
      </c>
      <c r="Z138" s="21">
        <f t="shared" si="46"/>
        <v>-11.293419542988405</v>
      </c>
      <c r="AA138" s="224">
        <f t="shared" si="47"/>
        <v>186.23629612354952</v>
      </c>
      <c r="AB138" s="199">
        <f t="shared" si="48"/>
        <v>0.9393597285918085</v>
      </c>
      <c r="AC138" s="21">
        <f t="shared" si="51"/>
        <v>371.60402197802193</v>
      </c>
      <c r="AD138" s="4">
        <v>0.2273</v>
      </c>
      <c r="AE138" s="3">
        <v>2.0808430437853098</v>
      </c>
      <c r="AF138" s="3">
        <f t="shared" si="43"/>
        <v>8.3653807823849888</v>
      </c>
      <c r="AH138">
        <v>187.02519599999999</v>
      </c>
      <c r="AI138">
        <v>-163.656871</v>
      </c>
      <c r="AJ138" s="244">
        <f t="shared" si="49"/>
        <v>176.4006072857143</v>
      </c>
      <c r="AK138" s="244">
        <f t="shared" si="42"/>
        <v>189.33181928571429</v>
      </c>
      <c r="AL138" s="3">
        <f t="shared" si="52"/>
        <v>-189.33181928571429</v>
      </c>
    </row>
    <row r="139" spans="1:38">
      <c r="A139" s="2">
        <v>41512</v>
      </c>
      <c r="B139" s="4">
        <v>27.835576512228439</v>
      </c>
      <c r="C139" s="4">
        <v>14.122517659876898</v>
      </c>
      <c r="D139" s="4">
        <v>6.8698603618935818</v>
      </c>
      <c r="E139" s="7">
        <v>241.54998842846263</v>
      </c>
      <c r="F139" s="4">
        <v>1.0660162467286547</v>
      </c>
      <c r="G139" s="4">
        <v>2.8635656759367492</v>
      </c>
      <c r="H139" s="4">
        <v>40.591975638975477</v>
      </c>
      <c r="I139" s="4">
        <v>1.5198375850524208</v>
      </c>
      <c r="J139" s="3">
        <v>8.2622095160980518</v>
      </c>
      <c r="K139" s="3">
        <v>-9.4820154026447607</v>
      </c>
      <c r="L139" s="3">
        <v>3.9729014359163761E-2</v>
      </c>
      <c r="M139" s="3">
        <v>0.18802159651709258</v>
      </c>
      <c r="N139" s="4">
        <f t="shared" si="34"/>
        <v>4.8085217739583979E-3</v>
      </c>
      <c r="O139" s="4">
        <f t="shared" si="33"/>
        <v>-1.9829286130947314E-2</v>
      </c>
      <c r="P139" s="7">
        <v>229.62064126156488</v>
      </c>
      <c r="Q139" s="7">
        <v>-232.08088797988444</v>
      </c>
      <c r="R139" s="7">
        <v>-2.4602467183195529</v>
      </c>
      <c r="S139" s="4">
        <f t="shared" si="50"/>
        <v>0.98939918431140783</v>
      </c>
      <c r="T139" s="3">
        <v>4.09671875</v>
      </c>
      <c r="U139" s="3">
        <v>26.549479166666671</v>
      </c>
      <c r="V139" s="7">
        <v>545.23846153846159</v>
      </c>
      <c r="W139">
        <v>48</v>
      </c>
      <c r="X139" s="13">
        <f t="shared" si="44"/>
        <v>196.50688569904537</v>
      </c>
      <c r="Y139" s="13">
        <f t="shared" si="45"/>
        <v>-199.35224403194655</v>
      </c>
      <c r="Z139" s="21">
        <f t="shared" si="46"/>
        <v>-2.8453583329011787</v>
      </c>
      <c r="AA139" s="224">
        <f t="shared" si="47"/>
        <v>199.35224403194655</v>
      </c>
      <c r="AB139" s="199">
        <f t="shared" si="48"/>
        <v>0.98572698116984725</v>
      </c>
      <c r="AC139" s="21">
        <f t="shared" si="51"/>
        <v>380.53571428571422</v>
      </c>
      <c r="AD139" s="4">
        <v>0.21859999999999999</v>
      </c>
      <c r="AE139" s="3">
        <v>2.0685999158495099</v>
      </c>
      <c r="AF139" s="3">
        <f t="shared" si="43"/>
        <v>8.5552085522598862</v>
      </c>
      <c r="AH139">
        <v>244.88195200000001</v>
      </c>
      <c r="AI139">
        <v>-229.17362499999999</v>
      </c>
      <c r="AJ139" s="244">
        <f t="shared" si="49"/>
        <v>191.27235385714286</v>
      </c>
      <c r="AK139" s="244">
        <f t="shared" si="42"/>
        <v>181.04691642857142</v>
      </c>
      <c r="AL139" s="3">
        <f t="shared" si="52"/>
        <v>-181.04691642857142</v>
      </c>
    </row>
    <row r="140" spans="1:38">
      <c r="A140" s="2">
        <v>41513</v>
      </c>
      <c r="B140" s="4">
        <v>28.078502274822259</v>
      </c>
      <c r="C140" s="4">
        <v>13.727219111023606</v>
      </c>
      <c r="D140" s="4">
        <v>6.5023429696731938</v>
      </c>
      <c r="E140" s="7">
        <v>257.13319727033263</v>
      </c>
      <c r="F140" s="4">
        <v>1.1361460877515124</v>
      </c>
      <c r="G140" s="4">
        <v>3.0391628436505349</v>
      </c>
      <c r="H140" s="4">
        <v>41.979668580497787</v>
      </c>
      <c r="I140" s="4">
        <v>1.534148764704047</v>
      </c>
      <c r="J140" s="3">
        <v>6.9148738702471668</v>
      </c>
      <c r="K140" s="3">
        <v>-7.6918677263423199</v>
      </c>
      <c r="L140" s="3">
        <v>-0.31138453065457661</v>
      </c>
      <c r="M140" s="3">
        <v>-0.46732378279959086</v>
      </c>
      <c r="N140" s="4">
        <f t="shared" si="34"/>
        <v>-4.5031122258698035E-2</v>
      </c>
      <c r="O140" s="4">
        <f t="shared" si="33"/>
        <v>6.0755566713549723E-2</v>
      </c>
      <c r="P140" s="7">
        <v>185.45196342037511</v>
      </c>
      <c r="Q140" s="7">
        <v>-173.38905464502554</v>
      </c>
      <c r="R140" s="7">
        <v>12.06290877534957</v>
      </c>
      <c r="S140" s="4">
        <f t="shared" si="50"/>
        <v>1.0695713394368844</v>
      </c>
      <c r="T140" s="3">
        <v>3.0168958333333333</v>
      </c>
      <c r="U140" s="3">
        <v>26.633125</v>
      </c>
      <c r="V140" s="7">
        <v>553.47307692307686</v>
      </c>
      <c r="W140">
        <v>48</v>
      </c>
      <c r="X140" s="13">
        <f t="shared" si="44"/>
        <v>235.36902755400698</v>
      </c>
      <c r="Y140" s="13">
        <f t="shared" si="45"/>
        <v>-230.22844585066531</v>
      </c>
      <c r="Z140" s="21">
        <f t="shared" si="46"/>
        <v>5.1405817033416907</v>
      </c>
      <c r="AA140" s="224">
        <f t="shared" si="47"/>
        <v>230.22844585066531</v>
      </c>
      <c r="AB140" s="199">
        <f t="shared" si="48"/>
        <v>1.0223281779293079</v>
      </c>
      <c r="AC140" s="21">
        <f t="shared" si="51"/>
        <v>441.12823076923075</v>
      </c>
      <c r="AD140" s="4">
        <v>0.27460000000000001</v>
      </c>
      <c r="AE140" s="3">
        <v>2.02585730011387</v>
      </c>
      <c r="AF140" s="3">
        <f t="shared" si="43"/>
        <v>9.166286695903862</v>
      </c>
      <c r="AH140">
        <v>167.24613099999999</v>
      </c>
      <c r="AI140">
        <v>-130.41360599999999</v>
      </c>
      <c r="AJ140" s="244">
        <f t="shared" si="49"/>
        <v>226.41502085714282</v>
      </c>
      <c r="AK140" s="244">
        <f t="shared" si="42"/>
        <v>217.103871</v>
      </c>
      <c r="AL140" s="3">
        <f t="shared" si="52"/>
        <v>-217.103871</v>
      </c>
    </row>
    <row r="141" spans="1:38">
      <c r="A141" s="2">
        <v>41514</v>
      </c>
      <c r="B141" s="4">
        <v>28.956539618644076</v>
      </c>
      <c r="C141" s="4">
        <v>12.856678142655362</v>
      </c>
      <c r="D141" s="4">
        <v>5.5856240493470066</v>
      </c>
      <c r="E141" s="7">
        <v>251.45051531603102</v>
      </c>
      <c r="F141" s="4">
        <v>1.1229135242828889</v>
      </c>
      <c r="G141" s="4">
        <v>3.9174978813559327</v>
      </c>
      <c r="H141" s="4">
        <v>42.452349223163843</v>
      </c>
      <c r="I141" s="4">
        <v>1.4764470338983042</v>
      </c>
      <c r="J141" s="3">
        <v>6.3917625224073387</v>
      </c>
      <c r="K141" s="3">
        <v>-12.213313126646451</v>
      </c>
      <c r="L141" s="3">
        <v>-0.65273954634426989</v>
      </c>
      <c r="M141" s="3">
        <v>-0.46922205086034824</v>
      </c>
      <c r="N141" s="4">
        <f t="shared" si="34"/>
        <v>-0.10212199593711245</v>
      </c>
      <c r="O141" s="4">
        <f t="shared" si="33"/>
        <v>3.8418899605269348E-2</v>
      </c>
      <c r="P141" s="7">
        <v>239.55456259285864</v>
      </c>
      <c r="Q141" s="7">
        <v>-281.85818581886645</v>
      </c>
      <c r="R141" s="7">
        <v>-42.303623226007801</v>
      </c>
      <c r="S141" s="4">
        <f t="shared" si="50"/>
        <v>0.84991167418783486</v>
      </c>
      <c r="T141" s="3">
        <v>2.9609999999999999</v>
      </c>
      <c r="U141" s="3">
        <v>27.357291666666672</v>
      </c>
      <c r="V141" s="7">
        <v>557.58199999999988</v>
      </c>
      <c r="W141">
        <v>48</v>
      </c>
      <c r="X141" s="13">
        <f t="shared" si="44"/>
        <v>242.49986799238999</v>
      </c>
      <c r="Y141" s="13">
        <f t="shared" si="45"/>
        <v>-226.41235079550711</v>
      </c>
      <c r="Z141" s="21">
        <f t="shared" si="46"/>
        <v>16.087517196882853</v>
      </c>
      <c r="AA141" s="224">
        <f t="shared" si="47"/>
        <v>226.41235079550711</v>
      </c>
      <c r="AB141" s="199">
        <f t="shared" si="48"/>
        <v>1.071054061937694</v>
      </c>
      <c r="AC141" s="21">
        <f t="shared" si="51"/>
        <v>480.44818681318674</v>
      </c>
      <c r="AD141" s="4">
        <v>0.34200000000000003</v>
      </c>
      <c r="AE141" s="3">
        <v>2.00083686440678</v>
      </c>
      <c r="AF141" s="3">
        <f t="shared" si="43"/>
        <v>12.222892627118645</v>
      </c>
      <c r="AH141">
        <v>255.91787199999999</v>
      </c>
      <c r="AI141">
        <v>-343.91497199999998</v>
      </c>
      <c r="AJ141" s="244">
        <f t="shared" si="49"/>
        <v>250.78766885714285</v>
      </c>
      <c r="AK141" s="244">
        <f t="shared" si="42"/>
        <v>228.46185942857142</v>
      </c>
      <c r="AL141" s="3">
        <f t="shared" si="52"/>
        <v>-228.46185942857142</v>
      </c>
    </row>
    <row r="142" spans="1:38">
      <c r="A142" s="2">
        <v>41515</v>
      </c>
      <c r="B142" s="4">
        <v>29.12504844459859</v>
      </c>
      <c r="C142" s="4">
        <v>13.146785091452216</v>
      </c>
      <c r="D142" s="4">
        <v>5.7496487007376595</v>
      </c>
      <c r="E142" s="7">
        <v>262.30856860672685</v>
      </c>
      <c r="F142" s="4">
        <v>1.1766892247387197</v>
      </c>
      <c r="G142" s="4">
        <v>5.0537794003962002</v>
      </c>
      <c r="H142" s="4">
        <v>42.431546644507854</v>
      </c>
      <c r="I142" s="4">
        <v>1.5716645111800174</v>
      </c>
      <c r="J142" s="3">
        <v>12.716911683949466</v>
      </c>
      <c r="K142" s="3">
        <v>-12.49412277395091</v>
      </c>
      <c r="L142" s="3">
        <v>-1.2091669265053531</v>
      </c>
      <c r="M142" s="3">
        <v>-1.7848336430093408</v>
      </c>
      <c r="N142" s="4">
        <f t="shared" si="34"/>
        <v>-9.5083378461414667E-2</v>
      </c>
      <c r="O142" s="4">
        <f t="shared" si="33"/>
        <v>0.14285385819407456</v>
      </c>
      <c r="P142" s="7">
        <v>314.10093870280775</v>
      </c>
      <c r="Q142" s="7">
        <v>-257.02293914259769</v>
      </c>
      <c r="R142" s="7">
        <v>57.07799956021006</v>
      </c>
      <c r="S142" s="4">
        <f t="shared" si="50"/>
        <v>1.2220735618019793</v>
      </c>
      <c r="T142" s="3">
        <v>3.9991979166666685</v>
      </c>
      <c r="U142" s="3">
        <v>28.103958333333335</v>
      </c>
      <c r="V142" s="7">
        <v>541.61799999999994</v>
      </c>
      <c r="W142">
        <v>48</v>
      </c>
      <c r="X142" s="13">
        <f t="shared" si="44"/>
        <v>223.82078647692722</v>
      </c>
      <c r="Y142" s="13">
        <f t="shared" si="45"/>
        <v>-197.83851031908574</v>
      </c>
      <c r="Z142" s="21">
        <f t="shared" si="46"/>
        <v>25.982276157841476</v>
      </c>
      <c r="AA142" s="224">
        <f t="shared" si="47"/>
        <v>197.83851031908574</v>
      </c>
      <c r="AB142" s="199">
        <f t="shared" si="48"/>
        <v>1.1313307308872056</v>
      </c>
      <c r="AC142" s="21">
        <f t="shared" si="51"/>
        <v>497.85879120879116</v>
      </c>
      <c r="AD142" s="4">
        <v>0.39900000000000002</v>
      </c>
      <c r="AE142" s="3">
        <v>1.95750278646506</v>
      </c>
      <c r="AF142" s="3">
        <f t="shared" si="43"/>
        <v>16.177152313378777</v>
      </c>
      <c r="AH142">
        <v>308.15403900000001</v>
      </c>
      <c r="AI142">
        <v>-188.058346</v>
      </c>
      <c r="AJ142" s="244">
        <f t="shared" si="49"/>
        <v>248.914243</v>
      </c>
      <c r="AK142" s="244">
        <f t="shared" si="42"/>
        <v>222.14567671428571</v>
      </c>
      <c r="AL142" s="3">
        <f t="shared" si="52"/>
        <v>-222.14567671428571</v>
      </c>
    </row>
    <row r="143" spans="1:38">
      <c r="A143" s="2">
        <v>41516</v>
      </c>
      <c r="B143" s="4">
        <v>29.000899334541728</v>
      </c>
      <c r="C143" s="4">
        <v>14.612028338148164</v>
      </c>
      <c r="D143" s="4">
        <v>6.8789487949763233</v>
      </c>
      <c r="E143" s="7">
        <v>246.47659427648259</v>
      </c>
      <c r="F143" s="4">
        <v>1.1118922113030496</v>
      </c>
      <c r="G143" s="4">
        <v>10.108794349351099</v>
      </c>
      <c r="H143" s="4">
        <v>40.919862626865203</v>
      </c>
      <c r="I143" s="4">
        <v>2.3052034593143937</v>
      </c>
      <c r="J143" s="3">
        <v>10.646721312920873</v>
      </c>
      <c r="K143" s="3">
        <v>-12.257857823538727</v>
      </c>
      <c r="L143" s="3">
        <v>-2.7503903639218596</v>
      </c>
      <c r="M143" s="3">
        <v>-0.60955999043030784</v>
      </c>
      <c r="N143" s="4">
        <f t="shared" si="34"/>
        <v>-0.25833214593341358</v>
      </c>
      <c r="O143" s="4">
        <f t="shared" si="33"/>
        <v>4.9728100880707858E-2</v>
      </c>
      <c r="P143" s="7">
        <v>317.24185379271461</v>
      </c>
      <c r="Q143" s="7">
        <v>-279.5591479946022</v>
      </c>
      <c r="R143" s="7">
        <v>37.682705798112409</v>
      </c>
      <c r="S143" s="4">
        <f t="shared" si="50"/>
        <v>1.1347933203703997</v>
      </c>
      <c r="T143" s="3">
        <v>4.7580937499999996</v>
      </c>
      <c r="U143" s="3">
        <v>28.472916666666666</v>
      </c>
      <c r="V143" s="7">
        <v>476.03800000000001</v>
      </c>
      <c r="W143">
        <v>48</v>
      </c>
      <c r="X143" s="13">
        <f t="shared" si="44"/>
        <v>224.69181878918201</v>
      </c>
      <c r="Y143" s="13">
        <f t="shared" si="45"/>
        <v>-195.90125863415088</v>
      </c>
      <c r="Z143" s="21">
        <f t="shared" si="46"/>
        <v>28.790560155031123</v>
      </c>
      <c r="AA143" s="224">
        <f t="shared" si="47"/>
        <v>195.90125863415088</v>
      </c>
      <c r="AB143" s="199">
        <f t="shared" si="48"/>
        <v>1.1469646512521801</v>
      </c>
      <c r="AC143" s="21">
        <f t="shared" si="51"/>
        <v>472.56672527472523</v>
      </c>
      <c r="AD143" s="4">
        <v>0.40560000000000002</v>
      </c>
      <c r="AE143" s="3">
        <v>1.87391965113674</v>
      </c>
      <c r="AF143" s="3">
        <f t="shared" si="43"/>
        <v>33.768604335741827</v>
      </c>
      <c r="AH143">
        <v>329.58732300000003</v>
      </c>
      <c r="AI143">
        <v>-348.62076400000001</v>
      </c>
      <c r="AJ143" s="244">
        <f t="shared" si="49"/>
        <v>249.9894622857143</v>
      </c>
      <c r="AK143" s="244">
        <f t="shared" si="42"/>
        <v>223.24780285714289</v>
      </c>
      <c r="AL143" s="3">
        <f t="shared" si="52"/>
        <v>-223.24780285714289</v>
      </c>
    </row>
    <row r="144" spans="1:38">
      <c r="A144" s="2">
        <v>41517</v>
      </c>
      <c r="B144" s="4">
        <v>28.738497983289644</v>
      </c>
      <c r="C144" s="4">
        <v>15.885122129299235</v>
      </c>
      <c r="D144" s="4">
        <v>7.9085135750386195</v>
      </c>
      <c r="E144" s="7">
        <v>234.34139497252863</v>
      </c>
      <c r="F144" s="4">
        <v>1.0600354491041704</v>
      </c>
      <c r="G144" s="4">
        <v>8.3143297100690248</v>
      </c>
      <c r="H144" s="4">
        <v>38.887942181854235</v>
      </c>
      <c r="I144" s="4">
        <v>2.2928808581465856</v>
      </c>
      <c r="J144" s="3">
        <v>4.3615557476315896</v>
      </c>
      <c r="K144" s="3">
        <v>-3.5792135568240173</v>
      </c>
      <c r="L144" s="3">
        <v>-1.5211167939803643</v>
      </c>
      <c r="M144" s="3">
        <v>-2.0039084445028516E-2</v>
      </c>
      <c r="N144" s="4">
        <f t="shared" si="34"/>
        <v>-0.34875555466793257</v>
      </c>
      <c r="O144" s="4">
        <f t="shared" si="33"/>
        <v>5.5987395350642379E-3</v>
      </c>
      <c r="P144" s="7">
        <v>119.59672884388527</v>
      </c>
      <c r="Q144" s="7">
        <v>-85.42018733709574</v>
      </c>
      <c r="R144" s="7">
        <v>34.176541506789533</v>
      </c>
      <c r="S144" s="4">
        <f t="shared" si="50"/>
        <v>1.4000991167570007</v>
      </c>
      <c r="T144" s="3">
        <v>3.3914166666666681</v>
      </c>
      <c r="U144" s="3">
        <v>27.560520833333332</v>
      </c>
      <c r="V144" s="7">
        <v>379.38200000000006</v>
      </c>
      <c r="W144">
        <v>48</v>
      </c>
      <c r="X144" s="13">
        <f t="shared" si="44"/>
        <v>226.50620027609133</v>
      </c>
      <c r="Y144" s="13">
        <f t="shared" si="45"/>
        <v>-194.20473523649602</v>
      </c>
      <c r="Z144" s="21">
        <f t="shared" si="46"/>
        <v>32.301465039595278</v>
      </c>
      <c r="AA144" s="224">
        <f t="shared" si="47"/>
        <v>194.20473523649602</v>
      </c>
      <c r="AB144" s="199">
        <f t="shared" si="48"/>
        <v>1.1663268663364963</v>
      </c>
      <c r="AC144" s="21">
        <f t="shared" si="51"/>
        <v>438.26314285714278</v>
      </c>
      <c r="AD144" s="4">
        <v>0.378</v>
      </c>
      <c r="AE144" s="3">
        <v>1.8738422730877</v>
      </c>
      <c r="AF144" s="3">
        <f t="shared" si="43"/>
        <v>27.523867391040206</v>
      </c>
      <c r="AH144">
        <v>262.70116899999999</v>
      </c>
      <c r="AI144">
        <v>-195.39483200000001</v>
      </c>
      <c r="AJ144" s="244">
        <f t="shared" si="49"/>
        <v>248.93862499999997</v>
      </c>
      <c r="AK144" s="244">
        <f t="shared" si="42"/>
        <v>227.8484302857143</v>
      </c>
      <c r="AL144" s="3">
        <f t="shared" si="52"/>
        <v>-227.8484302857143</v>
      </c>
    </row>
    <row r="145" spans="1:38">
      <c r="A145" s="2">
        <v>41518</v>
      </c>
      <c r="B145" s="4">
        <v>29.435614428087863</v>
      </c>
      <c r="C145" s="4">
        <v>14.951323708114154</v>
      </c>
      <c r="D145" s="4">
        <v>6.9947286188754818</v>
      </c>
      <c r="E145" s="7">
        <v>251.93630540893477</v>
      </c>
      <c r="F145" s="4">
        <v>1.1478116227505606</v>
      </c>
      <c r="G145" s="4">
        <v>4.2868063449737006</v>
      </c>
      <c r="H145" s="4">
        <v>39.207745720095467</v>
      </c>
      <c r="I145" s="4">
        <v>1.3978173582700173</v>
      </c>
      <c r="J145" s="3">
        <v>7.6697650599362328</v>
      </c>
      <c r="K145" s="3">
        <v>-3.7214732313045276</v>
      </c>
      <c r="L145" s="3">
        <v>-1.9916821392772492</v>
      </c>
      <c r="M145" s="3">
        <v>-0.5740078431575254</v>
      </c>
      <c r="N145" s="4">
        <f t="shared" si="34"/>
        <v>-0.25967968037000189</v>
      </c>
      <c r="O145" s="4">
        <f t="shared" si="33"/>
        <v>0.1542420991582176</v>
      </c>
      <c r="P145" s="7">
        <v>161.17881672428413</v>
      </c>
      <c r="Q145" s="7">
        <v>-75.539169315528028</v>
      </c>
      <c r="R145" s="7">
        <v>85.639647408756105</v>
      </c>
      <c r="S145" s="4">
        <f t="shared" si="50"/>
        <v>2.1337117972669022</v>
      </c>
      <c r="T145" s="3">
        <v>4.03609375</v>
      </c>
      <c r="U145" s="3">
        <v>28.170208333333331</v>
      </c>
      <c r="V145" s="7">
        <v>431.68</v>
      </c>
      <c r="W145">
        <v>48</v>
      </c>
      <c r="X145" s="13">
        <f t="shared" si="44"/>
        <v>210.59010866149765</v>
      </c>
      <c r="Y145" s="13">
        <f t="shared" si="45"/>
        <v>-158.81294248412161</v>
      </c>
      <c r="Z145" s="21">
        <f t="shared" si="46"/>
        <v>51.777166177376024</v>
      </c>
      <c r="AA145" s="224">
        <f t="shared" si="47"/>
        <v>158.81294248412161</v>
      </c>
      <c r="AB145" s="199">
        <f t="shared" si="48"/>
        <v>1.326026112025176</v>
      </c>
      <c r="AC145" s="21">
        <f t="shared" si="51"/>
        <v>431.40885714285713</v>
      </c>
      <c r="AD145" s="4">
        <v>0.34289999999999998</v>
      </c>
      <c r="AE145" s="3">
        <v>1.8865162916423099</v>
      </c>
      <c r="AF145" s="3">
        <f t="shared" si="43"/>
        <v>13.508086080508479</v>
      </c>
      <c r="AH145">
        <v>173.911215</v>
      </c>
      <c r="AI145">
        <v>-119.443592</v>
      </c>
      <c r="AJ145" s="244">
        <f t="shared" si="49"/>
        <v>233.59987557142856</v>
      </c>
      <c r="AK145" s="244">
        <f t="shared" si="42"/>
        <v>181.79003914285713</v>
      </c>
      <c r="AL145" s="3">
        <f t="shared" si="52"/>
        <v>-181.79003914285713</v>
      </c>
    </row>
    <row r="146" spans="1:38">
      <c r="A146" s="2">
        <v>41519</v>
      </c>
      <c r="B146" s="4">
        <v>29.563886108030982</v>
      </c>
      <c r="C146" s="4">
        <v>14.795833628371176</v>
      </c>
      <c r="D146" s="4">
        <v>6.8394924042492109</v>
      </c>
      <c r="E146" s="7">
        <v>261.20917021972792</v>
      </c>
      <c r="F146" s="4">
        <v>1.1913297731946855</v>
      </c>
      <c r="G146" s="4">
        <v>5.2985096374919776</v>
      </c>
      <c r="H146" s="4">
        <v>39.330648617679479</v>
      </c>
      <c r="I146" s="4">
        <v>1.1754643037817438</v>
      </c>
      <c r="J146" s="3">
        <v>7.9348038516388089</v>
      </c>
      <c r="K146" s="3">
        <v>-9.4933913405849619</v>
      </c>
      <c r="L146" s="3">
        <v>-1.6927366480440704</v>
      </c>
      <c r="M146" s="3">
        <v>-0.38838608286244403</v>
      </c>
      <c r="N146" s="4">
        <f t="shared" si="34"/>
        <v>-0.21333062287285934</v>
      </c>
      <c r="O146" s="4">
        <f t="shared" si="33"/>
        <v>4.091120537737282E-2</v>
      </c>
      <c r="P146" s="7">
        <v>235.71786744734848</v>
      </c>
      <c r="Q146" s="7">
        <v>-218.5201261853405</v>
      </c>
      <c r="R146" s="7">
        <v>17.19774126200798</v>
      </c>
      <c r="S146" s="4">
        <f t="shared" si="50"/>
        <v>1.0787009487969155</v>
      </c>
      <c r="T146" s="3">
        <v>3.8176562500000002</v>
      </c>
      <c r="U146" s="3">
        <v>27.933020833333334</v>
      </c>
      <c r="V146" s="7">
        <v>368.19400000000002</v>
      </c>
      <c r="W146">
        <v>48</v>
      </c>
      <c r="X146" s="13">
        <f t="shared" si="44"/>
        <v>177.3491526823822</v>
      </c>
      <c r="Y146" s="13">
        <f t="shared" si="45"/>
        <v>-135.75878459879505</v>
      </c>
      <c r="Z146" s="21">
        <f t="shared" si="46"/>
        <v>41.590368083587123</v>
      </c>
      <c r="AA146" s="224">
        <f t="shared" si="47"/>
        <v>135.75878459879505</v>
      </c>
      <c r="AB146" s="199">
        <f t="shared" si="48"/>
        <v>1.3063548941344625</v>
      </c>
      <c r="AC146" s="21">
        <f t="shared" si="51"/>
        <v>431.11200000000002</v>
      </c>
      <c r="AD146" s="4">
        <v>0.33850000000000002</v>
      </c>
      <c r="AE146" s="3">
        <v>1.8878016907208099</v>
      </c>
      <c r="AF146" s="3">
        <f t="shared" si="43"/>
        <v>17.028813538472082</v>
      </c>
      <c r="AH146">
        <v>252.40848700000001</v>
      </c>
      <c r="AI146">
        <v>-236.888508</v>
      </c>
      <c r="AJ146" s="244">
        <f t="shared" si="49"/>
        <v>201.70573485714289</v>
      </c>
      <c r="AK146" s="244">
        <f t="shared" si="42"/>
        <v>171.41637328571429</v>
      </c>
      <c r="AL146" s="3">
        <f t="shared" si="52"/>
        <v>-171.41637328571429</v>
      </c>
    </row>
    <row r="147" spans="1:38">
      <c r="A147" s="2">
        <v>41520</v>
      </c>
      <c r="B147" s="4">
        <v>29.505306782673973</v>
      </c>
      <c r="C147" s="4">
        <v>15.207889485508181</v>
      </c>
      <c r="D147" s="4">
        <v>7.1646860897834328</v>
      </c>
      <c r="E147" s="7">
        <v>253.34347849320628</v>
      </c>
      <c r="F147" s="4">
        <v>1.1565587813221734</v>
      </c>
      <c r="G147" s="4">
        <v>4.8903415956351841</v>
      </c>
      <c r="H147" s="4">
        <v>38.259755916629139</v>
      </c>
      <c r="I147" s="4">
        <v>0.94412519509739912</v>
      </c>
      <c r="J147" s="3">
        <v>7.9015808540238348</v>
      </c>
      <c r="K147" s="3">
        <v>-6.8643852314478284</v>
      </c>
      <c r="L147" s="3">
        <v>-1.1159237051925575</v>
      </c>
      <c r="M147" s="3">
        <v>-0.13466061222109746</v>
      </c>
      <c r="N147" s="4">
        <f t="shared" si="34"/>
        <v>-0.14122790436603325</v>
      </c>
      <c r="O147" s="4">
        <f t="shared" si="33"/>
        <v>1.9617286571297951E-2</v>
      </c>
      <c r="P147" s="7">
        <v>198.15263382874025</v>
      </c>
      <c r="Q147" s="7">
        <v>-161.51339086144156</v>
      </c>
      <c r="R147" s="7">
        <v>36.639242967298685</v>
      </c>
      <c r="S147" s="4">
        <f t="shared" si="50"/>
        <v>1.2268495681496192</v>
      </c>
      <c r="T147" s="3">
        <v>2.8488125000000006</v>
      </c>
      <c r="U147" s="3">
        <v>27.125520833333326</v>
      </c>
      <c r="V147" s="7">
        <v>313.34799999999996</v>
      </c>
      <c r="W147">
        <v>48</v>
      </c>
      <c r="X147" s="13">
        <f t="shared" si="44"/>
        <v>148.67441380252555</v>
      </c>
      <c r="Y147" s="13">
        <f t="shared" si="45"/>
        <v>-110.06022782636896</v>
      </c>
      <c r="Z147" s="21">
        <f t="shared" si="46"/>
        <v>38.614185976156612</v>
      </c>
      <c r="AA147" s="224">
        <f t="shared" si="47"/>
        <v>110.06022782636896</v>
      </c>
      <c r="AB147" s="199">
        <f t="shared" si="48"/>
        <v>1.3508459571524269</v>
      </c>
      <c r="AC147" s="21">
        <f t="shared" si="51"/>
        <v>434.27228571428572</v>
      </c>
      <c r="AD147" s="4">
        <v>0.33119999999999999</v>
      </c>
      <c r="AE147" s="3">
        <v>1.8913018938580699</v>
      </c>
      <c r="AF147" s="3">
        <f t="shared" si="43"/>
        <v>15.608388752810441</v>
      </c>
      <c r="AH147">
        <v>159.89026999999999</v>
      </c>
      <c r="AI147">
        <v>-162.617998</v>
      </c>
      <c r="AJ147" s="244">
        <f t="shared" si="49"/>
        <v>169.58292785714289</v>
      </c>
      <c r="AK147" s="244">
        <f t="shared" si="42"/>
        <v>131.04965114285713</v>
      </c>
      <c r="AL147" s="3">
        <f t="shared" si="52"/>
        <v>-131.04965114285713</v>
      </c>
    </row>
    <row r="148" spans="1:38">
      <c r="A148" s="2">
        <v>41521</v>
      </c>
      <c r="B148" s="4">
        <v>30.405850729899509</v>
      </c>
      <c r="C148" s="4">
        <v>14.817397953290964</v>
      </c>
      <c r="D148" s="4">
        <v>6.585705275870354</v>
      </c>
      <c r="E148" s="7">
        <v>279.77076936521763</v>
      </c>
      <c r="F148" s="4">
        <v>1.2944044343765582</v>
      </c>
      <c r="G148" s="4">
        <v>6.874117427714463</v>
      </c>
      <c r="H148" s="4">
        <v>36.534141778045104</v>
      </c>
      <c r="I148" s="4">
        <v>1.2354658820060094</v>
      </c>
      <c r="J148" s="3">
        <v>8.0264457208445101</v>
      </c>
      <c r="K148" s="3">
        <v>-2.2101456414519385</v>
      </c>
      <c r="L148" s="3">
        <v>-0.73553336644407219</v>
      </c>
      <c r="M148" s="3">
        <v>-0.78866078510837045</v>
      </c>
      <c r="N148" s="4">
        <f t="shared" si="34"/>
        <v>-9.1638739240945413E-2</v>
      </c>
      <c r="O148" s="4">
        <f t="shared" si="33"/>
        <v>0.35683656783372236</v>
      </c>
      <c r="P148" s="7">
        <v>128.14192129070304</v>
      </c>
      <c r="Q148" s="7">
        <v>-34.115636552245626</v>
      </c>
      <c r="R148" s="7">
        <v>94.026284738457406</v>
      </c>
      <c r="S148" s="4">
        <f t="shared" si="50"/>
        <v>3.7561052420775725</v>
      </c>
      <c r="T148" s="3">
        <v>2.2637187499999993</v>
      </c>
      <c r="U148" s="3">
        <v>28.750624999999999</v>
      </c>
      <c r="V148" s="7">
        <v>509.60200000000003</v>
      </c>
      <c r="W148">
        <v>48</v>
      </c>
      <c r="X148" s="13">
        <f t="shared" si="44"/>
        <v>151.65381839059543</v>
      </c>
      <c r="Y148" s="13">
        <f t="shared" si="45"/>
        <v>-114.66114829000519</v>
      </c>
      <c r="Z148" s="21">
        <f t="shared" si="46"/>
        <v>36.992670100590239</v>
      </c>
      <c r="AA148" s="224">
        <f t="shared" si="47"/>
        <v>114.66114829000519</v>
      </c>
      <c r="AB148" s="199">
        <f t="shared" si="48"/>
        <v>1.3226260215624828</v>
      </c>
      <c r="AC148" s="21">
        <f t="shared" si="51"/>
        <v>454.09171428571426</v>
      </c>
      <c r="AD148" s="4">
        <v>0.26119999999999999</v>
      </c>
      <c r="AE148" s="3">
        <v>1.90728440539914</v>
      </c>
      <c r="AF148" s="3">
        <f t="shared" si="43"/>
        <v>22.511928648446332</v>
      </c>
      <c r="AH148">
        <v>148.546626</v>
      </c>
      <c r="AI148">
        <v>-21.506233999999999</v>
      </c>
      <c r="AJ148" s="244">
        <f t="shared" si="49"/>
        <v>149.73291571428572</v>
      </c>
      <c r="AK148" s="244">
        <f t="shared" si="42"/>
        <v>120.95177185714286</v>
      </c>
      <c r="AL148" s="3">
        <f t="shared" si="52"/>
        <v>-120.95177185714286</v>
      </c>
    </row>
    <row r="149" spans="1:38">
      <c r="A149" s="2">
        <v>41522</v>
      </c>
      <c r="B149" s="4">
        <v>30.819568002376808</v>
      </c>
      <c r="C149" s="4">
        <v>15.029007667085979</v>
      </c>
      <c r="D149" s="4">
        <v>6.6097348037216257</v>
      </c>
      <c r="E149" s="7">
        <v>282.58939995694004</v>
      </c>
      <c r="F149" s="4">
        <v>1.3173909943917634</v>
      </c>
      <c r="G149" s="4">
        <v>5.9776267971722108</v>
      </c>
      <c r="H149" s="4">
        <v>33.89815834876056</v>
      </c>
      <c r="I149" s="4">
        <v>1.1504105934100457</v>
      </c>
      <c r="J149" s="3">
        <v>1.6278473189690066</v>
      </c>
      <c r="K149" s="3">
        <v>-4.717160737282704</v>
      </c>
      <c r="L149" s="3">
        <v>-0.85699930541566571</v>
      </c>
      <c r="M149" s="3">
        <v>-0.73200098956138748</v>
      </c>
      <c r="N149" s="4">
        <f t="shared" si="34"/>
        <v>-0.52646172366978761</v>
      </c>
      <c r="O149" s="4">
        <f t="shared" si="33"/>
        <v>0.15517830117085493</v>
      </c>
      <c r="P149" s="7">
        <v>81.414246848999397</v>
      </c>
      <c r="Q149" s="7">
        <v>-95.643833945311627</v>
      </c>
      <c r="R149" s="7">
        <v>-14.22958709631223</v>
      </c>
      <c r="S149" s="4">
        <f t="shared" si="50"/>
        <v>0.85122316296470724</v>
      </c>
      <c r="T149" s="3">
        <v>2.4519791666666664</v>
      </c>
      <c r="U149" s="3">
        <v>28.795416666666664</v>
      </c>
      <c r="V149" s="7">
        <v>539.54</v>
      </c>
      <c r="W149">
        <v>48</v>
      </c>
      <c r="X149" s="13">
        <f t="shared" si="44"/>
        <v>149.35794001585847</v>
      </c>
      <c r="Y149" s="13">
        <f t="shared" si="45"/>
        <v>-128.92821769207649</v>
      </c>
      <c r="Z149" s="21">
        <f t="shared" si="46"/>
        <v>20.429722323781977</v>
      </c>
      <c r="AA149" s="224">
        <f t="shared" si="47"/>
        <v>128.92821769207649</v>
      </c>
      <c r="AB149" s="199">
        <f t="shared" si="48"/>
        <v>1.158458114829253</v>
      </c>
      <c r="AC149" s="21">
        <f t="shared" si="51"/>
        <v>468.41028571428569</v>
      </c>
      <c r="AD149" s="4">
        <v>0.1913</v>
      </c>
      <c r="AE149" s="3">
        <v>1.9228872685683001</v>
      </c>
      <c r="AF149" s="3">
        <f t="shared" si="43"/>
        <v>19.392141254159295</v>
      </c>
      <c r="AH149">
        <v>84.895054000000002</v>
      </c>
      <c r="AI149">
        <v>-115.442685</v>
      </c>
      <c r="AJ149" s="244">
        <f t="shared" si="49"/>
        <v>153.67381214285714</v>
      </c>
      <c r="AK149" s="244">
        <f t="shared" si="42"/>
        <v>140.00911671428571</v>
      </c>
      <c r="AL149" s="3">
        <f t="shared" si="52"/>
        <v>-140.00911671428571</v>
      </c>
    </row>
    <row r="150" spans="1:38">
      <c r="A150" s="2">
        <v>41523</v>
      </c>
      <c r="B150" s="4">
        <v>30.935859200162682</v>
      </c>
      <c r="C150" s="4">
        <v>14.590683182784391</v>
      </c>
      <c r="D150" s="4">
        <v>6.2471601330079309</v>
      </c>
      <c r="E150" s="7">
        <v>281.52366882632282</v>
      </c>
      <c r="F150" s="4">
        <v>1.3116217185268015</v>
      </c>
      <c r="G150" s="4">
        <v>8.5573146788500392</v>
      </c>
      <c r="H150" s="4">
        <v>33.199946284769197</v>
      </c>
      <c r="I150" s="4">
        <v>1.4995449836120063</v>
      </c>
      <c r="J150" s="3">
        <v>4.3431100138423373</v>
      </c>
      <c r="K150" s="3">
        <v>-5.0952482939192159</v>
      </c>
      <c r="L150" s="3">
        <v>-0.82549907570454939</v>
      </c>
      <c r="M150" s="3">
        <v>-0.94236285276840082</v>
      </c>
      <c r="N150" s="4">
        <f t="shared" si="34"/>
        <v>-0.19007095677372277</v>
      </c>
      <c r="O150" s="4">
        <f t="shared" si="33"/>
        <v>0.18494934857110651</v>
      </c>
      <c r="P150" s="7">
        <v>116.5186816337184</v>
      </c>
      <c r="Q150" s="7">
        <v>-99.669250587619587</v>
      </c>
      <c r="R150" s="7">
        <v>16.849431046098815</v>
      </c>
      <c r="S150" s="4">
        <f t="shared" si="50"/>
        <v>1.1690534537659278</v>
      </c>
      <c r="T150" s="3">
        <v>2.6809687499999999</v>
      </c>
      <c r="U150" s="3">
        <v>29.16729166666666</v>
      </c>
      <c r="V150" s="7">
        <v>498.16</v>
      </c>
      <c r="W150">
        <v>48</v>
      </c>
      <c r="X150" s="13">
        <f t="shared" si="44"/>
        <v>163.54754888921315</v>
      </c>
      <c r="Y150" s="13">
        <f t="shared" si="45"/>
        <v>-165.97096581378324</v>
      </c>
      <c r="Z150" s="21">
        <f t="shared" si="46"/>
        <v>-2.4234169245700952</v>
      </c>
      <c r="AA150" s="224">
        <f t="shared" si="47"/>
        <v>165.97096581378324</v>
      </c>
      <c r="AB150" s="199">
        <f t="shared" si="48"/>
        <v>0.9853985490010998</v>
      </c>
      <c r="AC150" s="21">
        <f t="shared" si="51"/>
        <v>490.54257142857142</v>
      </c>
      <c r="AD150" s="4">
        <v>0.1356</v>
      </c>
      <c r="AE150" s="3">
        <v>1.8986490019014799</v>
      </c>
      <c r="AF150" s="3">
        <f t="shared" si="43"/>
        <v>28.369455082398137</v>
      </c>
      <c r="AH150">
        <v>104.72767399999999</v>
      </c>
      <c r="AI150">
        <v>-66.053708999999998</v>
      </c>
      <c r="AJ150" s="244">
        <f t="shared" si="49"/>
        <v>149.88928371428571</v>
      </c>
      <c r="AK150" s="244">
        <f t="shared" si="42"/>
        <v>131.35089214285713</v>
      </c>
      <c r="AL150" s="3">
        <f t="shared" si="52"/>
        <v>-131.35089214285713</v>
      </c>
    </row>
    <row r="151" spans="1:38">
      <c r="A151" s="2">
        <v>41524</v>
      </c>
      <c r="B151" s="4">
        <v>30.67144571270347</v>
      </c>
      <c r="C151" s="4">
        <v>14.607297115694875</v>
      </c>
      <c r="D151" s="4">
        <v>6.3457677125945011</v>
      </c>
      <c r="E151" s="7">
        <v>282.50877634290833</v>
      </c>
      <c r="F151" s="4">
        <v>1.3104363865349293</v>
      </c>
      <c r="G151" s="4">
        <v>8.7212212196076546</v>
      </c>
      <c r="H151" s="4">
        <v>33.180971896399882</v>
      </c>
      <c r="I151" s="4">
        <v>1.7496257150908265</v>
      </c>
      <c r="J151" s="3">
        <v>5.4137656833291929</v>
      </c>
      <c r="K151" s="3">
        <v>-5.2179340838028807</v>
      </c>
      <c r="L151" s="3">
        <v>-0.92132958589479241</v>
      </c>
      <c r="M151" s="3">
        <v>-0.31682447619665621</v>
      </c>
      <c r="N151" s="4">
        <f t="shared" si="34"/>
        <v>-0.17018275998384569</v>
      </c>
      <c r="O151" s="4">
        <f t="shared" si="33"/>
        <v>6.0718374572825473E-2</v>
      </c>
      <c r="P151" s="7">
        <v>140.45256096037426</v>
      </c>
      <c r="Q151" s="7">
        <v>-117.6266305825494</v>
      </c>
      <c r="R151" s="7">
        <v>22.825930377824861</v>
      </c>
      <c r="S151" s="4">
        <f t="shared" si="50"/>
        <v>1.1940541037754695</v>
      </c>
      <c r="T151" s="3">
        <v>2.0717604166666668</v>
      </c>
      <c r="U151" s="3">
        <v>28.622187499999999</v>
      </c>
      <c r="V151" s="7">
        <v>518.11799999999994</v>
      </c>
      <c r="W151">
        <v>48</v>
      </c>
      <c r="X151" s="13">
        <f t="shared" si="44"/>
        <v>176.60810085779494</v>
      </c>
      <c r="Y151" s="13">
        <f t="shared" si="45"/>
        <v>-170.31724317549779</v>
      </c>
      <c r="Z151" s="21">
        <f t="shared" si="46"/>
        <v>6.2908576822971884</v>
      </c>
      <c r="AA151" s="224">
        <f t="shared" si="47"/>
        <v>170.31724317549779</v>
      </c>
      <c r="AB151" s="199">
        <f t="shared" si="48"/>
        <v>1.0369361173596201</v>
      </c>
      <c r="AC151" s="21">
        <f t="shared" si="51"/>
        <v>518.77142857142849</v>
      </c>
      <c r="AD151" s="4">
        <v>0.1525</v>
      </c>
      <c r="AE151" s="3">
        <v>1.9324803772082999</v>
      </c>
      <c r="AF151" s="3">
        <f t="shared" si="43"/>
        <v>28.939849844234637</v>
      </c>
      <c r="AH151">
        <v>123.75108400000001</v>
      </c>
      <c r="AI151">
        <v>-124.709677</v>
      </c>
      <c r="AJ151" s="244">
        <f t="shared" si="49"/>
        <v>165.40092299999998</v>
      </c>
      <c r="AK151" s="244">
        <f t="shared" si="42"/>
        <v>154.86638228571428</v>
      </c>
      <c r="AL151" s="3">
        <f t="shared" si="52"/>
        <v>-154.86638228571428</v>
      </c>
    </row>
    <row r="152" spans="1:38">
      <c r="A152" s="2">
        <v>41525</v>
      </c>
      <c r="B152" s="4">
        <v>30.900293484184306</v>
      </c>
      <c r="C152" s="4">
        <v>13.955450969770373</v>
      </c>
      <c r="D152" s="4">
        <v>5.7870038302328402</v>
      </c>
      <c r="E152" s="7">
        <v>267.76653170056733</v>
      </c>
      <c r="F152" s="4">
        <v>1.2431073884020192</v>
      </c>
      <c r="G152" s="4">
        <v>7.1364566856867091</v>
      </c>
      <c r="H152" s="4">
        <v>33.615370960167461</v>
      </c>
      <c r="I152" s="4">
        <v>1.637146818331306</v>
      </c>
      <c r="J152" s="3">
        <v>3.6636276471647151</v>
      </c>
      <c r="K152" s="3">
        <v>-7.7958731309888103</v>
      </c>
      <c r="L152" s="3">
        <v>-0.71420199454434719</v>
      </c>
      <c r="M152" s="3">
        <v>-0.48717916723767968</v>
      </c>
      <c r="N152" s="4">
        <f t="shared" si="34"/>
        <v>-0.19494393626412029</v>
      </c>
      <c r="O152" s="4">
        <f t="shared" si="33"/>
        <v>6.2491931186146307E-2</v>
      </c>
      <c r="P152" s="7">
        <v>145.1076681011254</v>
      </c>
      <c r="Q152" s="7">
        <v>-175.40865513002711</v>
      </c>
      <c r="R152" s="7">
        <v>-30.300987028901716</v>
      </c>
      <c r="S152" s="4">
        <f t="shared" si="50"/>
        <v>0.82725489226036097</v>
      </c>
      <c r="T152" s="3">
        <v>2.3903333333333334</v>
      </c>
      <c r="U152" s="3">
        <v>28.971041666666661</v>
      </c>
      <c r="V152" s="7">
        <v>531.91</v>
      </c>
      <c r="W152">
        <v>48</v>
      </c>
      <c r="X152" s="13">
        <f t="shared" si="44"/>
        <v>193.72746387375511</v>
      </c>
      <c r="Y152" s="13">
        <f t="shared" si="45"/>
        <v>-214.71178481014627</v>
      </c>
      <c r="Z152" s="21">
        <f t="shared" si="46"/>
        <v>-20.984320936391157</v>
      </c>
      <c r="AA152" s="224">
        <f t="shared" si="47"/>
        <v>214.71178481014627</v>
      </c>
      <c r="AB152" s="199">
        <f t="shared" si="48"/>
        <v>0.90226749335186218</v>
      </c>
      <c r="AC152" s="21">
        <f t="shared" si="51"/>
        <v>523.25857142857137</v>
      </c>
      <c r="AD152" s="4">
        <v>0.23680000000000001</v>
      </c>
      <c r="AE152" s="3">
        <v>1.93005633564088</v>
      </c>
      <c r="AF152" s="3">
        <f t="shared" si="43"/>
        <v>23.424869266189749</v>
      </c>
      <c r="AH152">
        <v>201.49749</v>
      </c>
      <c r="AI152">
        <v>-252.84500600000001</v>
      </c>
      <c r="AJ152" s="244">
        <f t="shared" si="49"/>
        <v>190.67859457142859</v>
      </c>
      <c r="AK152" s="244">
        <f t="shared" si="42"/>
        <v>215.83664328571427</v>
      </c>
      <c r="AL152" s="3">
        <f t="shared" si="52"/>
        <v>-215.83664328571427</v>
      </c>
    </row>
    <row r="153" spans="1:38">
      <c r="A153" s="2">
        <v>41526</v>
      </c>
      <c r="B153" s="4">
        <v>30.474637690181169</v>
      </c>
      <c r="C153" s="4">
        <v>14.031651574172564</v>
      </c>
      <c r="D153" s="4">
        <v>5.9823716091680561</v>
      </c>
      <c r="E153" s="7">
        <v>261.81765190480695</v>
      </c>
      <c r="F153" s="4">
        <v>1.2064402822666045</v>
      </c>
      <c r="G153" s="4">
        <v>12.479849218211442</v>
      </c>
      <c r="H153" s="4">
        <v>35.248269601891046</v>
      </c>
      <c r="I153" s="4">
        <v>2.2716984794392943</v>
      </c>
      <c r="J153" s="3">
        <v>6.1933057967533731</v>
      </c>
      <c r="K153" s="3">
        <v>-20.26944650508732</v>
      </c>
      <c r="L153" s="3">
        <v>-0.88105444400921895</v>
      </c>
      <c r="M153" s="3">
        <v>-0.36030637853366448</v>
      </c>
      <c r="N153" s="4">
        <f t="shared" si="34"/>
        <v>-0.14225915414528398</v>
      </c>
      <c r="O153" s="4">
        <f t="shared" si="33"/>
        <v>1.7775837068034053E-2</v>
      </c>
      <c r="P153" s="7">
        <v>335.04512956083113</v>
      </c>
      <c r="Q153" s="7">
        <v>-477.81936303728764</v>
      </c>
      <c r="R153" s="7">
        <v>-142.77423347645652</v>
      </c>
      <c r="S153" s="4">
        <f t="shared" si="50"/>
        <v>0.70119621655994957</v>
      </c>
      <c r="T153" s="3">
        <v>2.7864479166666665</v>
      </c>
      <c r="U153" s="3">
        <v>29.260104166666661</v>
      </c>
      <c r="V153" s="7">
        <v>523.12</v>
      </c>
      <c r="W153">
        <v>48</v>
      </c>
      <c r="X153" s="13">
        <f t="shared" si="44"/>
        <v>242.60172074036512</v>
      </c>
      <c r="Y153" s="13">
        <f t="shared" si="45"/>
        <v>-280.95299692291599</v>
      </c>
      <c r="Z153" s="21">
        <f t="shared" si="46"/>
        <v>-38.351276182550876</v>
      </c>
      <c r="AA153" s="224">
        <f t="shared" si="47"/>
        <v>280.95299692291599</v>
      </c>
      <c r="AB153" s="199">
        <f t="shared" si="48"/>
        <v>0.86349575693234848</v>
      </c>
      <c r="AC153" s="21">
        <f t="shared" si="51"/>
        <v>521.69799999999998</v>
      </c>
      <c r="AD153" s="4">
        <v>0.28689999999999999</v>
      </c>
      <c r="AE153" s="3">
        <v>1.9069795868122399</v>
      </c>
      <c r="AF153" s="3">
        <f t="shared" si="43"/>
        <v>42.019875279375817</v>
      </c>
      <c r="AH153">
        <v>225.916788</v>
      </c>
      <c r="AI153">
        <v>-176.280936</v>
      </c>
      <c r="AJ153" s="244">
        <f t="shared" si="49"/>
        <v>268.00964199999999</v>
      </c>
      <c r="AK153" s="244">
        <f t="shared" si="42"/>
        <v>296.00145557142861</v>
      </c>
      <c r="AL153" s="3">
        <f t="shared" si="52"/>
        <v>-296.00145557142861</v>
      </c>
    </row>
    <row r="154" spans="1:38">
      <c r="A154" s="2">
        <v>41527</v>
      </c>
      <c r="B154" s="4">
        <v>30.588797872070703</v>
      </c>
      <c r="C154" s="4">
        <v>16.965149860140592</v>
      </c>
      <c r="D154" s="4">
        <v>8.1239987579516484</v>
      </c>
      <c r="E154" s="7">
        <v>234.95008562328189</v>
      </c>
      <c r="F154" s="4">
        <v>1.1017326671984575</v>
      </c>
      <c r="G154" s="4">
        <v>9.6267186728145333</v>
      </c>
      <c r="H154" s="4">
        <v>30.49290893974359</v>
      </c>
      <c r="I154" s="4">
        <v>1.8924635891380428</v>
      </c>
      <c r="J154" s="3">
        <v>14.283624158749959</v>
      </c>
      <c r="K154" s="3">
        <v>-7.7500858315245518</v>
      </c>
      <c r="L154" s="3">
        <v>-1.1981624733187495</v>
      </c>
      <c r="M154" s="3">
        <v>0.24730301820225736</v>
      </c>
      <c r="N154" s="4">
        <f t="shared" si="34"/>
        <v>-8.3883646055246494E-2</v>
      </c>
      <c r="O154" s="4">
        <f t="shared" si="33"/>
        <v>-3.1909713463600359E-2</v>
      </c>
      <c r="P154" s="7">
        <v>289.5764976088131</v>
      </c>
      <c r="Q154" s="7">
        <v>-191.9373323934434</v>
      </c>
      <c r="R154" s="7">
        <v>97.639165215369701</v>
      </c>
      <c r="S154" s="4">
        <f t="shared" si="50"/>
        <v>1.5087033564435695</v>
      </c>
      <c r="T154" s="3">
        <v>4.1055937500000006</v>
      </c>
      <c r="U154" s="3">
        <v>28.523020833333334</v>
      </c>
      <c r="V154" s="7">
        <v>510.95</v>
      </c>
      <c r="W154">
        <v>48</v>
      </c>
      <c r="X154" s="13">
        <f t="shared" si="44"/>
        <v>295.12515932899356</v>
      </c>
      <c r="Y154" s="13">
        <f t="shared" si="45"/>
        <v>-337.82024674321605</v>
      </c>
      <c r="Z154" s="21">
        <f t="shared" si="46"/>
        <v>-42.695087414222485</v>
      </c>
      <c r="AA154" s="224">
        <f t="shared" si="47"/>
        <v>337.82024674321605</v>
      </c>
      <c r="AB154" s="199">
        <f t="shared" si="48"/>
        <v>0.87361596048245183</v>
      </c>
      <c r="AC154" s="21">
        <f t="shared" si="51"/>
        <v>524.11142857142852</v>
      </c>
      <c r="AD154" s="4">
        <v>0.3453</v>
      </c>
      <c r="AE154" s="3">
        <v>1.9504331438828699</v>
      </c>
      <c r="AF154" s="3">
        <f t="shared" si="43"/>
        <v>32.09098098139458</v>
      </c>
      <c r="AH154">
        <v>268.471745</v>
      </c>
      <c r="AI154">
        <v>-327.226429</v>
      </c>
      <c r="AJ154" s="244">
        <f t="shared" si="49"/>
        <v>328.95939528571432</v>
      </c>
      <c r="AK154" s="244">
        <f t="shared" si="42"/>
        <v>363.62079114285706</v>
      </c>
      <c r="AL154" s="3">
        <f t="shared" si="52"/>
        <v>-363.62079114285706</v>
      </c>
    </row>
    <row r="155" spans="1:38">
      <c r="A155" s="2">
        <v>41528</v>
      </c>
      <c r="B155" s="4">
        <v>30.087987344540903</v>
      </c>
      <c r="C155" s="4">
        <v>17.344849040415301</v>
      </c>
      <c r="D155" s="4">
        <v>8.5683014117977816</v>
      </c>
      <c r="E155" s="7">
        <v>224.37266182537905</v>
      </c>
      <c r="F155" s="4">
        <v>1.0453923333623993</v>
      </c>
      <c r="G155" s="4">
        <v>5.1305985822088571</v>
      </c>
      <c r="H155" s="4">
        <v>29.845613822005699</v>
      </c>
      <c r="I155" s="4">
        <v>1.4144691633470732</v>
      </c>
      <c r="J155" s="3">
        <v>5.5145592473427207</v>
      </c>
      <c r="K155" s="3">
        <v>-13.873851496794623</v>
      </c>
      <c r="L155" s="3">
        <v>-0.22182865487279657</v>
      </c>
      <c r="M155" s="3">
        <v>0.49604133632141773</v>
      </c>
      <c r="N155" s="4">
        <f t="shared" si="34"/>
        <v>-4.0225999018813387E-2</v>
      </c>
      <c r="O155" s="4">
        <f t="shared" si="33"/>
        <v>-3.5753686453687483E-2</v>
      </c>
      <c r="P155" s="7">
        <v>247.97746240242407</v>
      </c>
      <c r="Q155" s="7">
        <v>-344.87742799478508</v>
      </c>
      <c r="R155" s="7">
        <v>-96.899965592361013</v>
      </c>
      <c r="S155" s="4">
        <f t="shared" si="50"/>
        <v>0.71903071141603891</v>
      </c>
      <c r="T155" s="3">
        <v>3.3443437499999997</v>
      </c>
      <c r="U155" s="3">
        <v>28.492812499999999</v>
      </c>
      <c r="V155" s="7">
        <v>541.01199999999994</v>
      </c>
      <c r="W155">
        <v>48</v>
      </c>
      <c r="X155" s="13">
        <f t="shared" si="44"/>
        <v>307.93259865703078</v>
      </c>
      <c r="Y155" s="13">
        <f t="shared" si="45"/>
        <v>-339.42802696087102</v>
      </c>
      <c r="Z155" s="21">
        <f t="shared" si="46"/>
        <v>-31.495428303840217</v>
      </c>
      <c r="AA155" s="224">
        <f t="shared" si="47"/>
        <v>339.42802696087102</v>
      </c>
      <c r="AB155" s="199">
        <f t="shared" si="48"/>
        <v>0.90721028965745654</v>
      </c>
      <c r="AC155" s="21">
        <f t="shared" si="51"/>
        <v>520.10428571428577</v>
      </c>
      <c r="AD155" s="4">
        <v>0.36849999999999999</v>
      </c>
      <c r="AE155" s="3">
        <v>1.9604683969994601</v>
      </c>
      <c r="AF155" s="3">
        <f t="shared" si="43"/>
        <v>16.444483066086821</v>
      </c>
      <c r="AH155">
        <v>325.49032699999998</v>
      </c>
      <c r="AI155">
        <v>-448.29806100000002</v>
      </c>
      <c r="AJ155" s="244">
        <f t="shared" si="49"/>
        <v>357.56796171428579</v>
      </c>
      <c r="AK155" s="244">
        <f t="shared" si="42"/>
        <v>373.73395799999992</v>
      </c>
      <c r="AL155" s="3">
        <f t="shared" si="52"/>
        <v>-373.73395799999992</v>
      </c>
    </row>
    <row r="156" spans="1:38">
      <c r="A156" s="2">
        <v>41529</v>
      </c>
      <c r="B156" s="4">
        <v>30.361935533463349</v>
      </c>
      <c r="C156" s="4">
        <v>18.08073044923518</v>
      </c>
      <c r="D156" s="4">
        <v>9.0257299200513472</v>
      </c>
      <c r="E156" s="7">
        <v>225.47911487632484</v>
      </c>
      <c r="F156" s="4">
        <v>1.0600308728407513</v>
      </c>
      <c r="G156" s="4">
        <v>6.2275397358837665</v>
      </c>
      <c r="H156" s="4">
        <v>28.248847128275738</v>
      </c>
      <c r="I156" s="4">
        <v>1.5205347724575653</v>
      </c>
      <c r="J156" s="3">
        <v>10.826323033132057</v>
      </c>
      <c r="K156" s="3">
        <v>-23.208625897323259</v>
      </c>
      <c r="L156" s="3">
        <v>-0.20876192262844881</v>
      </c>
      <c r="M156" s="3">
        <v>9.6887383289233894E-2</v>
      </c>
      <c r="N156" s="4">
        <f t="shared" ref="N156:N176" si="53">L156/J156</f>
        <v>-1.928280931481258E-2</v>
      </c>
      <c r="O156" s="4">
        <f t="shared" ref="O156:O176" si="54">M156/K156</f>
        <v>-4.1746281627301467E-3</v>
      </c>
      <c r="P156" s="7">
        <v>423.53404491526953</v>
      </c>
      <c r="Q156" s="7">
        <v>-559.33231873469981</v>
      </c>
      <c r="R156" s="7">
        <v>-135.79827381943028</v>
      </c>
      <c r="S156" s="4">
        <f t="shared" si="50"/>
        <v>0.75721361117371522</v>
      </c>
      <c r="T156" s="3">
        <v>2.7669791666666668</v>
      </c>
      <c r="U156" s="3">
        <v>28.487395833333341</v>
      </c>
      <c r="V156" s="7">
        <v>528.61599999999999</v>
      </c>
      <c r="W156">
        <v>48</v>
      </c>
      <c r="X156" s="13">
        <f t="shared" si="44"/>
        <v>314.34898577637688</v>
      </c>
      <c r="Y156" s="13">
        <f t="shared" si="45"/>
        <v>-334.63034533763226</v>
      </c>
      <c r="Z156" s="21">
        <f t="shared" si="46"/>
        <v>-20.281359561255368</v>
      </c>
      <c r="AA156" s="224">
        <f t="shared" si="47"/>
        <v>334.63034533763226</v>
      </c>
      <c r="AB156" s="199">
        <f t="shared" si="48"/>
        <v>0.93939175019888865</v>
      </c>
      <c r="AC156" s="21">
        <f t="shared" si="51"/>
        <v>518.28199999999993</v>
      </c>
      <c r="AD156" s="4">
        <v>0.44090000000000001</v>
      </c>
      <c r="AE156" s="3">
        <v>1.9441687151917699</v>
      </c>
      <c r="AF156" s="3">
        <f t="shared" si="43"/>
        <v>20.261838280875509</v>
      </c>
      <c r="AH156">
        <v>626.21238600000004</v>
      </c>
      <c r="AI156">
        <v>-676.59637099999998</v>
      </c>
      <c r="AJ156" s="244">
        <f t="shared" si="49"/>
        <v>365.11280228571428</v>
      </c>
      <c r="AK156" s="244">
        <f t="shared" si="42"/>
        <v>373.81489942857144</v>
      </c>
      <c r="AL156" s="3">
        <f t="shared" si="52"/>
        <v>-373.81489942857144</v>
      </c>
    </row>
    <row r="157" spans="1:38">
      <c r="A157" s="2">
        <v>41530</v>
      </c>
      <c r="B157" s="4">
        <v>30.342180916369617</v>
      </c>
      <c r="C157" s="4">
        <v>19.68305171130952</v>
      </c>
      <c r="D157" s="4">
        <v>10.225154496082263</v>
      </c>
      <c r="E157" s="7">
        <v>207.63385019800401</v>
      </c>
      <c r="F157" s="4">
        <v>0.98322711987963596</v>
      </c>
      <c r="G157" s="4">
        <v>5.4768203279134191</v>
      </c>
      <c r="H157" s="4">
        <v>25.45455311229561</v>
      </c>
      <c r="I157" s="4">
        <v>1.6737377528734347</v>
      </c>
      <c r="J157" s="3">
        <v>17.579657387497555</v>
      </c>
      <c r="K157" s="3">
        <v>-19.980133603007715</v>
      </c>
      <c r="L157" s="3">
        <v>-0.93923692680041682</v>
      </c>
      <c r="M157" s="3">
        <v>0.75903303573060188</v>
      </c>
      <c r="N157" s="4">
        <f t="shared" si="53"/>
        <v>-5.3427487583938414E-2</v>
      </c>
      <c r="O157" s="4">
        <f t="shared" si="54"/>
        <v>-3.7989387399108315E-2</v>
      </c>
      <c r="P157" s="7">
        <v>484.18275175411725</v>
      </c>
      <c r="Q157" s="7">
        <v>-497.73999932971969</v>
      </c>
      <c r="R157" s="7">
        <v>-13.557247575602446</v>
      </c>
      <c r="S157" s="4">
        <f t="shared" si="50"/>
        <v>0.97276239081878235</v>
      </c>
      <c r="T157" s="3">
        <v>4.0128437499999992</v>
      </c>
      <c r="U157" s="3">
        <v>28.6640625</v>
      </c>
      <c r="V157" s="7">
        <v>515.05399999999997</v>
      </c>
      <c r="W157">
        <v>48</v>
      </c>
      <c r="X157" s="13">
        <f t="shared" si="44"/>
        <v>288.32453997703817</v>
      </c>
      <c r="Y157" s="13">
        <f t="shared" si="45"/>
        <v>-295.30086437355266</v>
      </c>
      <c r="Z157" s="21">
        <f t="shared" si="46"/>
        <v>-6.9763243965145056</v>
      </c>
      <c r="AA157" s="224">
        <f t="shared" si="47"/>
        <v>295.30086437355266</v>
      </c>
      <c r="AB157" s="199">
        <f t="shared" si="48"/>
        <v>0.97637553682305001</v>
      </c>
      <c r="AC157" s="21">
        <f t="shared" si="51"/>
        <v>509.61114285714285</v>
      </c>
      <c r="AD157" s="4">
        <v>0.46</v>
      </c>
      <c r="AE157" s="3">
        <v>1.92325086922324</v>
      </c>
      <c r="AF157" s="3">
        <f t="shared" ref="AF157:AF176" si="55">3.48*G157-1.41</f>
        <v>17.649334741138698</v>
      </c>
      <c r="AH157">
        <v>531.375947</v>
      </c>
      <c r="AI157">
        <v>-539.38905799999998</v>
      </c>
      <c r="AJ157" s="244">
        <f t="shared" si="49"/>
        <v>361.82766128571433</v>
      </c>
      <c r="AK157" s="244">
        <f t="shared" si="42"/>
        <v>373.71427757142857</v>
      </c>
      <c r="AL157" s="3">
        <f t="shared" si="52"/>
        <v>-373.71427757142857</v>
      </c>
    </row>
    <row r="158" spans="1:38">
      <c r="A158" s="2">
        <v>41531</v>
      </c>
      <c r="B158" s="4">
        <v>29.842478372175147</v>
      </c>
      <c r="C158" s="4">
        <v>22.923338983050851</v>
      </c>
      <c r="D158" s="4">
        <v>12.799832093251114</v>
      </c>
      <c r="E158" s="7">
        <v>191.14511608403953</v>
      </c>
      <c r="F158" s="4">
        <v>0.91493861264104837</v>
      </c>
      <c r="G158" s="4">
        <v>5.0186629590395473</v>
      </c>
      <c r="H158" s="4">
        <v>20.526532309322036</v>
      </c>
      <c r="I158" s="4">
        <v>1.6828483403954804</v>
      </c>
      <c r="J158" s="3">
        <v>14.023721780810117</v>
      </c>
      <c r="K158" s="3">
        <v>-4.4427317146035561</v>
      </c>
      <c r="L158" s="3">
        <v>0.60971534591617449</v>
      </c>
      <c r="M158" s="3">
        <v>0.92731378981869184</v>
      </c>
      <c r="N158" s="4">
        <f t="shared" si="53"/>
        <v>4.3477427422333868E-2</v>
      </c>
      <c r="O158" s="4">
        <f t="shared" si="54"/>
        <v>-0.20872603825492084</v>
      </c>
      <c r="P158" s="7">
        <v>230.10463625663471</v>
      </c>
      <c r="Q158" s="7">
        <v>-128.88109210613396</v>
      </c>
      <c r="R158" s="7">
        <v>101.22354415050074</v>
      </c>
      <c r="S158" s="4">
        <f t="shared" si="50"/>
        <v>1.7854025947199677</v>
      </c>
      <c r="T158" s="3">
        <v>4.3422291666666659</v>
      </c>
      <c r="U158" s="3">
        <v>27.502812500000001</v>
      </c>
      <c r="V158" s="7">
        <v>490.06799999999987</v>
      </c>
      <c r="W158">
        <v>48</v>
      </c>
      <c r="X158" s="13">
        <f t="shared" si="44"/>
        <v>287.50578562728248</v>
      </c>
      <c r="Y158" s="13">
        <f t="shared" si="45"/>
        <v>-298.6087927350988</v>
      </c>
      <c r="Z158" s="21">
        <f t="shared" si="46"/>
        <v>-11.103007107816296</v>
      </c>
      <c r="AA158" s="224">
        <f t="shared" si="47"/>
        <v>298.6087927350988</v>
      </c>
      <c r="AB158" s="199">
        <f t="shared" si="48"/>
        <v>0.96281754798270125</v>
      </c>
      <c r="AC158" s="21">
        <f t="shared" si="51"/>
        <v>500.67828571428566</v>
      </c>
      <c r="AD158" s="4">
        <v>0.42980000000000002</v>
      </c>
      <c r="AE158" s="3">
        <v>1.91595692090395</v>
      </c>
      <c r="AF158" s="3">
        <f t="shared" si="55"/>
        <v>16.054947097457624</v>
      </c>
      <c r="AH158">
        <v>324.01104900000001</v>
      </c>
      <c r="AI158">
        <v>-195.501845</v>
      </c>
      <c r="AJ158" s="244">
        <f t="shared" si="49"/>
        <v>359.25215142857149</v>
      </c>
      <c r="AK158" s="244">
        <f t="shared" si="42"/>
        <v>361.11617999999999</v>
      </c>
      <c r="AL158" s="3">
        <f t="shared" si="52"/>
        <v>-361.11617999999999</v>
      </c>
    </row>
    <row r="159" spans="1:38">
      <c r="A159" s="2">
        <v>41532</v>
      </c>
      <c r="B159" s="4">
        <v>29.882754575697771</v>
      </c>
      <c r="C159" s="4">
        <v>19.910341865694466</v>
      </c>
      <c r="D159" s="4">
        <v>10.540734540539979</v>
      </c>
      <c r="E159" s="7">
        <v>218.1315209017416</v>
      </c>
      <c r="F159" s="4">
        <v>1.0295834013335365</v>
      </c>
      <c r="G159" s="4">
        <v>3.3660085554187393</v>
      </c>
      <c r="H159" s="4">
        <v>25.156187004080355</v>
      </c>
      <c r="I159" s="4">
        <v>1.3155995748225406</v>
      </c>
      <c r="J159" s="3">
        <v>9.8633858104428391</v>
      </c>
      <c r="K159" s="3">
        <v>-5.842454483195028</v>
      </c>
      <c r="L159" s="3">
        <v>0.2607251154536453</v>
      </c>
      <c r="M159" s="3">
        <v>6.6915673778142087E-2</v>
      </c>
      <c r="N159" s="4">
        <f t="shared" si="53"/>
        <v>2.6433632473100984E-2</v>
      </c>
      <c r="O159" s="4">
        <f t="shared" si="54"/>
        <v>-1.1453349610273441E-2</v>
      </c>
      <c r="P159" s="7">
        <v>190.02237793654828</v>
      </c>
      <c r="Q159" s="7">
        <v>-141.82488376735606</v>
      </c>
      <c r="R159" s="7">
        <v>48.197494169192225</v>
      </c>
      <c r="S159" s="4">
        <f t="shared" si="50"/>
        <v>1.339838065711046</v>
      </c>
      <c r="T159" s="3">
        <v>2.1391770833333337</v>
      </c>
      <c r="U159" s="3">
        <v>28.495104166666668</v>
      </c>
      <c r="V159" s="7">
        <v>519.154</v>
      </c>
      <c r="W159">
        <v>48</v>
      </c>
      <c r="X159" s="13">
        <f t="shared" si="44"/>
        <v>266.12334891129564</v>
      </c>
      <c r="Y159" s="13">
        <f t="shared" si="45"/>
        <v>-266.31240114633476</v>
      </c>
      <c r="Z159" s="21">
        <f t="shared" si="46"/>
        <v>-0.18905223503912996</v>
      </c>
      <c r="AA159" s="224">
        <f t="shared" si="47"/>
        <v>266.31240114633476</v>
      </c>
      <c r="AB159" s="199">
        <f t="shared" si="48"/>
        <v>0.99929011103416376</v>
      </c>
      <c r="AC159" s="21">
        <f t="shared" si="51"/>
        <v>473.65714285714284</v>
      </c>
      <c r="AD159" s="4">
        <v>0.41020000000000001</v>
      </c>
      <c r="AE159" s="3">
        <v>1.92711180907657</v>
      </c>
      <c r="AF159" s="3">
        <f t="shared" si="55"/>
        <v>10.303709772857212</v>
      </c>
      <c r="AH159">
        <v>254.311374</v>
      </c>
      <c r="AI159">
        <v>-253.411596</v>
      </c>
      <c r="AJ159" s="244">
        <f t="shared" si="49"/>
        <v>342.13467442857149</v>
      </c>
      <c r="AK159" s="244">
        <f t="shared" si="42"/>
        <v>335.82760542857142</v>
      </c>
      <c r="AL159" s="3">
        <f t="shared" si="52"/>
        <v>-335.82760542857142</v>
      </c>
    </row>
    <row r="160" spans="1:38">
      <c r="A160" s="2">
        <v>41533</v>
      </c>
      <c r="B160" s="4">
        <v>30.142534329948365</v>
      </c>
      <c r="C160" s="4">
        <v>21.035951806935508</v>
      </c>
      <c r="D160" s="4">
        <v>11.295207563663444</v>
      </c>
      <c r="E160" s="7">
        <v>219.50700354933758</v>
      </c>
      <c r="F160" s="4">
        <v>1.0461114206662494</v>
      </c>
      <c r="G160" s="4">
        <v>4.9247173801870261</v>
      </c>
      <c r="H160" s="4">
        <v>22.721163324323001</v>
      </c>
      <c r="I160" s="4">
        <v>1.2365888430255207</v>
      </c>
      <c r="J160" s="3">
        <v>3.995727407750461</v>
      </c>
      <c r="K160" s="3">
        <v>-8.5119678131189165</v>
      </c>
      <c r="L160" s="3">
        <v>-4.5742016174415444E-2</v>
      </c>
      <c r="M160" s="3">
        <v>-7.3926301088464486E-2</v>
      </c>
      <c r="N160" s="4">
        <f t="shared" si="53"/>
        <v>-1.1447731916268925E-2</v>
      </c>
      <c r="O160" s="4">
        <f t="shared" si="54"/>
        <v>8.6849836267621824E-3</v>
      </c>
      <c r="P160" s="7">
        <v>152.87400896546032</v>
      </c>
      <c r="Q160" s="7">
        <v>-202.51299628873079</v>
      </c>
      <c r="R160" s="7">
        <v>-49.63898732327047</v>
      </c>
      <c r="S160" s="4">
        <f t="shared" si="50"/>
        <v>0.75488492969360743</v>
      </c>
      <c r="T160" s="3">
        <v>3.1982499999999994</v>
      </c>
      <c r="U160" s="3">
        <v>27.691666666666652</v>
      </c>
      <c r="V160" s="7">
        <v>462.42400000000009</v>
      </c>
      <c r="W160">
        <v>48</v>
      </c>
      <c r="X160" s="13">
        <f t="shared" ref="X160:X173" si="56">AVERAGE(P157:P163)</f>
        <v>227.06701808585572</v>
      </c>
      <c r="Y160" s="13">
        <f t="shared" ref="Y160:Y173" si="57">AVERAGE(Q157:Q163)</f>
        <v>-210.75485220485356</v>
      </c>
      <c r="Z160" s="21">
        <f t="shared" ref="Z160:Z173" si="58">AVERAGE(R157:R163)</f>
        <v>16.312165881002134</v>
      </c>
      <c r="AA160" s="224">
        <f t="shared" ref="AA160:AA173" si="59">-Y160</f>
        <v>210.75485220485356</v>
      </c>
      <c r="AB160" s="199">
        <f t="shared" ref="AB160:AB173" si="60">X160/-Y160</f>
        <v>1.0773987678591939</v>
      </c>
      <c r="AC160" s="21">
        <f t="shared" si="51"/>
        <v>467.60885714285718</v>
      </c>
      <c r="AD160" s="4">
        <v>0.3427</v>
      </c>
      <c r="AE160" s="3">
        <v>1.9977284239236299</v>
      </c>
      <c r="AF160" s="3">
        <f t="shared" si="55"/>
        <v>15.728016483050851</v>
      </c>
      <c r="AH160">
        <v>202.92080100000001</v>
      </c>
      <c r="AI160">
        <v>-175.576583</v>
      </c>
      <c r="AJ160" s="244">
        <f t="shared" ref="AJ160:AJ173" si="61">AVERAGE(AH157:AH163)</f>
        <v>309.05711600000001</v>
      </c>
      <c r="AK160" s="244">
        <f t="shared" si="42"/>
        <v>314.38775728571426</v>
      </c>
      <c r="AL160" s="3">
        <f t="shared" si="52"/>
        <v>-314.38775728571426</v>
      </c>
    </row>
    <row r="161" spans="1:38">
      <c r="A161" s="2">
        <v>41534</v>
      </c>
      <c r="B161" s="4">
        <v>29.970528290151758</v>
      </c>
      <c r="C161" s="4">
        <v>20.535915413042176</v>
      </c>
      <c r="D161" s="4">
        <v>10.978970151544482</v>
      </c>
      <c r="E161" s="7">
        <v>232.0753706893147</v>
      </c>
      <c r="F161" s="4">
        <v>1.0999986672159927</v>
      </c>
      <c r="G161" s="4">
        <v>7.2409724959805004</v>
      </c>
      <c r="H161" s="4">
        <v>22.945011857280576</v>
      </c>
      <c r="I161" s="4">
        <v>1.3543748273590674</v>
      </c>
      <c r="J161" s="3">
        <v>14.356963099759106</v>
      </c>
      <c r="K161" s="3">
        <v>-9.1626174041671238</v>
      </c>
      <c r="L161" s="3">
        <v>-1.0579487936335716E-2</v>
      </c>
      <c r="M161" s="3">
        <v>-0.20041611565603426</v>
      </c>
      <c r="N161" s="4">
        <f t="shared" si="53"/>
        <v>-7.3688898291542082E-4</v>
      </c>
      <c r="O161" s="4">
        <f t="shared" si="54"/>
        <v>2.1873238488042266E-2</v>
      </c>
      <c r="P161" s="7">
        <v>283.84521716052342</v>
      </c>
      <c r="Q161" s="7">
        <v>-215.09283092426625</v>
      </c>
      <c r="R161" s="7">
        <v>68.752386236257166</v>
      </c>
      <c r="S161" s="4">
        <f t="shared" si="50"/>
        <v>1.3196405288861754</v>
      </c>
      <c r="T161" s="3">
        <v>4.3480729166666663</v>
      </c>
      <c r="U161" s="3">
        <v>27.520833333333332</v>
      </c>
      <c r="V161" s="7">
        <v>448.42</v>
      </c>
      <c r="W161">
        <v>48</v>
      </c>
      <c r="X161" s="13">
        <f t="shared" si="56"/>
        <v>188.55985666811708</v>
      </c>
      <c r="Y161" s="13">
        <f t="shared" si="57"/>
        <v>-177.50293731086302</v>
      </c>
      <c r="Z161" s="21">
        <f t="shared" si="58"/>
        <v>11.056919357254019</v>
      </c>
      <c r="AA161" s="224">
        <f t="shared" si="59"/>
        <v>177.50293731086302</v>
      </c>
      <c r="AB161" s="199">
        <f t="shared" si="60"/>
        <v>1.0622914726075205</v>
      </c>
      <c r="AC161" s="21">
        <f t="shared" si="51"/>
        <v>464.50742857142865</v>
      </c>
      <c r="AD161" s="4">
        <v>0.29759999999999998</v>
      </c>
      <c r="AE161" s="3">
        <v>1.99302401599686</v>
      </c>
      <c r="AF161" s="3">
        <f t="shared" si="55"/>
        <v>23.788584286012142</v>
      </c>
      <c r="AH161">
        <v>250.44317599999999</v>
      </c>
      <c r="AI161">
        <v>-239.03974600000001</v>
      </c>
      <c r="AJ161" s="244">
        <f t="shared" si="61"/>
        <v>289.43904628571426</v>
      </c>
      <c r="AK161" s="244">
        <f t="shared" ref="AK161:AK173" si="62">-AVERAGE(AI158:AI164)</f>
        <v>276.55502500000006</v>
      </c>
      <c r="AL161" s="3">
        <f t="shared" si="52"/>
        <v>-276.55502500000006</v>
      </c>
    </row>
    <row r="162" spans="1:38">
      <c r="A162" s="2">
        <v>41535</v>
      </c>
      <c r="B162" s="4">
        <v>29.311102855907858</v>
      </c>
      <c r="C162" s="4">
        <v>19.894808214007398</v>
      </c>
      <c r="D162" s="4">
        <v>10.714209308674336</v>
      </c>
      <c r="E162" s="7">
        <v>226.81134859609384</v>
      </c>
      <c r="F162" s="4">
        <v>1.0594754066931167</v>
      </c>
      <c r="G162" s="4">
        <v>2.7861321534677574</v>
      </c>
      <c r="H162" s="4">
        <v>25.426674617669974</v>
      </c>
      <c r="I162" s="4">
        <v>0.88562285700370158</v>
      </c>
      <c r="J162" s="3">
        <v>2.2732368675668084</v>
      </c>
      <c r="K162" s="3">
        <v>-4.358532707123568</v>
      </c>
      <c r="L162" s="3">
        <v>-0.91185714272615859</v>
      </c>
      <c r="M162" s="3">
        <v>0.59157924593629307</v>
      </c>
      <c r="N162" s="4">
        <f t="shared" si="53"/>
        <v>-0.40112720136471214</v>
      </c>
      <c r="O162" s="4">
        <f t="shared" si="54"/>
        <v>-0.1357289908526827</v>
      </c>
      <c r="P162" s="7">
        <v>98.30040539051582</v>
      </c>
      <c r="Q162" s="7">
        <v>-118.80268687343667</v>
      </c>
      <c r="R162" s="7">
        <v>-20.50228148292085</v>
      </c>
      <c r="S162" s="4">
        <f t="shared" si="50"/>
        <v>0.82742577611260237</v>
      </c>
      <c r="T162" s="3">
        <v>6.2870104166666652</v>
      </c>
      <c r="U162" s="3">
        <v>27.012291666666659</v>
      </c>
      <c r="V162" s="7">
        <v>351.86400000000003</v>
      </c>
      <c r="W162">
        <v>48</v>
      </c>
      <c r="X162" s="13">
        <f t="shared" si="56"/>
        <v>167.63732859938219</v>
      </c>
      <c r="Y162" s="13">
        <f t="shared" si="57"/>
        <v>-173.00838636796522</v>
      </c>
      <c r="Z162" s="21">
        <f t="shared" si="58"/>
        <v>-5.3710577685830696</v>
      </c>
      <c r="AA162" s="224">
        <f t="shared" si="59"/>
        <v>173.00838636796522</v>
      </c>
      <c r="AB162" s="199">
        <f t="shared" si="60"/>
        <v>0.96895492824746932</v>
      </c>
      <c r="AC162" s="21">
        <f t="shared" si="51"/>
        <v>410.5397142857143</v>
      </c>
      <c r="AD162" s="4">
        <v>0.16900000000000001</v>
      </c>
      <c r="AE162" s="3">
        <v>2.0674894067796599</v>
      </c>
      <c r="AF162" s="3">
        <f t="shared" si="55"/>
        <v>8.2857398940677953</v>
      </c>
      <c r="AH162">
        <v>205.66798800000001</v>
      </c>
      <c r="AI162">
        <v>-271.27803899999998</v>
      </c>
      <c r="AJ162" s="244">
        <f t="shared" si="61"/>
        <v>252.72128614285717</v>
      </c>
      <c r="AK162" s="244">
        <f t="shared" si="62"/>
        <v>256.62243700000005</v>
      </c>
      <c r="AL162" s="3">
        <f t="shared" si="52"/>
        <v>-256.62243700000005</v>
      </c>
    </row>
    <row r="163" spans="1:38">
      <c r="A163" s="2">
        <v>41536</v>
      </c>
      <c r="B163" s="4">
        <v>28.81323612288136</v>
      </c>
      <c r="C163" s="4">
        <v>19.75954043079096</v>
      </c>
      <c r="D163" s="4">
        <v>10.77108848417816</v>
      </c>
      <c r="E163" s="7">
        <v>224.69186970338998</v>
      </c>
      <c r="F163" s="4">
        <v>1.0405102892447673</v>
      </c>
      <c r="G163" s="4">
        <v>2.1771839689265549</v>
      </c>
      <c r="H163" s="4">
        <v>25.825149364406794</v>
      </c>
      <c r="I163" s="4">
        <v>0.85417196327683576</v>
      </c>
      <c r="J163" s="3">
        <v>4.9665787114334981</v>
      </c>
      <c r="K163" s="3">
        <v>-6.7091062289805414</v>
      </c>
      <c r="L163" s="3">
        <v>-0.35755000999799308</v>
      </c>
      <c r="M163" s="3">
        <v>0.39212194369994513</v>
      </c>
      <c r="N163" s="4">
        <f t="shared" si="53"/>
        <v>-7.1991209798987321E-2</v>
      </c>
      <c r="O163" s="4">
        <f t="shared" si="54"/>
        <v>-5.8446226712902803E-2</v>
      </c>
      <c r="P163" s="7">
        <v>150.13972913719016</v>
      </c>
      <c r="Q163" s="7">
        <v>-170.4294761443316</v>
      </c>
      <c r="R163" s="7">
        <v>-20.289747007141443</v>
      </c>
      <c r="S163" s="4">
        <f t="shared" si="50"/>
        <v>0.88094930838161667</v>
      </c>
      <c r="T163" s="3">
        <v>3.7238124999999993</v>
      </c>
      <c r="U163" s="3">
        <v>27.3784375</v>
      </c>
      <c r="V163" s="7">
        <v>486.27800000000008</v>
      </c>
      <c r="W163">
        <v>48</v>
      </c>
      <c r="X163" s="13">
        <f t="shared" si="56"/>
        <v>163.07996230355366</v>
      </c>
      <c r="Y163" s="13">
        <f t="shared" si="57"/>
        <v>-177.43250498885575</v>
      </c>
      <c r="Z163" s="21">
        <f t="shared" si="58"/>
        <v>-14.352542685302113</v>
      </c>
      <c r="AA163" s="224">
        <f t="shared" si="59"/>
        <v>177.43250498885575</v>
      </c>
      <c r="AB163" s="199">
        <f t="shared" si="60"/>
        <v>0.91910984581881683</v>
      </c>
      <c r="AC163" s="21">
        <f t="shared" si="51"/>
        <v>361.76503571428566</v>
      </c>
      <c r="AD163" s="4">
        <v>0.27679999999999999</v>
      </c>
      <c r="AE163" s="3">
        <v>2.08939265536723</v>
      </c>
      <c r="AF163" s="3">
        <f t="shared" si="55"/>
        <v>6.1666002118644103</v>
      </c>
      <c r="AH163">
        <v>394.66947699999997</v>
      </c>
      <c r="AI163">
        <v>-526.51743399999998</v>
      </c>
      <c r="AJ163" s="244">
        <f t="shared" si="61"/>
        <v>232.46131671428574</v>
      </c>
      <c r="AK163" s="244">
        <f t="shared" si="62"/>
        <v>242.28264085714289</v>
      </c>
      <c r="AL163" s="3">
        <f t="shared" si="52"/>
        <v>-242.28264085714289</v>
      </c>
    </row>
    <row r="164" spans="1:38">
      <c r="A164" s="2">
        <v>41537</v>
      </c>
      <c r="B164" s="4">
        <v>29.358156849663185</v>
      </c>
      <c r="C164" s="4">
        <v>20.509208619679672</v>
      </c>
      <c r="D164" s="4">
        <v>11.155749474887022</v>
      </c>
      <c r="E164" s="7">
        <v>228.23920453791456</v>
      </c>
      <c r="F164" s="4">
        <v>1.0715745063314073</v>
      </c>
      <c r="G164" s="4">
        <v>2.7555639025124403</v>
      </c>
      <c r="H164" s="4">
        <v>23.130865661020589</v>
      </c>
      <c r="I164" s="4">
        <v>1.3940285638105321</v>
      </c>
      <c r="J164" s="3">
        <v>6.4255254416605405</v>
      </c>
      <c r="K164" s="3">
        <v>-10.580798049525146</v>
      </c>
      <c r="L164" s="3">
        <v>-0.29648283466535358</v>
      </c>
      <c r="M164" s="3">
        <v>0.45989341179926063</v>
      </c>
      <c r="N164" s="4">
        <f t="shared" si="53"/>
        <v>-4.6141414792800803E-2</v>
      </c>
      <c r="O164" s="4">
        <f t="shared" si="54"/>
        <v>-4.3464907811930131E-2</v>
      </c>
      <c r="P164" s="7">
        <v>214.63262182994657</v>
      </c>
      <c r="Q164" s="7">
        <v>-264.97659507178582</v>
      </c>
      <c r="R164" s="7">
        <v>-50.343973241839251</v>
      </c>
      <c r="S164" s="4">
        <f t="shared" si="50"/>
        <v>0.81000596211827547</v>
      </c>
      <c r="T164" s="3">
        <v>3.1041979166666667</v>
      </c>
      <c r="U164" s="3">
        <v>28.7653125</v>
      </c>
      <c r="V164" s="7">
        <v>493.34399999999999</v>
      </c>
      <c r="W164">
        <v>48</v>
      </c>
      <c r="X164" s="13">
        <f t="shared" si="56"/>
        <v>173.73181140886271</v>
      </c>
      <c r="Y164" s="13">
        <f t="shared" si="57"/>
        <v>-184.32316094902572</v>
      </c>
      <c r="Z164" s="21">
        <f t="shared" si="58"/>
        <v>-10.591349540163021</v>
      </c>
      <c r="AA164" s="224">
        <f t="shared" si="59"/>
        <v>184.32316094902572</v>
      </c>
      <c r="AB164" s="199">
        <f t="shared" si="60"/>
        <v>0.94253923660145977</v>
      </c>
      <c r="AC164" s="21">
        <f t="shared" si="51"/>
        <v>356.31785714285712</v>
      </c>
      <c r="AD164" s="4">
        <v>0.25030000000000002</v>
      </c>
      <c r="AE164" s="3">
        <v>2.0365895427494198</v>
      </c>
      <c r="AF164" s="3">
        <f t="shared" si="55"/>
        <v>8.1793623807432922</v>
      </c>
      <c r="AH164">
        <v>394.04945900000001</v>
      </c>
      <c r="AI164">
        <v>-274.559932</v>
      </c>
      <c r="AJ164" s="244">
        <f t="shared" si="61"/>
        <v>238.11694757142862</v>
      </c>
      <c r="AK164" s="244">
        <f t="shared" si="62"/>
        <v>249.0156498571429</v>
      </c>
      <c r="AL164" s="3">
        <f t="shared" si="52"/>
        <v>-249.0156498571429</v>
      </c>
    </row>
    <row r="165" spans="1:38">
      <c r="A165" s="2">
        <v>41538</v>
      </c>
      <c r="B165" s="4">
        <v>28.085792425847441</v>
      </c>
      <c r="C165" s="4">
        <v>20.755288135593215</v>
      </c>
      <c r="D165" s="4">
        <v>11.741811113965786</v>
      </c>
      <c r="E165" s="7">
        <v>202.94733734992937</v>
      </c>
      <c r="F165" s="4">
        <v>0.93251378841917221</v>
      </c>
      <c r="G165" s="4">
        <v>3.8301564265536729</v>
      </c>
      <c r="H165" s="4">
        <v>23.214364406779662</v>
      </c>
      <c r="I165" s="4">
        <v>1.5116453036723165</v>
      </c>
      <c r="J165" s="3">
        <v>3.6452207342717768</v>
      </c>
      <c r="K165" s="3">
        <v>-3.8241496648834716</v>
      </c>
      <c r="L165" s="3">
        <v>0.78185018628542446</v>
      </c>
      <c r="M165" s="3">
        <v>0.23498514786025285</v>
      </c>
      <c r="N165" s="4">
        <f t="shared" si="53"/>
        <v>0.21448637634878878</v>
      </c>
      <c r="O165" s="4">
        <f t="shared" si="54"/>
        <v>-6.1447686009279988E-2</v>
      </c>
      <c r="P165" s="7">
        <v>83.646939775490537</v>
      </c>
      <c r="Q165" s="7">
        <v>-97.4192355058494</v>
      </c>
      <c r="R165" s="7">
        <v>-13.772295730358863</v>
      </c>
      <c r="S165" s="4">
        <f t="shared" si="50"/>
        <v>0.85862857926521174</v>
      </c>
      <c r="T165" s="3">
        <v>3.6521145833333351</v>
      </c>
      <c r="U165" s="3">
        <v>25.299062500000002</v>
      </c>
      <c r="V165" s="7">
        <v>112.294</v>
      </c>
      <c r="W165">
        <v>48</v>
      </c>
      <c r="X165" s="13">
        <f t="shared" si="56"/>
        <v>162.53151673504939</v>
      </c>
      <c r="Y165" s="13">
        <f t="shared" si="57"/>
        <v>-190.64214553577813</v>
      </c>
      <c r="Z165" s="21">
        <f t="shared" si="58"/>
        <v>-28.110628800728698</v>
      </c>
      <c r="AA165" s="224">
        <f t="shared" si="59"/>
        <v>190.64214553577813</v>
      </c>
      <c r="AB165" s="199">
        <f t="shared" si="60"/>
        <v>0.85254766871340537</v>
      </c>
      <c r="AC165" s="21">
        <f t="shared" si="51"/>
        <v>318.95041666666668</v>
      </c>
      <c r="AD165" s="4">
        <v>0.19750000000000001</v>
      </c>
      <c r="AE165" s="3">
        <v>2.0115572033898301</v>
      </c>
      <c r="AF165" s="3">
        <f t="shared" si="55"/>
        <v>11.918944364406782</v>
      </c>
      <c r="AH165">
        <v>66.986727999999999</v>
      </c>
      <c r="AI165">
        <v>-55.973728999999999</v>
      </c>
      <c r="AJ165" s="244">
        <f t="shared" si="61"/>
        <v>231.89140471428573</v>
      </c>
      <c r="AK165" s="244">
        <f t="shared" si="62"/>
        <v>251.19528314285711</v>
      </c>
      <c r="AL165" s="3">
        <f t="shared" si="52"/>
        <v>-251.19528314285711</v>
      </c>
    </row>
    <row r="166" spans="1:38">
      <c r="A166" s="2">
        <v>41539</v>
      </c>
      <c r="B166" s="4">
        <v>27.779166419491531</v>
      </c>
      <c r="C166" s="4">
        <v>21.708031956214679</v>
      </c>
      <c r="D166" s="4">
        <v>12.548475127777905</v>
      </c>
      <c r="E166" s="7">
        <v>195.57997329625701</v>
      </c>
      <c r="F166" s="4">
        <v>0.89847088053080781</v>
      </c>
      <c r="G166" s="4">
        <v>2.9527957274011309</v>
      </c>
      <c r="H166" s="4">
        <v>21.734649011299449</v>
      </c>
      <c r="I166" s="4">
        <v>0.87997687146892678</v>
      </c>
      <c r="J166" s="3">
        <v>6.8163529918241439</v>
      </c>
      <c r="K166" s="3">
        <v>-6.5815621128536757</v>
      </c>
      <c r="L166" s="3">
        <v>0.83935659107815319</v>
      </c>
      <c r="M166" s="3">
        <v>0.61817597521257472</v>
      </c>
      <c r="N166" s="4">
        <f t="shared" si="53"/>
        <v>0.12313866257878915</v>
      </c>
      <c r="O166" s="4">
        <f t="shared" si="54"/>
        <v>-9.3925418405652952E-2</v>
      </c>
      <c r="P166" s="7">
        <v>158.12081386574889</v>
      </c>
      <c r="Q166" s="7">
        <v>-172.79371411358997</v>
      </c>
      <c r="R166" s="7">
        <v>-14.672900247841085</v>
      </c>
      <c r="S166" s="4">
        <f t="shared" si="50"/>
        <v>0.91508429387543855</v>
      </c>
      <c r="T166" s="3">
        <v>4.9016979166666683</v>
      </c>
      <c r="U166" s="3">
        <v>23.377604166666668</v>
      </c>
      <c r="V166" s="7">
        <v>177.73124999999999</v>
      </c>
      <c r="W166">
        <v>48</v>
      </c>
      <c r="X166" s="13">
        <f t="shared" si="56"/>
        <v>187.05476724611208</v>
      </c>
      <c r="Y166" s="13">
        <f t="shared" si="57"/>
        <v>-204.41006722122304</v>
      </c>
      <c r="Z166" s="21">
        <f t="shared" si="58"/>
        <v>-17.35529997511097</v>
      </c>
      <c r="AA166" s="224">
        <f t="shared" si="59"/>
        <v>204.41006722122304</v>
      </c>
      <c r="AB166" s="199">
        <f t="shared" si="60"/>
        <v>0.91509566915641116</v>
      </c>
      <c r="AC166" s="21">
        <f t="shared" si="51"/>
        <v>339.37847619047625</v>
      </c>
      <c r="AD166" s="4">
        <v>0.36</v>
      </c>
      <c r="AE166" s="3">
        <v>1.99917372881356</v>
      </c>
      <c r="AF166" s="3">
        <f t="shared" si="55"/>
        <v>8.8657291313559359</v>
      </c>
      <c r="AH166">
        <v>112.49158799999999</v>
      </c>
      <c r="AI166">
        <v>-153.03302299999999</v>
      </c>
      <c r="AJ166" s="244">
        <f t="shared" si="61"/>
        <v>236.93579299999996</v>
      </c>
      <c r="AK166" s="244">
        <f t="shared" si="62"/>
        <v>239.32233314285713</v>
      </c>
      <c r="AL166" s="3">
        <f t="shared" si="52"/>
        <v>-239.32233314285713</v>
      </c>
    </row>
    <row r="167" spans="1:38">
      <c r="A167" s="2">
        <v>41540</v>
      </c>
      <c r="B167" s="4">
        <v>27.935416046047461</v>
      </c>
      <c r="C167" s="4">
        <v>20.851174843035945</v>
      </c>
      <c r="D167" s="4">
        <v>11.859215477805648</v>
      </c>
      <c r="E167" s="7">
        <v>222.01067497644451</v>
      </c>
      <c r="F167" s="4">
        <v>1.0192091576297284</v>
      </c>
      <c r="G167" s="4">
        <v>2.1948011662193352</v>
      </c>
      <c r="H167" s="4">
        <v>22.791842298422612</v>
      </c>
      <c r="I167" s="4">
        <v>0.90594648541850964</v>
      </c>
      <c r="J167" s="3">
        <v>8.3662904811205205</v>
      </c>
      <c r="K167" s="3">
        <v>-9.7990921503563886</v>
      </c>
      <c r="L167" s="3">
        <v>-0.13897274368451754</v>
      </c>
      <c r="M167" s="3">
        <v>0.6487240167236239</v>
      </c>
      <c r="N167" s="4">
        <f t="shared" si="53"/>
        <v>-1.6611034962045034E-2</v>
      </c>
      <c r="O167" s="4">
        <f t="shared" si="54"/>
        <v>-6.6202461082073824E-2</v>
      </c>
      <c r="P167" s="7">
        <v>227.43695270262339</v>
      </c>
      <c r="Q167" s="7">
        <v>-250.74758800992021</v>
      </c>
      <c r="R167" s="7">
        <v>-23.31063530729682</v>
      </c>
      <c r="S167" s="4">
        <f t="shared" si="50"/>
        <v>0.90703545548611786</v>
      </c>
      <c r="T167" s="3">
        <v>3.3498958333333331</v>
      </c>
      <c r="U167" s="3">
        <v>26.479479166666664</v>
      </c>
      <c r="V167" s="7">
        <v>424.29374999999999</v>
      </c>
      <c r="W167">
        <v>48</v>
      </c>
      <c r="X167" s="13">
        <f t="shared" si="56"/>
        <v>204.99317083411773</v>
      </c>
      <c r="Y167" s="13">
        <f t="shared" si="57"/>
        <v>-222.23628245111036</v>
      </c>
      <c r="Z167" s="21">
        <f t="shared" si="58"/>
        <v>-17.243111616992614</v>
      </c>
      <c r="AA167" s="224">
        <f t="shared" si="59"/>
        <v>222.23628245111036</v>
      </c>
      <c r="AB167" s="199">
        <f t="shared" si="60"/>
        <v>0.9224109068653723</v>
      </c>
      <c r="AC167" s="21">
        <f t="shared" si="51"/>
        <v>338.11112215320912</v>
      </c>
      <c r="AD167" s="4">
        <v>0.38679999999999998</v>
      </c>
      <c r="AE167" s="3">
        <v>2.0012105919340999</v>
      </c>
      <c r="AF167" s="3">
        <f t="shared" si="55"/>
        <v>6.227908058443286</v>
      </c>
      <c r="AH167">
        <v>242.51021700000001</v>
      </c>
      <c r="AI167">
        <v>-222.70764600000001</v>
      </c>
      <c r="AJ167" s="244">
        <f t="shared" si="61"/>
        <v>208.788577</v>
      </c>
      <c r="AK167" s="244">
        <f t="shared" si="62"/>
        <v>192.46634385714287</v>
      </c>
      <c r="AL167" s="3">
        <f t="shared" si="52"/>
        <v>-192.46634385714287</v>
      </c>
    </row>
    <row r="168" spans="1:38">
      <c r="A168" s="2">
        <v>41541</v>
      </c>
      <c r="B168" s="4">
        <v>27.857905737994344</v>
      </c>
      <c r="C168" s="4">
        <v>21.295712217514126</v>
      </c>
      <c r="D168" s="4">
        <v>12.216277607789957</v>
      </c>
      <c r="E168" s="7">
        <v>203.21309476518363</v>
      </c>
      <c r="F168" s="4">
        <v>0.93342051304497631</v>
      </c>
      <c r="G168" s="4">
        <v>2.2152367584745756</v>
      </c>
      <c r="H168" s="4">
        <v>22.183881002824865</v>
      </c>
      <c r="I168" s="4">
        <v>0.96026942090395495</v>
      </c>
      <c r="J168" s="3">
        <v>6.5576055481742133</v>
      </c>
      <c r="K168" s="3">
        <v>-10.657779368132354</v>
      </c>
      <c r="L168" s="3">
        <v>0.2425811375024258</v>
      </c>
      <c r="M168" s="3">
        <v>0.14745909151485911</v>
      </c>
      <c r="N168" s="4">
        <f t="shared" si="53"/>
        <v>3.6992334430662105E-2</v>
      </c>
      <c r="O168" s="4">
        <f t="shared" si="54"/>
        <v>-1.3835817614668778E-2</v>
      </c>
      <c r="P168" s="7">
        <v>205.44315444383057</v>
      </c>
      <c r="Q168" s="7">
        <v>-259.32572303153313</v>
      </c>
      <c r="R168" s="7">
        <v>-53.882568587702565</v>
      </c>
      <c r="S168" s="4">
        <f t="shared" si="50"/>
        <v>0.79222050185453208</v>
      </c>
      <c r="T168" s="3">
        <v>3.1904270833333332</v>
      </c>
      <c r="U168" s="3">
        <v>25.600729166666682</v>
      </c>
      <c r="V168" s="7">
        <v>186.84791666666663</v>
      </c>
      <c r="W168">
        <v>48</v>
      </c>
      <c r="X168" s="13">
        <f t="shared" si="56"/>
        <v>210.97196247178758</v>
      </c>
      <c r="Y168" s="13">
        <f t="shared" si="57"/>
        <v>-221.81673779357976</v>
      </c>
      <c r="Z168" s="21">
        <f t="shared" si="58"/>
        <v>-10.844775321792174</v>
      </c>
      <c r="AA168" s="224">
        <f t="shared" si="59"/>
        <v>221.81673779357976</v>
      </c>
      <c r="AB168" s="199">
        <f t="shared" si="60"/>
        <v>0.95110930117507986</v>
      </c>
      <c r="AC168" s="21">
        <f t="shared" si="51"/>
        <v>347.80545755693578</v>
      </c>
      <c r="AD168" s="4">
        <v>0.30199999999999999</v>
      </c>
      <c r="AE168" s="3">
        <v>2.0192443502824902</v>
      </c>
      <c r="AF168" s="3">
        <f t="shared" si="55"/>
        <v>6.299023919491523</v>
      </c>
      <c r="AH168">
        <v>206.86437599999999</v>
      </c>
      <c r="AI168">
        <v>-254.297179</v>
      </c>
      <c r="AJ168" s="244">
        <f t="shared" si="61"/>
        <v>194.0044404285714</v>
      </c>
      <c r="AK168" s="244">
        <f t="shared" si="62"/>
        <v>195.02635871428569</v>
      </c>
      <c r="AL168" s="3">
        <f t="shared" si="52"/>
        <v>-195.02635871428569</v>
      </c>
    </row>
    <row r="169" spans="1:38">
      <c r="A169" s="2">
        <v>41542</v>
      </c>
      <c r="B169" s="4">
        <v>28.22399304048389</v>
      </c>
      <c r="C169" s="4">
        <v>20.36014923647441</v>
      </c>
      <c r="D169" s="4">
        <v>11.403252264349378</v>
      </c>
      <c r="E169" s="7">
        <v>223.73260813381776</v>
      </c>
      <c r="F169" s="4">
        <v>1.0292404979674317</v>
      </c>
      <c r="G169" s="4">
        <v>2.2875523123488408</v>
      </c>
      <c r="H169" s="4">
        <v>22.186378973550219</v>
      </c>
      <c r="I169" s="4">
        <v>1.0207865272412895</v>
      </c>
      <c r="J169" s="3">
        <v>13.142526600468704</v>
      </c>
      <c r="K169" s="3">
        <v>-8.9399794524561909</v>
      </c>
      <c r="L169" s="3">
        <v>-0.38864753554592629</v>
      </c>
      <c r="M169" s="3">
        <v>2.5776325525118084E-2</v>
      </c>
      <c r="N169" s="4">
        <f t="shared" si="53"/>
        <v>-2.957175186786884E-2</v>
      </c>
      <c r="O169" s="4">
        <f t="shared" si="54"/>
        <v>-2.8832645155617482E-3</v>
      </c>
      <c r="P169" s="7">
        <v>269.9631589679546</v>
      </c>
      <c r="Q169" s="7">
        <v>-215.17813867155138</v>
      </c>
      <c r="R169" s="7">
        <v>54.785020296403218</v>
      </c>
      <c r="S169" s="4">
        <f t="shared" si="50"/>
        <v>1.2546030959958587</v>
      </c>
      <c r="T169" s="3">
        <v>2.5058775510204079</v>
      </c>
      <c r="U169" s="3">
        <v>26.883877551020401</v>
      </c>
      <c r="V169" s="7">
        <v>494.86041666666671</v>
      </c>
      <c r="W169">
        <v>49</v>
      </c>
      <c r="X169" s="13">
        <f t="shared" si="56"/>
        <v>241.36729950605363</v>
      </c>
      <c r="Y169" s="13">
        <f t="shared" si="57"/>
        <v>-249.02525556322138</v>
      </c>
      <c r="Z169" s="21">
        <f t="shared" si="58"/>
        <v>-7.6579560571677643</v>
      </c>
      <c r="AA169" s="224">
        <f t="shared" si="59"/>
        <v>249.02525556322138</v>
      </c>
      <c r="AB169" s="199">
        <f t="shared" si="60"/>
        <v>0.96924827548174697</v>
      </c>
      <c r="AC169" s="21">
        <f t="shared" si="51"/>
        <v>410.35351966873702</v>
      </c>
      <c r="AD169" s="4">
        <v>0.35470000000000002</v>
      </c>
      <c r="AE169" s="3">
        <v>1.9493693149259299</v>
      </c>
      <c r="AF169" s="3">
        <f t="shared" si="55"/>
        <v>6.5506820469739662</v>
      </c>
      <c r="AH169">
        <v>240.97870599999999</v>
      </c>
      <c r="AI169">
        <v>-188.16738900000001</v>
      </c>
      <c r="AJ169" s="244">
        <f t="shared" si="61"/>
        <v>225.36747671428571</v>
      </c>
      <c r="AK169" s="244">
        <f t="shared" si="62"/>
        <v>229.27291928571432</v>
      </c>
      <c r="AL169" s="3">
        <f t="shared" si="52"/>
        <v>-229.27291928571432</v>
      </c>
    </row>
    <row r="170" spans="1:38">
      <c r="A170" s="2">
        <v>41543</v>
      </c>
      <c r="B170" s="4">
        <v>28.509750279568873</v>
      </c>
      <c r="C170" s="4">
        <v>20.175870495626341</v>
      </c>
      <c r="D170" s="4">
        <v>11.176304021652852</v>
      </c>
      <c r="E170" s="7">
        <v>227.81595604524401</v>
      </c>
      <c r="F170" s="4">
        <v>1.0523183812920707</v>
      </c>
      <c r="G170" s="4">
        <v>2.8942601679929534</v>
      </c>
      <c r="H170" s="4">
        <v>22.556979667797851</v>
      </c>
      <c r="I170" s="4">
        <v>1.1284605345436061</v>
      </c>
      <c r="J170" s="3">
        <v>10.891556320739804</v>
      </c>
      <c r="K170" s="3">
        <v>-11.819225161436222</v>
      </c>
      <c r="L170" s="3">
        <v>-0.10721717513113359</v>
      </c>
      <c r="M170" s="3">
        <v>0.48131578662806423</v>
      </c>
      <c r="N170" s="4">
        <f t="shared" si="53"/>
        <v>-9.8440637842518094E-3</v>
      </c>
      <c r="O170" s="4">
        <f t="shared" si="54"/>
        <v>-4.0723125251772158E-2</v>
      </c>
      <c r="P170" s="7">
        <v>275.70855425322986</v>
      </c>
      <c r="Q170" s="7">
        <v>-295.2129827535428</v>
      </c>
      <c r="R170" s="7">
        <v>-19.50442850031294</v>
      </c>
      <c r="S170" s="4">
        <f t="shared" si="50"/>
        <v>0.93393099341909325</v>
      </c>
      <c r="T170" s="3">
        <v>4.091843749999998</v>
      </c>
      <c r="U170" s="3">
        <v>25.837708333333325</v>
      </c>
      <c r="V170" s="7">
        <v>477.40652173913037</v>
      </c>
      <c r="W170">
        <v>48</v>
      </c>
      <c r="X170" s="13">
        <f t="shared" si="56"/>
        <v>236.39974851444703</v>
      </c>
      <c r="Y170" s="13">
        <f t="shared" si="57"/>
        <v>-245.41080287586584</v>
      </c>
      <c r="Z170" s="21">
        <f t="shared" si="58"/>
        <v>-9.011054361418859</v>
      </c>
      <c r="AA170" s="224">
        <f t="shared" si="59"/>
        <v>245.41080287586584</v>
      </c>
      <c r="AB170" s="199">
        <f t="shared" si="60"/>
        <v>0.96328175346878764</v>
      </c>
      <c r="AC170" s="21">
        <f t="shared" si="51"/>
        <v>454.65619824016557</v>
      </c>
      <c r="AD170" s="4">
        <v>0.34649999999999997</v>
      </c>
      <c r="AE170" s="3">
        <v>1.95710571468828</v>
      </c>
      <c r="AF170" s="3">
        <f t="shared" si="55"/>
        <v>8.6620253846154771</v>
      </c>
      <c r="AH170">
        <v>197.63896500000001</v>
      </c>
      <c r="AI170">
        <v>-198.525509</v>
      </c>
      <c r="AJ170" s="244">
        <f t="shared" si="61"/>
        <v>240.73780414285713</v>
      </c>
      <c r="AK170" s="244">
        <f t="shared" si="62"/>
        <v>244.35008914285712</v>
      </c>
      <c r="AL170" s="3">
        <f t="shared" si="52"/>
        <v>-244.35008914285712</v>
      </c>
    </row>
    <row r="171" spans="1:38">
      <c r="A171" s="2">
        <v>41544</v>
      </c>
      <c r="B171" s="4">
        <v>27.860859875558763</v>
      </c>
      <c r="C171" s="4">
        <v>19.906799837609416</v>
      </c>
      <c r="D171" s="4">
        <v>11.17636895444687</v>
      </c>
      <c r="E171" s="7">
        <v>230.73496453284088</v>
      </c>
      <c r="F171" s="4">
        <v>1.0530181240102994</v>
      </c>
      <c r="G171" s="4">
        <v>2.5030013619854725</v>
      </c>
      <c r="H171" s="4">
        <v>23.111493399608865</v>
      </c>
      <c r="I171" s="4">
        <v>1.1016146027348357</v>
      </c>
      <c r="J171" s="3">
        <v>11.08809440586208</v>
      </c>
      <c r="K171" s="3">
        <v>-10.474833485205394</v>
      </c>
      <c r="L171" s="3">
        <v>0.33170065059218506</v>
      </c>
      <c r="M171" s="3">
        <v>0.44349078433925626</v>
      </c>
      <c r="N171" s="4">
        <f t="shared" si="53"/>
        <v>2.9915027636923868E-2</v>
      </c>
      <c r="O171" s="4">
        <f t="shared" si="54"/>
        <v>-4.2338695404145615E-2</v>
      </c>
      <c r="P171" s="7">
        <v>256.48416329363545</v>
      </c>
      <c r="Q171" s="7">
        <v>-262.03978246907161</v>
      </c>
      <c r="R171" s="7">
        <v>-5.5556191754361635</v>
      </c>
      <c r="S171" s="4">
        <f t="shared" si="50"/>
        <v>0.97879856591587622</v>
      </c>
      <c r="T171" s="3">
        <v>5.1130416666666667</v>
      </c>
      <c r="U171" s="3">
        <v>24.841875000000002</v>
      </c>
      <c r="V171" s="7">
        <v>561.20434782608697</v>
      </c>
      <c r="W171">
        <v>48</v>
      </c>
      <c r="X171" s="13">
        <f t="shared" si="56"/>
        <v>222.0874952265836</v>
      </c>
      <c r="Y171" s="13">
        <f t="shared" si="57"/>
        <v>-225.63085618042447</v>
      </c>
      <c r="Z171" s="21">
        <f t="shared" si="58"/>
        <v>-3.5433609538408626</v>
      </c>
      <c r="AA171" s="224">
        <f t="shared" si="59"/>
        <v>225.63085618042447</v>
      </c>
      <c r="AB171" s="199">
        <f t="shared" si="60"/>
        <v>0.98429576072251646</v>
      </c>
      <c r="AC171" s="21">
        <f t="shared" si="51"/>
        <v>442.17758799171844</v>
      </c>
      <c r="AD171" s="4">
        <v>0.34589999999999999</v>
      </c>
      <c r="AE171" s="3">
        <v>1.94661748385795</v>
      </c>
      <c r="AF171" s="3">
        <f t="shared" si="55"/>
        <v>7.3004447397094445</v>
      </c>
      <c r="AH171">
        <v>290.56050299999998</v>
      </c>
      <c r="AI171">
        <v>-292.48003599999998</v>
      </c>
      <c r="AJ171" s="244">
        <f t="shared" si="61"/>
        <v>226.32924557142854</v>
      </c>
      <c r="AK171" s="244">
        <f t="shared" si="62"/>
        <v>231.33763128571428</v>
      </c>
      <c r="AL171" s="3">
        <f t="shared" si="52"/>
        <v>-231.33763128571428</v>
      </c>
    </row>
    <row r="172" spans="1:38">
      <c r="A172" s="2">
        <v>41545</v>
      </c>
      <c r="B172" s="4">
        <v>27.523825403257643</v>
      </c>
      <c r="C172" s="4">
        <v>19.995202447742422</v>
      </c>
      <c r="D172" s="4">
        <v>11.345091254223229</v>
      </c>
      <c r="E172" s="7">
        <v>237.0877751605062</v>
      </c>
      <c r="F172" s="4">
        <v>1.076814068967918</v>
      </c>
      <c r="G172" s="4">
        <v>2.5162727283686182</v>
      </c>
      <c r="H172" s="4">
        <v>23.034413702594222</v>
      </c>
      <c r="I172" s="4">
        <v>1.3600845610776551</v>
      </c>
      <c r="J172" s="3">
        <v>13.171184382860128</v>
      </c>
      <c r="K172" s="3">
        <v>-11.802301286894117</v>
      </c>
      <c r="L172" s="3">
        <v>0.11704118697742279</v>
      </c>
      <c r="M172" s="3">
        <v>0.19265120866174323</v>
      </c>
      <c r="N172" s="4">
        <f t="shared" si="53"/>
        <v>8.8861550772708301E-3</v>
      </c>
      <c r="O172" s="4">
        <f t="shared" si="54"/>
        <v>-1.6323190196446947E-2</v>
      </c>
      <c r="P172" s="7">
        <v>296.41429901535264</v>
      </c>
      <c r="Q172" s="7">
        <v>-287.87885989334063</v>
      </c>
      <c r="R172" s="7">
        <v>8.5354391220120078</v>
      </c>
      <c r="S172" s="4">
        <f t="shared" si="50"/>
        <v>1.0296494126910687</v>
      </c>
      <c r="T172" s="3">
        <v>5.0225625000000003</v>
      </c>
      <c r="U172" s="3">
        <v>24.652708333333326</v>
      </c>
      <c r="V172" s="7">
        <v>550.13043478260875</v>
      </c>
      <c r="W172">
        <v>48</v>
      </c>
      <c r="X172" s="13">
        <f t="shared" si="56"/>
        <v>221.5078152871275</v>
      </c>
      <c r="Y172" s="13">
        <f t="shared" si="57"/>
        <v>-222.3514698910723</v>
      </c>
      <c r="Z172" s="21">
        <f t="shared" si="58"/>
        <v>-0.84365460394475833</v>
      </c>
      <c r="AA172" s="224">
        <f t="shared" si="59"/>
        <v>222.3514698910723</v>
      </c>
      <c r="AB172" s="199">
        <f t="shared" si="60"/>
        <v>0.99620576106666581</v>
      </c>
      <c r="AC172" s="21">
        <f t="shared" si="51"/>
        <v>486.3931030020704</v>
      </c>
      <c r="AD172" s="4">
        <v>0.28870000000000001</v>
      </c>
      <c r="AE172" s="3">
        <v>1.97481115755975</v>
      </c>
      <c r="AF172" s="3">
        <f t="shared" si="55"/>
        <v>7.3466290947227915</v>
      </c>
      <c r="AH172">
        <v>286.52798200000001</v>
      </c>
      <c r="AI172">
        <v>-295.69965300000001</v>
      </c>
      <c r="AJ172" s="244">
        <f t="shared" si="61"/>
        <v>231.4780651428571</v>
      </c>
      <c r="AK172" s="244">
        <f t="shared" si="62"/>
        <v>232.80004842857144</v>
      </c>
      <c r="AL172" s="3">
        <f t="shared" si="52"/>
        <v>-232.80004842857144</v>
      </c>
    </row>
    <row r="173" spans="1:38">
      <c r="A173" s="2">
        <v>41546</v>
      </c>
      <c r="B173" s="4">
        <v>27.120178778248587</v>
      </c>
      <c r="C173" s="4">
        <v>19.633194562146894</v>
      </c>
      <c r="D173" s="4">
        <v>11.198763430740939</v>
      </c>
      <c r="E173" s="7">
        <v>223.2872528248588</v>
      </c>
      <c r="F173" s="4">
        <v>1.00348486140811</v>
      </c>
      <c r="G173" s="4">
        <v>2.4084698093220336</v>
      </c>
      <c r="H173" s="4">
        <v>24.845665783898308</v>
      </c>
      <c r="I173" s="4">
        <v>1.1939825211864414</v>
      </c>
      <c r="J173" s="3">
        <v>4.2558207327490374</v>
      </c>
      <c r="K173" s="3">
        <v>-5.8606613299339152</v>
      </c>
      <c r="L173" s="3">
        <v>-2.2427554034643433E-2</v>
      </c>
      <c r="M173" s="3">
        <v>0.28486139098696989</v>
      </c>
      <c r="N173" s="4">
        <f t="shared" si="53"/>
        <v>-5.2698540288740985E-3</v>
      </c>
      <c r="O173" s="4">
        <f t="shared" si="54"/>
        <v>-4.8605673481252325E-2</v>
      </c>
      <c r="P173" s="7">
        <v>123.34795692450248</v>
      </c>
      <c r="Q173" s="7">
        <v>-147.49254530210123</v>
      </c>
      <c r="R173" s="7">
        <v>-24.144588377598751</v>
      </c>
      <c r="S173" s="4">
        <f t="shared" si="50"/>
        <v>0.83629960193483233</v>
      </c>
      <c r="T173" s="3">
        <v>2.8088750000000005</v>
      </c>
      <c r="U173" s="3">
        <v>24.329791666666665</v>
      </c>
      <c r="V173" s="7">
        <v>487.85</v>
      </c>
      <c r="W173">
        <v>48</v>
      </c>
      <c r="X173" s="13">
        <f t="shared" si="56"/>
        <v>198.99550722689099</v>
      </c>
      <c r="Y173" s="13">
        <f t="shared" si="57"/>
        <v>-200.93515543969355</v>
      </c>
      <c r="Z173" s="21">
        <f t="shared" si="58"/>
        <v>-1.9396482128025485</v>
      </c>
      <c r="AA173" s="224">
        <f t="shared" si="59"/>
        <v>200.93515543969355</v>
      </c>
      <c r="AB173" s="199">
        <f t="shared" si="60"/>
        <v>0.9903468947056171</v>
      </c>
      <c r="AC173" s="21">
        <f t="shared" si="51"/>
        <v>453.94596273291933</v>
      </c>
      <c r="AD173" s="4">
        <v>0.29459999999999997</v>
      </c>
      <c r="AE173" s="3">
        <v>1.95591807909605</v>
      </c>
      <c r="AF173" s="3">
        <f t="shared" si="55"/>
        <v>6.9714749364406767</v>
      </c>
      <c r="AH173">
        <v>220.08387999999999</v>
      </c>
      <c r="AI173">
        <v>-258.57321200000001</v>
      </c>
      <c r="AJ173" s="244">
        <f t="shared" si="61"/>
        <v>208.82768357142859</v>
      </c>
      <c r="AK173" s="244">
        <f t="shared" si="62"/>
        <v>213.82049771428569</v>
      </c>
      <c r="AL173" s="3">
        <f t="shared" si="52"/>
        <v>-213.82049771428569</v>
      </c>
    </row>
    <row r="174" spans="1:38">
      <c r="A174" s="2">
        <v>41547</v>
      </c>
      <c r="B174" s="4">
        <v>26.978298322740102</v>
      </c>
      <c r="C174" s="4">
        <v>19.673596398305079</v>
      </c>
      <c r="D174" s="4">
        <v>11.271948074691993</v>
      </c>
      <c r="E174" s="7">
        <v>213.13656978283896</v>
      </c>
      <c r="F174" s="4">
        <v>0.95556932052913046</v>
      </c>
      <c r="G174" s="4">
        <v>2.5740948093220344</v>
      </c>
      <c r="H174" s="4">
        <v>24.5916804378531</v>
      </c>
      <c r="I174" s="4">
        <v>1.1979556850282491</v>
      </c>
      <c r="J174" s="3">
        <v>6.3936063393555953</v>
      </c>
      <c r="K174" s="3">
        <v>-4.1439937568227672</v>
      </c>
      <c r="L174" s="3">
        <v>0.24238375394608547</v>
      </c>
      <c r="M174" s="3">
        <v>0.53467129075350006</v>
      </c>
      <c r="N174" s="4">
        <f t="shared" si="53"/>
        <v>3.7910334337305333E-2</v>
      </c>
      <c r="O174" s="4">
        <f t="shared" si="54"/>
        <v>-0.12902318925389425</v>
      </c>
      <c r="P174" s="7">
        <v>127.25117968757957</v>
      </c>
      <c r="Q174" s="7">
        <v>-112.28796114183041</v>
      </c>
      <c r="R174" s="7">
        <v>14.963218545749157</v>
      </c>
      <c r="S174" s="4">
        <f t="shared" si="50"/>
        <v>1.1332575495502069</v>
      </c>
      <c r="T174" s="3">
        <v>3.1225312500000002</v>
      </c>
      <c r="U174" s="3">
        <v>25.009062499999999</v>
      </c>
      <c r="V174" s="7">
        <v>336.94347826086954</v>
      </c>
      <c r="W174">
        <v>48</v>
      </c>
      <c r="X174" s="13"/>
      <c r="Y174" s="21"/>
      <c r="Z174" s="21"/>
      <c r="AA174" s="223"/>
      <c r="AB174" s="223"/>
      <c r="AC174" s="21"/>
      <c r="AD174" s="4">
        <v>0.23730000000000001</v>
      </c>
      <c r="AE174" s="3">
        <v>1.96013418079096</v>
      </c>
      <c r="AF174" s="3">
        <f t="shared" si="55"/>
        <v>7.547849936440679</v>
      </c>
      <c r="AH174">
        <v>141.650307</v>
      </c>
      <c r="AI174">
        <v>-131.620441</v>
      </c>
    </row>
    <row r="175" spans="1:38">
      <c r="A175" s="2">
        <v>41548</v>
      </c>
      <c r="B175" s="4">
        <v>27.3350928319209</v>
      </c>
      <c r="C175" s="4">
        <v>19.433319209039556</v>
      </c>
      <c r="D175" s="4">
        <v>10.984199640399552</v>
      </c>
      <c r="E175" s="7">
        <v>227.26010218043783</v>
      </c>
      <c r="F175" s="4">
        <v>1.0240174549457342</v>
      </c>
      <c r="G175" s="4">
        <v>2.2288268008474579</v>
      </c>
      <c r="H175" s="4">
        <v>24.840153778248578</v>
      </c>
      <c r="I175" s="4">
        <v>1.1969412076271186</v>
      </c>
      <c r="J175" s="3">
        <v>7.1707736685892547</v>
      </c>
      <c r="K175" s="3">
        <v>-9.4229983246193463</v>
      </c>
      <c r="L175" s="3">
        <v>-0.11965808141833363</v>
      </c>
      <c r="M175" s="3">
        <v>0.42575246730014887</v>
      </c>
      <c r="N175" s="4">
        <f t="shared" si="53"/>
        <v>-1.6686913706742974E-2</v>
      </c>
      <c r="O175" s="4">
        <f t="shared" si="54"/>
        <v>-4.5182271357068045E-2</v>
      </c>
      <c r="P175" s="7">
        <v>201.38539486763804</v>
      </c>
      <c r="Q175" s="7">
        <v>-236.37001900606788</v>
      </c>
      <c r="R175" s="7">
        <v>-34.984624138429837</v>
      </c>
      <c r="S175" s="4">
        <f t="shared" si="50"/>
        <v>0.85199212537385405</v>
      </c>
      <c r="T175" s="3">
        <v>3.4169583333333331</v>
      </c>
      <c r="U175" s="3">
        <v>25.794479166666672</v>
      </c>
      <c r="V175" s="7">
        <v>496.35652173913053</v>
      </c>
      <c r="W175">
        <v>48</v>
      </c>
      <c r="X175" s="13"/>
      <c r="Y175" s="21"/>
      <c r="Z175" s="21"/>
      <c r="AA175" s="223"/>
      <c r="AB175" s="223"/>
      <c r="AC175" s="21"/>
      <c r="AD175" s="4">
        <v>0.16250000000000001</v>
      </c>
      <c r="AE175" s="3">
        <v>2.0106744350282502</v>
      </c>
      <c r="AF175" s="3">
        <f t="shared" si="55"/>
        <v>6.3463172669491534</v>
      </c>
      <c r="AH175">
        <v>242.906113</v>
      </c>
      <c r="AI175">
        <v>-264.53409900000003</v>
      </c>
    </row>
    <row r="176" spans="1:38">
      <c r="A176" s="2">
        <v>41549</v>
      </c>
      <c r="B176" s="4">
        <v>26.93018382768361</v>
      </c>
      <c r="C176" s="4">
        <v>19.084106461864398</v>
      </c>
      <c r="D176" s="4">
        <v>10.845749026432898</v>
      </c>
      <c r="E176" s="7">
        <v>211.47783147951975</v>
      </c>
      <c r="F176" s="4">
        <v>0.94398289710395211</v>
      </c>
      <c r="G176" s="4">
        <v>2.2805603813559316</v>
      </c>
      <c r="H176" s="4">
        <v>27.467213983050854</v>
      </c>
      <c r="I176" s="4">
        <v>1.1469403248587569</v>
      </c>
      <c r="J176" s="3">
        <v>7.1405631590937251</v>
      </c>
      <c r="K176" s="3">
        <v>-2.3017264464234497</v>
      </c>
      <c r="L176" s="3">
        <v>0.29589367204969896</v>
      </c>
      <c r="M176" s="3">
        <v>0.4176042832390584</v>
      </c>
      <c r="N176" s="4">
        <f t="shared" si="53"/>
        <v>4.1438422356487294E-2</v>
      </c>
      <c r="O176" s="4">
        <f t="shared" si="54"/>
        <v>-0.1814308924016384</v>
      </c>
      <c r="P176" s="7">
        <v>112.37700254629888</v>
      </c>
      <c r="Q176" s="7">
        <v>-65.263937511900195</v>
      </c>
      <c r="R176" s="7">
        <v>47.113065034398687</v>
      </c>
      <c r="S176" s="4">
        <f t="shared" si="50"/>
        <v>1.7218851149734586</v>
      </c>
      <c r="T176" s="3">
        <v>5.0761875000000005</v>
      </c>
      <c r="U176" s="3">
        <v>24.91447916666667</v>
      </c>
      <c r="V176" s="7">
        <v>267.73043478260871</v>
      </c>
      <c r="W176">
        <v>48</v>
      </c>
      <c r="X176" s="182"/>
      <c r="Y176" s="21"/>
      <c r="Z176" s="21"/>
      <c r="AA176" s="223"/>
      <c r="AB176" s="223"/>
      <c r="AC176" s="21"/>
      <c r="AD176" s="4">
        <v>0.11509999999999999</v>
      </c>
      <c r="AE176" s="3">
        <v>2.0533731592108899</v>
      </c>
      <c r="AF176" s="3">
        <f t="shared" si="55"/>
        <v>6.5263501271186417</v>
      </c>
      <c r="AH176">
        <v>82.426034999999999</v>
      </c>
      <c r="AI176">
        <v>-55.310533999999997</v>
      </c>
    </row>
    <row r="177" spans="1:37">
      <c r="AH177" t="s">
        <v>214</v>
      </c>
      <c r="AI177" t="s">
        <v>217</v>
      </c>
    </row>
    <row r="178" spans="1:37">
      <c r="M178" s="161"/>
      <c r="N178" s="161"/>
      <c r="O178" s="161"/>
      <c r="P178" s="179" t="s">
        <v>127</v>
      </c>
      <c r="Q178" s="180"/>
      <c r="R178" s="180"/>
      <c r="S178" s="180"/>
      <c r="W178" s="161"/>
      <c r="X178" s="179" t="s">
        <v>127</v>
      </c>
      <c r="Y178" s="180"/>
      <c r="Z178" s="180"/>
      <c r="AA178" s="180"/>
      <c r="AB178" s="178"/>
      <c r="AC178" s="178"/>
      <c r="AD178" s="178"/>
      <c r="AE178" s="178"/>
      <c r="AF178" s="178"/>
      <c r="AG178" s="178"/>
    </row>
    <row r="179" spans="1:37">
      <c r="I179" s="18" t="s">
        <v>130</v>
      </c>
      <c r="J179" s="181" t="s">
        <v>305</v>
      </c>
      <c r="K179" s="181" t="s">
        <v>64</v>
      </c>
      <c r="L179" s="181" t="s">
        <v>24</v>
      </c>
      <c r="M179" s="181" t="s">
        <v>25</v>
      </c>
      <c r="N179" s="181" t="s">
        <v>332</v>
      </c>
      <c r="O179" s="181"/>
      <c r="P179" s="181" t="s">
        <v>30</v>
      </c>
      <c r="Q179" s="181" t="s">
        <v>31</v>
      </c>
      <c r="R179" s="181" t="s">
        <v>28</v>
      </c>
      <c r="S179" s="181" t="s">
        <v>164</v>
      </c>
      <c r="W179" s="18" t="s">
        <v>130</v>
      </c>
      <c r="X179" s="181" t="s">
        <v>30</v>
      </c>
      <c r="Y179" s="181" t="s">
        <v>31</v>
      </c>
      <c r="Z179" s="181" t="s">
        <v>28</v>
      </c>
      <c r="AA179" s="181" t="s">
        <v>164</v>
      </c>
      <c r="AI179" s="161"/>
      <c r="AJ179" s="161"/>
      <c r="AK179" s="161"/>
    </row>
    <row r="180" spans="1:37">
      <c r="I180" s="80" t="s">
        <v>45</v>
      </c>
      <c r="J180" s="3">
        <f>AVERAGE(J3:J83)</f>
        <v>5.9293905173576773</v>
      </c>
      <c r="K180" s="3">
        <f>-AVERAGE(K3:K83)</f>
        <v>7.3640538054256011</v>
      </c>
      <c r="L180" s="4">
        <f>AVERAGE(L3:L83)</f>
        <v>-0.62927287934694953</v>
      </c>
      <c r="M180" s="4">
        <f>AVERAGE(M3:M83)</f>
        <v>0.21641583787159491</v>
      </c>
      <c r="N180" s="4">
        <f>AVERAGE(N3:O83)</f>
        <v>-0.11245269026357892</v>
      </c>
      <c r="P180" s="3">
        <f>AVERAGE(P3:P83)</f>
        <v>196.60674641757404</v>
      </c>
      <c r="Q180" s="3">
        <f>AVERAGE(Q3:Q83)*-1</f>
        <v>181.93127143913267</v>
      </c>
      <c r="R180" s="3">
        <f>AVERAGE(R3:R83)</f>
        <v>11.543477365249771</v>
      </c>
      <c r="S180" s="4">
        <f>AVERAGE(S3:S83)</f>
        <v>1.1560146393515596</v>
      </c>
      <c r="W180" s="80" t="s">
        <v>45</v>
      </c>
      <c r="X180" s="3">
        <f>AVERAGE(X3:X83)</f>
        <v>200.24803213607839</v>
      </c>
      <c r="Y180" s="3">
        <f>AVERAGE(Y3:Y83)*-1</f>
        <v>185.81156092546175</v>
      </c>
      <c r="Z180" s="3">
        <f>AVERAGE(Z3:Z83)</f>
        <v>14.087143176879309</v>
      </c>
      <c r="AA180" s="4">
        <f>AVERAGE(AB3:AB83)</f>
        <v>1.0784410661143389</v>
      </c>
    </row>
    <row r="181" spans="1:37">
      <c r="I181" s="80" t="s">
        <v>128</v>
      </c>
      <c r="J181" s="3">
        <f>STDEV(J3:J83)/SQRT(J184)</f>
        <v>0.48595428954379855</v>
      </c>
      <c r="K181" s="3">
        <f>STDEV(K3:K83)/SQRT(K184)</f>
        <v>0.55635252839433647</v>
      </c>
      <c r="L181" s="4">
        <f>STDEV(L3:L83)/SQRT(L184)</f>
        <v>9.6955163447653023E-2</v>
      </c>
      <c r="M181" s="4">
        <f>STDEV(M3:M83)/SQRT(M184)</f>
        <v>5.0293551285261202E-2</v>
      </c>
      <c r="N181" s="4">
        <f>STDEV(N3:O83)/SQRT(N184)</f>
        <v>3.7955241197344426E-2</v>
      </c>
      <c r="P181" s="3">
        <f>STDEV(P3:P83)/SQRT(P184)</f>
        <v>13.279891848732218</v>
      </c>
      <c r="Q181" s="3">
        <f>STDEV(Q3:Q83)/SQRT(Q184)</f>
        <v>13.265869529112516</v>
      </c>
      <c r="R181" s="3">
        <f>STDEV(R3:R83)/SQRT(R184)</f>
        <v>4.9291280165703286</v>
      </c>
      <c r="S181" s="4">
        <f>STDEV(S3:S83)/SQRT(S184)</f>
        <v>4.6866231423252941E-2</v>
      </c>
      <c r="W181" s="80" t="s">
        <v>128</v>
      </c>
      <c r="X181" s="3">
        <f>STDEV(X3:X83)/SQRT(X184)</f>
        <v>10.135404453052969</v>
      </c>
      <c r="Y181" s="3">
        <f>STDEV(Y3:Y83)/SQRT(Y184)</f>
        <v>9.4638212870552252</v>
      </c>
      <c r="Z181" s="3">
        <f>STDEV(Z3:Z83)/SQRT(Z184)</f>
        <v>1.3120282905143748</v>
      </c>
      <c r="AA181" s="4">
        <f>STDEV(AB3:AB83)/SQRT(AA184)</f>
        <v>8.0516604062074015E-3</v>
      </c>
    </row>
    <row r="182" spans="1:37" s="161" customFormat="1">
      <c r="A182" s="2"/>
      <c r="B182" s="4"/>
      <c r="C182" s="4"/>
      <c r="D182" s="4"/>
      <c r="E182" s="4"/>
      <c r="F182" s="4"/>
      <c r="G182" s="4"/>
      <c r="H182" s="3"/>
      <c r="I182" s="80" t="s">
        <v>39</v>
      </c>
      <c r="J182" s="3">
        <f>MIN(J3:J83)</f>
        <v>-11.780325040173418</v>
      </c>
      <c r="K182" s="3">
        <f t="array" ref="K182">MIN(K3:K83*-1)</f>
        <v>0.15157315652968853</v>
      </c>
      <c r="L182" s="4">
        <f>MIN(L3:L83)</f>
        <v>-3.4539883028856546</v>
      </c>
      <c r="M182" s="4">
        <f>MIN(M3:M83)</f>
        <v>-0.88306423794265121</v>
      </c>
      <c r="N182" s="4">
        <f>MIN(N3:O83)</f>
        <v>-5.2623632060300878</v>
      </c>
      <c r="O182" s="4"/>
      <c r="P182" s="3">
        <f>MIN(P3:P83)</f>
        <v>5.0801653097453636</v>
      </c>
      <c r="Q182" s="3">
        <f>MIN(Q3:Q83)*-1</f>
        <v>565.45959507220891</v>
      </c>
      <c r="R182" s="3">
        <f>MIN(R3:R83)</f>
        <v>-187.08791045628672</v>
      </c>
      <c r="S182" s="4">
        <f>MIN(S3:S83)</f>
        <v>0.29132710468031531</v>
      </c>
      <c r="T182" s="4"/>
      <c r="U182" s="4"/>
      <c r="V182" s="4"/>
      <c r="W182" s="80" t="s">
        <v>39</v>
      </c>
      <c r="X182" s="3">
        <f>MIN(X3:X83)</f>
        <v>49.050469073314844</v>
      </c>
      <c r="Y182" s="3">
        <f>MIN(Y3:Y83)*-1</f>
        <v>329.65920486741015</v>
      </c>
      <c r="Z182" s="3">
        <f>MIN(Z3:Z83)</f>
        <v>-24.579795751787877</v>
      </c>
      <c r="AA182" s="4">
        <f>MIN(AB3:AB83)</f>
        <v>0.85621363969213915</v>
      </c>
    </row>
    <row r="183" spans="1:37" s="161" customFormat="1">
      <c r="A183" s="2"/>
      <c r="B183" s="4"/>
      <c r="C183" s="4"/>
      <c r="D183" s="4"/>
      <c r="E183" s="4"/>
      <c r="F183" s="4"/>
      <c r="G183" s="4"/>
      <c r="H183" s="3"/>
      <c r="I183" s="80" t="s">
        <v>38</v>
      </c>
      <c r="J183" s="3">
        <f>MAX(J3:J83)</f>
        <v>17.877089548847184</v>
      </c>
      <c r="K183" s="3">
        <f t="array" ref="K183">MAX(K3:K83*-1)</f>
        <v>23.597947824785546</v>
      </c>
      <c r="L183" s="4">
        <f>MAX(L3:L83)</f>
        <v>1.24516657476565</v>
      </c>
      <c r="M183" s="4">
        <f>MAX(M3:M83)</f>
        <v>1.6438822743758021</v>
      </c>
      <c r="N183" s="4">
        <f>MAX(N3:O83)</f>
        <v>1.3209815928410351</v>
      </c>
      <c r="O183" s="4"/>
      <c r="P183" s="3">
        <f>MAX(P3:P83)</f>
        <v>486.77155796806858</v>
      </c>
      <c r="Q183" s="3">
        <f>MAX(Q3:Q83)*-1</f>
        <v>2.7169564251331404</v>
      </c>
      <c r="R183" s="3">
        <f>MAX(R3:R83)</f>
        <v>133.55547689698855</v>
      </c>
      <c r="S183" s="4">
        <f>MAX(S3:S83)</f>
        <v>3.4439793746352216</v>
      </c>
      <c r="T183" s="4"/>
      <c r="U183" s="4"/>
      <c r="V183" s="4"/>
      <c r="W183" s="80" t="s">
        <v>38</v>
      </c>
      <c r="X183" s="3">
        <f>MAX(X3:X83)</f>
        <v>344.03255150041241</v>
      </c>
      <c r="Y183" s="3">
        <f>MAX(Y3:Y83)*-1</f>
        <v>44.375347844375632</v>
      </c>
      <c r="Z183" s="3">
        <f>MAX(Z3:Z83)</f>
        <v>38.374903800360705</v>
      </c>
      <c r="AA183" s="4">
        <f>MAX(AB3:AB83)</f>
        <v>1.2270785261322739</v>
      </c>
    </row>
    <row r="184" spans="1:37">
      <c r="I184" s="80" t="s">
        <v>46</v>
      </c>
      <c r="J184" s="163">
        <f>COUNT(J3:J83)</f>
        <v>81</v>
      </c>
      <c r="K184" s="163">
        <f>COUNT(K3:K83)</f>
        <v>81</v>
      </c>
      <c r="L184" s="163">
        <f>COUNT(L3:L83)</f>
        <v>81</v>
      </c>
      <c r="M184" s="163">
        <f>COUNT(M3:M83)</f>
        <v>81</v>
      </c>
      <c r="N184" s="163">
        <f>COUNT(N3:O83)</f>
        <v>162</v>
      </c>
      <c r="O184" s="163"/>
      <c r="P184" s="163">
        <f>COUNT(P3:P83)</f>
        <v>80</v>
      </c>
      <c r="Q184" s="163">
        <f>COUNT(Q3:Q83)</f>
        <v>81</v>
      </c>
      <c r="R184" s="163">
        <f>COUNT(R3:R83)</f>
        <v>81</v>
      </c>
      <c r="S184" s="163">
        <f>COUNT(S3:S83)</f>
        <v>80</v>
      </c>
      <c r="W184" s="80" t="s">
        <v>46</v>
      </c>
      <c r="X184" s="163">
        <f>COUNT(X3:X83)</f>
        <v>75</v>
      </c>
      <c r="Y184" s="163">
        <f>COUNT(Y3:Y83)</f>
        <v>75</v>
      </c>
      <c r="Z184" s="163">
        <f>COUNT(Z3:Z83)</f>
        <v>75</v>
      </c>
      <c r="AA184" s="163">
        <f>COUNT(AB3:AB83)</f>
        <v>75</v>
      </c>
    </row>
    <row r="185" spans="1:37">
      <c r="I185" s="164"/>
      <c r="J185" s="3"/>
      <c r="K185" s="3"/>
      <c r="L185" s="3"/>
      <c r="M185" s="3"/>
      <c r="N185" s="3"/>
      <c r="O185" s="3"/>
      <c r="P185" s="3"/>
      <c r="Q185" s="3"/>
      <c r="R185" s="3"/>
      <c r="S185" s="3"/>
      <c r="W185" s="164"/>
      <c r="X185" s="3"/>
      <c r="Y185" s="3"/>
      <c r="Z185" s="3"/>
      <c r="AA185" s="3"/>
    </row>
    <row r="186" spans="1:37">
      <c r="I186" s="18" t="s">
        <v>131</v>
      </c>
      <c r="J186" s="3"/>
      <c r="K186" s="3"/>
      <c r="L186" s="3"/>
      <c r="M186" s="3"/>
      <c r="N186" s="3"/>
      <c r="O186" s="3"/>
      <c r="P186" s="3"/>
      <c r="Q186" s="3"/>
      <c r="R186" s="3"/>
      <c r="S186" s="3"/>
      <c r="W186" s="18" t="s">
        <v>131</v>
      </c>
      <c r="X186" s="3"/>
      <c r="Y186" s="3"/>
      <c r="Z186" s="3"/>
      <c r="AA186" s="3"/>
    </row>
    <row r="187" spans="1:37">
      <c r="I187" s="80" t="s">
        <v>45</v>
      </c>
      <c r="J187" s="3">
        <f>AVERAGE(J93:J176)</f>
        <v>5.9330940590645946</v>
      </c>
      <c r="K187" s="3">
        <f>AVERAGE(K93:K176)</f>
        <v>-6.7845336101905458</v>
      </c>
      <c r="L187" s="3">
        <f>AVERAGE(L93:L176)</f>
        <v>-0.24506483897198347</v>
      </c>
      <c r="M187" s="3">
        <f>AVERAGE(M93:M176)</f>
        <v>0.22013105026760652</v>
      </c>
      <c r="N187" s="3">
        <f>AVERAGE(N93:O176)</f>
        <v>-6.5427697390632783E-2</v>
      </c>
      <c r="O187" s="3"/>
      <c r="P187" s="3">
        <f>AVERAGE(P93:P176)</f>
        <v>167.57882965738068</v>
      </c>
      <c r="Q187" s="3">
        <f>AVERAGE(Q93:Q176)*-1</f>
        <v>168.11195185099578</v>
      </c>
      <c r="R187" s="3">
        <f>AVERAGE(R93:R176)</f>
        <v>-0.53312219361503632</v>
      </c>
      <c r="S187" s="4">
        <f>AVERAGE(S93:S176)</f>
        <v>1.0956564135935711</v>
      </c>
      <c r="W187" s="80" t="s">
        <v>45</v>
      </c>
      <c r="X187" s="3">
        <f>AVERAGE(X93:X176)</f>
        <v>169.73806185336298</v>
      </c>
      <c r="Y187" s="3">
        <f>AVERAGE(Y93:Y176)*-1</f>
        <v>170.31895964535471</v>
      </c>
      <c r="Z187" s="3">
        <f>AVERAGE(Z93:Z176)</f>
        <v>-0.58089779199177227</v>
      </c>
      <c r="AA187" s="4">
        <f>AVERAGE(AB93:AB176)</f>
        <v>1.0113482585940266</v>
      </c>
    </row>
    <row r="188" spans="1:37">
      <c r="I188" s="80" t="s">
        <v>128</v>
      </c>
      <c r="J188" s="3">
        <f>STDEV(J93:J176)/SQRT(J191)</f>
        <v>0.44548958300930441</v>
      </c>
      <c r="K188" s="3">
        <f>STDEV(K93:K176)/SQRT(K191)</f>
        <v>0.5128453261653797</v>
      </c>
      <c r="L188" s="3">
        <f>STDEV(L93:L176)/SQRT(L191)</f>
        <v>7.3799122710931114E-2</v>
      </c>
      <c r="M188" s="3">
        <f>STDEV(M93:M176)/SQRT(M191)</f>
        <v>6.3020975278607338E-2</v>
      </c>
      <c r="N188" s="3">
        <f>STDEV(N93:O176)/SQRT(N191)</f>
        <v>1.9344712156170268E-2</v>
      </c>
      <c r="O188" s="3"/>
      <c r="P188" s="3">
        <f>STDEV(P93:P176)/SQRT(P191)</f>
        <v>10.689471169889517</v>
      </c>
      <c r="Q188" s="3">
        <f>STDEV(Q93:Q176)/SQRT(Q191)</f>
        <v>12.169711349464528</v>
      </c>
      <c r="R188" s="3">
        <f>STDEV(R93:R176)/SQRT(R191)</f>
        <v>5.2885897668520974</v>
      </c>
      <c r="S188" s="4">
        <f>STDEV(S93:S176)/SQRT(S191)</f>
        <v>5.1366122632431926E-2</v>
      </c>
      <c r="W188" s="80" t="s">
        <v>128</v>
      </c>
      <c r="X188" s="3">
        <f>STDEV(X93:X176)/SQRT(X191)</f>
        <v>6.8073133472718785</v>
      </c>
      <c r="Y188" s="3">
        <f>STDEV(Y93:Y176)/SQRT(Y191)</f>
        <v>7.412430861874455</v>
      </c>
      <c r="Z188" s="3">
        <f>STDEV(Z93:Z176)/SQRT(Z191)</f>
        <v>1.9696173110535509</v>
      </c>
      <c r="AA188" s="4">
        <f>STDEV(AB93:AB176)/SQRT(AA191)</f>
        <v>1.2158608496233543E-2</v>
      </c>
    </row>
    <row r="189" spans="1:37" s="161" customFormat="1">
      <c r="A189" s="2"/>
      <c r="B189" s="4"/>
      <c r="C189" s="4"/>
      <c r="D189" s="4"/>
      <c r="E189" s="4"/>
      <c r="F189" s="4"/>
      <c r="G189" s="4"/>
      <c r="H189" s="3"/>
      <c r="I189" s="80" t="s">
        <v>39</v>
      </c>
      <c r="J189" s="3">
        <f>MIN(J93:J176)</f>
        <v>-1.2726524062259452</v>
      </c>
      <c r="K189" s="3">
        <f>MIN(K93:K176)</f>
        <v>-23.208625897323259</v>
      </c>
      <c r="L189" s="3">
        <f>MIN(L93:L176)</f>
        <v>-2.7503903639218596</v>
      </c>
      <c r="M189" s="3">
        <f>MIN(M93:M176)</f>
        <v>-1.7848336430093408</v>
      </c>
      <c r="N189" s="3">
        <f>MIN(N93:O176)</f>
        <v>-2.011912110465254</v>
      </c>
      <c r="O189" s="3"/>
      <c r="P189" s="3">
        <f>MIN(P93:P176)</f>
        <v>7.9146881747038291</v>
      </c>
      <c r="Q189" s="3">
        <f>MIN(Q93:Q176)*-1</f>
        <v>559.33231873469981</v>
      </c>
      <c r="R189" s="3">
        <f>MIN(R93:R176)</f>
        <v>-142.77423347645652</v>
      </c>
      <c r="S189" s="4">
        <f>MIN(S93:S176)</f>
        <v>0.23770421273564371</v>
      </c>
      <c r="T189" s="4"/>
      <c r="U189" s="4"/>
      <c r="V189" s="4"/>
      <c r="W189" s="80" t="s">
        <v>39</v>
      </c>
      <c r="X189" s="3">
        <f>MIN(X93:X176)</f>
        <v>63.542504900779257</v>
      </c>
      <c r="Y189" s="3">
        <f>MIN(Y93:Y176)*-1</f>
        <v>339.42802696087102</v>
      </c>
      <c r="Z189" s="3">
        <f>MIN(Z93:Z176)</f>
        <v>-42.695087414222485</v>
      </c>
      <c r="AA189" s="4">
        <f>MIN(AB93:AB176)</f>
        <v>0.85254766871340537</v>
      </c>
    </row>
    <row r="190" spans="1:37" s="161" customFormat="1">
      <c r="A190" s="2"/>
      <c r="B190" s="4"/>
      <c r="C190" s="4"/>
      <c r="D190" s="4"/>
      <c r="E190" s="4"/>
      <c r="F190" s="4"/>
      <c r="G190" s="4"/>
      <c r="H190" s="3"/>
      <c r="I190" s="80" t="s">
        <v>38</v>
      </c>
      <c r="J190" s="3">
        <f>MAX(J93:J176)</f>
        <v>17.579657387497555</v>
      </c>
      <c r="K190" s="3">
        <f>MAX(K93:K176)</f>
        <v>-0.22041199822058163</v>
      </c>
      <c r="L190" s="3">
        <f>MAX(L93:L176)</f>
        <v>1.0825479884298324</v>
      </c>
      <c r="M190" s="3">
        <f>MAX(M93:M176)</f>
        <v>1.9149884923930371</v>
      </c>
      <c r="N190" s="3">
        <f>MAX(N93:O176)</f>
        <v>0.79864014546165685</v>
      </c>
      <c r="O190" s="3"/>
      <c r="P190" s="3">
        <f>MAX(P93:P176)</f>
        <v>484.18275175411725</v>
      </c>
      <c r="Q190" s="3">
        <f>MAX(Q93:Q176)*-1</f>
        <v>5.8968445242457479</v>
      </c>
      <c r="R190" s="3">
        <f>MAX(R93:R176)</f>
        <v>101.22354415050074</v>
      </c>
      <c r="S190" s="4">
        <f>MAX(S93:S176)</f>
        <v>3.7561052420775725</v>
      </c>
      <c r="T190" s="4"/>
      <c r="U190" s="4"/>
      <c r="V190" s="4"/>
      <c r="W190" s="80" t="s">
        <v>38</v>
      </c>
      <c r="X190" s="3">
        <f>MAX(X93:X176)</f>
        <v>314.34898577637688</v>
      </c>
      <c r="Y190" s="3">
        <f>MAX(Y93:Y176)*-1</f>
        <v>57.573414067638922</v>
      </c>
      <c r="Z190" s="3">
        <f>MAX(Z93:Z176)</f>
        <v>51.777166177376024</v>
      </c>
      <c r="AA190" s="4">
        <f>MAX(AB93:AB176)</f>
        <v>1.3508459571524269</v>
      </c>
    </row>
    <row r="191" spans="1:37">
      <c r="I191" s="80" t="s">
        <v>46</v>
      </c>
      <c r="J191" s="3">
        <f>COUNT(J93:J176)</f>
        <v>84</v>
      </c>
      <c r="K191" s="3">
        <f>COUNT(K93:K176)</f>
        <v>84</v>
      </c>
      <c r="L191" s="163">
        <f>COUNT(L93:L176)</f>
        <v>84</v>
      </c>
      <c r="M191" s="163">
        <f>COUNT(M93:M176)</f>
        <v>84</v>
      </c>
      <c r="N191" s="163">
        <f>COUNT(N93:O176)</f>
        <v>168</v>
      </c>
      <c r="O191" s="163"/>
      <c r="P191" s="3">
        <f>COUNT(P93:P176)</f>
        <v>84</v>
      </c>
      <c r="Q191" s="3">
        <f>COUNT(Q93:Q176)</f>
        <v>84</v>
      </c>
      <c r="R191" s="3">
        <f>COUNT(R93:R176)</f>
        <v>84</v>
      </c>
      <c r="S191" s="3">
        <f>COUNT(S93:S176)</f>
        <v>84</v>
      </c>
      <c r="W191" s="80" t="s">
        <v>46</v>
      </c>
      <c r="X191" s="3">
        <f>COUNT(X93:X176)</f>
        <v>78</v>
      </c>
      <c r="Y191" s="3">
        <f>COUNT(Y93:Y176)</f>
        <v>78</v>
      </c>
      <c r="Z191" s="3">
        <f>COUNT(Z93:Z176)</f>
        <v>78</v>
      </c>
      <c r="AA191" s="3">
        <f>COUNT(AB93:AB176)</f>
        <v>78</v>
      </c>
    </row>
    <row r="192" spans="1:37">
      <c r="I192" s="164"/>
      <c r="J192" s="163"/>
      <c r="K192" s="163"/>
      <c r="L192" s="163"/>
      <c r="M192" s="163"/>
      <c r="N192" s="163"/>
      <c r="O192" s="163"/>
      <c r="P192" s="163"/>
      <c r="Q192" s="163"/>
      <c r="R192" s="163"/>
      <c r="S192" s="163"/>
      <c r="W192" s="164"/>
      <c r="X192" s="163"/>
      <c r="Y192" s="163"/>
      <c r="Z192" s="163"/>
      <c r="AA192" s="163"/>
    </row>
    <row r="193" spans="1:27">
      <c r="I193" s="18" t="s">
        <v>145</v>
      </c>
      <c r="W193" s="18" t="s">
        <v>145</v>
      </c>
      <c r="X193" s="4"/>
      <c r="Y193" s="4"/>
      <c r="Z193" s="4"/>
      <c r="AA193" s="4"/>
    </row>
    <row r="194" spans="1:27">
      <c r="I194" s="80" t="s">
        <v>45</v>
      </c>
      <c r="J194" s="3">
        <f>AVERAGE(J3:J176)</f>
        <v>5.9312759567721063</v>
      </c>
      <c r="K194" s="3">
        <f>AVERAGE(K3:K176)</f>
        <v>-7.0509145114176945</v>
      </c>
      <c r="L194" s="3">
        <f>AVERAGE(L3:L176)</f>
        <v>-0.43367605879242188</v>
      </c>
      <c r="M194" s="3">
        <f>AVERAGE(M3:M176)</f>
        <v>0.21739284270709272</v>
      </c>
      <c r="N194" s="366">
        <f>AVERAGE(N3:O176)</f>
        <v>-8.8294751726404497E-2</v>
      </c>
      <c r="P194" s="3">
        <f>AVERAGE(P3:P176)</f>
        <v>181.73878905259693</v>
      </c>
      <c r="Q194" s="3">
        <f>AVERAGE(Q3:Q176)*-1</f>
        <v>174.43937649899499</v>
      </c>
      <c r="R194" s="3">
        <f>AVERAGE(R3:R176)</f>
        <v>5.3953903171004169</v>
      </c>
      <c r="S194" s="4">
        <f>AVERAGE(S3:S176)</f>
        <v>1.1250994505486869</v>
      </c>
      <c r="W194" s="80" t="s">
        <v>45</v>
      </c>
      <c r="X194" s="3">
        <f>AVERAGE(X3:X176)</f>
        <v>184.69392963900771</v>
      </c>
      <c r="Y194" s="3">
        <f>AVERAGE(Y3:Y176)*-1</f>
        <v>177.9133720375641</v>
      </c>
      <c r="Z194" s="3">
        <f>AVERAGE(Z3:Z176)</f>
        <v>6.6093183692195439</v>
      </c>
      <c r="AA194" s="4">
        <f>AVERAGE(AB3:AB176)</f>
        <v>1.0442368897314345</v>
      </c>
    </row>
    <row r="195" spans="1:27">
      <c r="I195" s="80" t="s">
        <v>128</v>
      </c>
      <c r="J195" s="3">
        <f>STDEV(J3:J176)/SQRT(J198)</f>
        <v>0.3281526053091588</v>
      </c>
      <c r="K195" s="3">
        <f>STDEV(K3:K176)/SQRT(K198)</f>
        <v>0.37551392470576472</v>
      </c>
      <c r="L195" s="3">
        <f>STDEV(L3:L176)/SQRT(L198)</f>
        <v>6.2283708391728254E-2</v>
      </c>
      <c r="M195" s="3">
        <f>STDEV(M3:M176)/SQRT(M198)</f>
        <v>4.0127828969258234E-2</v>
      </c>
      <c r="N195" s="366">
        <f>STDEV(N3:O176)/SQRT(N198)</f>
        <v>2.1019593304368214E-2</v>
      </c>
      <c r="O195" s="3"/>
      <c r="P195" s="3">
        <f>STDEV(P3:P176)/SQRT(P198)</f>
        <v>8.5315426027897168</v>
      </c>
      <c r="Q195" s="3">
        <f>STDEV(Q3:Q176)/SQRT(Q198)</f>
        <v>8.934722420172351</v>
      </c>
      <c r="R195" s="3">
        <f>STDEV(R3:R176)/SQRT(R198)</f>
        <v>3.639599409228961</v>
      </c>
      <c r="S195" s="4">
        <f>STDEV(S3:S176)/SQRT(S198)</f>
        <v>3.4828342444990626E-2</v>
      </c>
      <c r="W195" s="80" t="s">
        <v>128</v>
      </c>
      <c r="X195" s="3">
        <f>STDEV(X3:X176)/SQRT(X198)</f>
        <v>6.1654965612658259</v>
      </c>
      <c r="Y195" s="3">
        <f>STDEV(Y3:Y176)/SQRT(Y198)</f>
        <v>5.9965426680367209</v>
      </c>
      <c r="Z195" s="3">
        <f>STDEV(Z3:Z176)/SQRT(Z198)</f>
        <v>1.329067604202433</v>
      </c>
      <c r="AA195" s="4">
        <f>STDEV(AB3:AB176)/SQRT(AA198)</f>
        <v>7.8134914273794986E-3</v>
      </c>
    </row>
    <row r="196" spans="1:27" s="161" customFormat="1">
      <c r="A196" s="2"/>
      <c r="B196" s="4"/>
      <c r="C196" s="4"/>
      <c r="D196" s="4"/>
      <c r="E196" s="4"/>
      <c r="F196" s="4"/>
      <c r="G196" s="4"/>
      <c r="H196" s="3"/>
      <c r="I196" s="80" t="s">
        <v>39</v>
      </c>
      <c r="J196" s="3">
        <f>MIN(J3:J176)</f>
        <v>-11.780325040173418</v>
      </c>
      <c r="K196" s="3">
        <f>MIN(K3:K176)</f>
        <v>-23.597947824785546</v>
      </c>
      <c r="L196" s="3">
        <f>MIN(L3:L176)</f>
        <v>-3.4539883028856546</v>
      </c>
      <c r="M196" s="3">
        <f>MIN(M3:M176)</f>
        <v>-1.7848336430093408</v>
      </c>
      <c r="N196" s="3">
        <f>MIN(N3:O176)</f>
        <v>-5.2623632060300878</v>
      </c>
      <c r="O196" s="3"/>
      <c r="P196" s="3">
        <f>MIN(P3:P176)</f>
        <v>5.0801653097453636</v>
      </c>
      <c r="Q196" s="3">
        <f>MIN(Q3:Q176)*-1</f>
        <v>565.45959507220891</v>
      </c>
      <c r="R196" s="3">
        <f>MIN(R3:R176)</f>
        <v>-187.08791045628672</v>
      </c>
      <c r="S196" s="4">
        <f>MIN(S3:S176)</f>
        <v>0.23770421273564371</v>
      </c>
      <c r="T196" s="4"/>
      <c r="U196" s="4"/>
      <c r="V196" s="4"/>
      <c r="W196" s="80" t="s">
        <v>39</v>
      </c>
      <c r="X196" s="3">
        <f>MIN(X3:X176)</f>
        <v>49.050469073314844</v>
      </c>
      <c r="Y196" s="3">
        <f>MIN(Y3:Y176)*-1</f>
        <v>339.42802696087102</v>
      </c>
      <c r="Z196" s="3">
        <f>MIN(Z3:Z176)</f>
        <v>-42.695087414222485</v>
      </c>
      <c r="AA196" s="4">
        <f>MIN(AB3:AB176)</f>
        <v>0.85254766871340537</v>
      </c>
    </row>
    <row r="197" spans="1:27" s="161" customFormat="1">
      <c r="A197" s="2"/>
      <c r="B197" s="4"/>
      <c r="C197" s="4"/>
      <c r="D197" s="4"/>
      <c r="E197" s="4"/>
      <c r="F197" s="4"/>
      <c r="G197" s="4"/>
      <c r="H197" s="3"/>
      <c r="I197" s="80" t="s">
        <v>38</v>
      </c>
      <c r="J197" s="3">
        <f>MAX(J3:J176)</f>
        <v>17.877089548847184</v>
      </c>
      <c r="K197" s="3">
        <f>MAX(K3:K176)</f>
        <v>-0.15157315652968853</v>
      </c>
      <c r="L197" s="3">
        <f>MAX(L3:L176)</f>
        <v>1.24516657476565</v>
      </c>
      <c r="M197" s="3">
        <f>MAX(M3:M176)</f>
        <v>1.9149884923930371</v>
      </c>
      <c r="N197" s="3">
        <f>MAX(N3:O176)</f>
        <v>1.3209815928410351</v>
      </c>
      <c r="O197" s="3"/>
      <c r="P197" s="3">
        <f>MAX(P3:P176)</f>
        <v>486.77155796806858</v>
      </c>
      <c r="Q197" s="3">
        <f>MAX(Q3:Q176)*-1</f>
        <v>2.7169564251331404</v>
      </c>
      <c r="R197" s="3">
        <f>MAX(R3:R176)</f>
        <v>133.55547689698855</v>
      </c>
      <c r="S197" s="4">
        <f>MAX(S3:S176)</f>
        <v>3.7561052420775725</v>
      </c>
      <c r="T197" s="4"/>
      <c r="U197" s="4"/>
      <c r="V197" s="4"/>
      <c r="W197" s="80" t="s">
        <v>38</v>
      </c>
      <c r="X197" s="3">
        <f>MAX(X3:X176)</f>
        <v>344.03255150041241</v>
      </c>
      <c r="Y197" s="3">
        <f>MAX(Y3:Y176)*-1</f>
        <v>44.375347844375632</v>
      </c>
      <c r="Z197" s="3">
        <f>MAX(Z3:Z176)</f>
        <v>51.777166177376024</v>
      </c>
      <c r="AA197" s="4">
        <f>MAX(AB3:AB176)</f>
        <v>1.3508459571524269</v>
      </c>
    </row>
    <row r="198" spans="1:27">
      <c r="I198" s="80" t="s">
        <v>46</v>
      </c>
      <c r="J198" s="163">
        <f>COUNT(J3:J176)</f>
        <v>165</v>
      </c>
      <c r="K198" s="163">
        <f>COUNT(K3:K176)</f>
        <v>166</v>
      </c>
      <c r="L198" s="163">
        <f>COUNT(L3:L176)</f>
        <v>165</v>
      </c>
      <c r="M198" s="163">
        <f>COUNT(M3:M176)</f>
        <v>166</v>
      </c>
      <c r="N198" s="163">
        <f>COUNT(N3:O176)</f>
        <v>331</v>
      </c>
      <c r="O198" s="163"/>
      <c r="P198" s="163">
        <f>COUNT(P3:P176)</f>
        <v>164</v>
      </c>
      <c r="Q198" s="163">
        <f>COUNT(Q3:Q176)</f>
        <v>166</v>
      </c>
      <c r="R198" s="163">
        <f>COUNT(R3:R176)</f>
        <v>165</v>
      </c>
      <c r="S198" s="163">
        <f>COUNT(S3:S176)</f>
        <v>164</v>
      </c>
      <c r="W198" s="80" t="s">
        <v>46</v>
      </c>
      <c r="X198" s="163">
        <f>COUNT(X3:X176)</f>
        <v>153</v>
      </c>
      <c r="Y198" s="163">
        <f>COUNT(Y3:Y176)</f>
        <v>153</v>
      </c>
      <c r="Z198" s="163">
        <f>COUNT(Z3:Z176)</f>
        <v>153</v>
      </c>
      <c r="AA198" s="163">
        <f>COUNT(AB3:AB176)</f>
        <v>153</v>
      </c>
    </row>
    <row r="199" spans="1:27">
      <c r="I199" s="164"/>
      <c r="W199" s="164"/>
    </row>
    <row r="200" spans="1:27">
      <c r="I200" s="161"/>
      <c r="L200" s="4">
        <v>1.2</v>
      </c>
      <c r="M200" s="4" t="s">
        <v>336</v>
      </c>
    </row>
    <row r="201" spans="1:27">
      <c r="I201" s="161"/>
    </row>
    <row r="202" spans="1:27">
      <c r="I202" s="161"/>
    </row>
    <row r="203" spans="1:27">
      <c r="I203" s="161"/>
    </row>
    <row r="204" spans="1:27">
      <c r="I204" s="161"/>
    </row>
    <row r="205" spans="1:27">
      <c r="I205" s="161"/>
    </row>
    <row r="206" spans="1:27">
      <c r="I206" s="161"/>
    </row>
    <row r="207" spans="1:27">
      <c r="I207" s="161"/>
    </row>
    <row r="208" spans="1:27">
      <c r="I208" s="161"/>
    </row>
  </sheetData>
  <phoneticPr fontId="40" type="noConversion"/>
  <conditionalFormatting sqref="P3:P176">
    <cfRule type="cellIs" dxfId="4" priority="3" stopIfTrue="1" operator="lessThan">
      <formula>0</formula>
    </cfRule>
  </conditionalFormatting>
  <conditionalFormatting sqref="Y3:Y174">
    <cfRule type="cellIs" dxfId="3" priority="4" stopIfTrue="1" operator="greaterThan">
      <formula>0</formula>
    </cfRule>
  </conditionalFormatting>
  <conditionalFormatting sqref="X3:X174">
    <cfRule type="cellIs" dxfId="2" priority="5" stopIfTrue="1" operator="lessThan">
      <formula>0</formula>
    </cfRule>
  </conditionalFormatting>
  <pageMargins left="0.7" right="0.7" top="0.75" bottom="0.75" header="0.3" footer="0.3"/>
  <pageSetup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T220"/>
  <sheetViews>
    <sheetView zoomScale="85" zoomScaleNormal="85" workbookViewId="0">
      <pane xSplit="1" ySplit="2" topLeftCell="B175" activePane="bottomRight" state="frozen"/>
      <selection pane="topRight" activeCell="B1" sqref="B1"/>
      <selection pane="bottomLeft" activeCell="A3" sqref="A3"/>
      <selection pane="bottomRight" activeCell="M181" sqref="M181"/>
    </sheetView>
  </sheetViews>
  <sheetFormatPr defaultColWidth="7.109375" defaultRowHeight="13.2"/>
  <cols>
    <col min="1" max="1" width="8" style="2" customWidth="1"/>
    <col min="2" max="3" width="5.6640625" style="4" bestFit="1" customWidth="1"/>
    <col min="4" max="4" width="5.5546875" style="4" bestFit="1" customWidth="1"/>
    <col min="5" max="5" width="5.88671875" style="4" customWidth="1"/>
    <col min="6" max="6" width="7.33203125" style="4" bestFit="1" customWidth="1"/>
    <col min="7" max="7" width="6.33203125" style="4" customWidth="1"/>
    <col min="8" max="8" width="8.6640625" style="4" bestFit="1" customWidth="1"/>
    <col min="9" max="9" width="8.33203125" style="4" bestFit="1" customWidth="1"/>
    <col min="10" max="10" width="8.109375" style="4" bestFit="1" customWidth="1"/>
    <col min="11" max="11" width="6.6640625" style="4" bestFit="1" customWidth="1"/>
    <col min="12" max="12" width="6.33203125" style="4" bestFit="1" customWidth="1"/>
    <col min="13" max="13" width="5.33203125" style="3" bestFit="1" customWidth="1"/>
    <col min="14" max="15" width="8.6640625" style="3" bestFit="1" customWidth="1"/>
    <col min="16" max="18" width="6.33203125" style="4" bestFit="1" customWidth="1"/>
    <col min="19" max="19" width="6.33203125" style="4" customWidth="1"/>
    <col min="20" max="20" width="4.6640625" style="19" bestFit="1" customWidth="1"/>
    <col min="21" max="21" width="6.109375" style="19" bestFit="1" customWidth="1"/>
    <col min="22" max="22" width="6" style="19" bestFit="1" customWidth="1"/>
    <col min="23" max="23" width="8.6640625" style="4" bestFit="1" customWidth="1"/>
    <col min="24" max="25" width="7.33203125" style="19" bestFit="1" customWidth="1"/>
    <col min="26" max="26" width="6.33203125" style="19" bestFit="1" customWidth="1"/>
    <col min="28" max="28" width="4.5546875" bestFit="1" customWidth="1"/>
    <col min="33" max="33" width="14.6640625" customWidth="1"/>
    <col min="35" max="35" width="8.44140625" bestFit="1" customWidth="1"/>
  </cols>
  <sheetData>
    <row r="1" spans="1:46">
      <c r="A1" s="18" t="s">
        <v>334</v>
      </c>
      <c r="X1" s="19" t="s">
        <v>54</v>
      </c>
      <c r="AD1" s="19" t="s">
        <v>40</v>
      </c>
      <c r="AG1" s="333" t="s">
        <v>188</v>
      </c>
      <c r="AH1" s="333"/>
      <c r="AI1" s="333"/>
      <c r="AQ1" s="161" t="s">
        <v>216</v>
      </c>
      <c r="AR1" s="161"/>
      <c r="AS1" s="161"/>
      <c r="AT1" s="161"/>
    </row>
    <row r="2" spans="1:46">
      <c r="A2" s="2" t="s">
        <v>2</v>
      </c>
      <c r="B2" s="6" t="s">
        <v>14</v>
      </c>
      <c r="C2" s="6" t="s">
        <v>15</v>
      </c>
      <c r="D2" s="6" t="s">
        <v>16</v>
      </c>
      <c r="E2" s="17" t="s">
        <v>17</v>
      </c>
      <c r="F2" s="6" t="s">
        <v>18</v>
      </c>
      <c r="G2" s="6" t="s">
        <v>19</v>
      </c>
      <c r="H2" s="77" t="s">
        <v>20</v>
      </c>
      <c r="I2" s="6" t="s">
        <v>21</v>
      </c>
      <c r="J2" s="6" t="s">
        <v>22</v>
      </c>
      <c r="K2" s="6" t="s">
        <v>23</v>
      </c>
      <c r="L2" s="6" t="s">
        <v>24</v>
      </c>
      <c r="M2" s="6" t="s">
        <v>25</v>
      </c>
      <c r="N2" s="161" t="s">
        <v>330</v>
      </c>
      <c r="O2" s="161" t="s">
        <v>331</v>
      </c>
      <c r="P2" s="6" t="s">
        <v>26</v>
      </c>
      <c r="Q2" s="6" t="s">
        <v>27</v>
      </c>
      <c r="R2" s="6" t="s">
        <v>28</v>
      </c>
      <c r="S2" s="6" t="s">
        <v>181</v>
      </c>
      <c r="T2" s="6" t="s">
        <v>5</v>
      </c>
      <c r="U2" s="6" t="s">
        <v>6</v>
      </c>
      <c r="V2" s="17" t="s">
        <v>7</v>
      </c>
      <c r="W2" s="5" t="s">
        <v>8</v>
      </c>
      <c r="X2" s="19" t="s">
        <v>33</v>
      </c>
      <c r="Y2" s="19" t="s">
        <v>182</v>
      </c>
      <c r="Z2" s="19" t="s">
        <v>28</v>
      </c>
      <c r="AA2" s="222" t="s">
        <v>156</v>
      </c>
      <c r="AB2" s="223" t="s">
        <v>164</v>
      </c>
      <c r="AD2" s="19" t="s">
        <v>184</v>
      </c>
      <c r="AE2" s="161" t="s">
        <v>125</v>
      </c>
      <c r="AG2" s="333"/>
      <c r="AH2" s="333" t="s">
        <v>186</v>
      </c>
      <c r="AI2" s="333" t="s">
        <v>187</v>
      </c>
      <c r="AQ2" s="161" t="s">
        <v>167</v>
      </c>
      <c r="AR2" s="161" t="s">
        <v>168</v>
      </c>
      <c r="AS2" s="161" t="s">
        <v>213</v>
      </c>
      <c r="AT2" s="161"/>
    </row>
    <row r="3" spans="1:46" ht="13.8" thickBot="1">
      <c r="A3" s="2">
        <v>41376</v>
      </c>
      <c r="B3" s="4">
        <v>21.687118424356555</v>
      </c>
      <c r="C3" s="4">
        <v>21.835617074701826</v>
      </c>
      <c r="D3" s="4">
        <v>14.374869150371781</v>
      </c>
      <c r="E3" s="7">
        <v>239.41024207470176</v>
      </c>
      <c r="F3" s="4">
        <v>0.98897156192992874</v>
      </c>
      <c r="G3" s="4">
        <v>1.8483000627746393</v>
      </c>
      <c r="H3" s="3">
        <v>18.386161016949156</v>
      </c>
      <c r="I3" s="4">
        <v>0.54498430634023842</v>
      </c>
      <c r="J3" s="4">
        <v>2.2546874999995996</v>
      </c>
      <c r="K3" s="4">
        <v>-4.0239130434781369</v>
      </c>
      <c r="L3" s="4">
        <v>-1.8029409906240832E-2</v>
      </c>
      <c r="M3" s="4">
        <v>2.0678609013634171E-2</v>
      </c>
      <c r="N3" s="4">
        <f t="shared" ref="N3:N34" si="0">L3/J3</f>
        <v>-7.9964118780292311E-3</v>
      </c>
      <c r="O3" s="4">
        <f t="shared" ref="O3:O34" si="1">M3/K3</f>
        <v>-5.1389303869648897E-3</v>
      </c>
      <c r="P3" s="7">
        <v>80.019241790369719</v>
      </c>
      <c r="Q3" s="7">
        <v>-97.070199659802469</v>
      </c>
      <c r="R3" s="7">
        <v>-17.05095786943275</v>
      </c>
      <c r="S3" s="4">
        <f>P3/-Q3</f>
        <v>0.82434405276603462</v>
      </c>
      <c r="T3" s="4">
        <v>3.8844074074074078</v>
      </c>
      <c r="U3" s="4">
        <v>19.026851851851848</v>
      </c>
      <c r="V3" s="7">
        <v>245.42500000000001</v>
      </c>
      <c r="W3">
        <v>27</v>
      </c>
      <c r="X3" s="20"/>
      <c r="Y3" s="20"/>
      <c r="Z3" s="20"/>
      <c r="AA3" s="223"/>
      <c r="AB3" s="223"/>
      <c r="AD3" s="13">
        <f t="shared" ref="AD3:AD34" si="2">H3</f>
        <v>18.386161016949156</v>
      </c>
      <c r="AE3" s="3">
        <f t="shared" ref="AE3:AE34" si="3">4.6*G3-2.74</f>
        <v>5.7621802887633393</v>
      </c>
      <c r="AG3" s="334">
        <v>41376</v>
      </c>
      <c r="AH3" s="349">
        <v>3.7202139999999999</v>
      </c>
      <c r="AI3" s="349">
        <v>4.6989999999999998</v>
      </c>
      <c r="AK3" s="226">
        <v>1</v>
      </c>
      <c r="AL3" s="228">
        <v>1</v>
      </c>
      <c r="AM3" s="225">
        <v>4.1192700000000002</v>
      </c>
      <c r="AN3" s="225">
        <v>6.1920000000000002</v>
      </c>
      <c r="AQ3" s="245" t="s">
        <v>214</v>
      </c>
      <c r="AR3" s="245" t="s">
        <v>214</v>
      </c>
      <c r="AS3" s="161"/>
      <c r="AT3" s="161"/>
    </row>
    <row r="4" spans="1:46" ht="13.8" thickBot="1">
      <c r="A4" s="2">
        <v>41377</v>
      </c>
      <c r="B4" s="4">
        <v>21.905344085451986</v>
      </c>
      <c r="C4" s="4">
        <v>22.061111052259893</v>
      </c>
      <c r="D4" s="4">
        <v>14.488655896730792</v>
      </c>
      <c r="E4" s="7">
        <v>240.93512756002826</v>
      </c>
      <c r="F4" s="4">
        <v>1.0005771345107934</v>
      </c>
      <c r="G4" s="4">
        <v>1.503354696327684</v>
      </c>
      <c r="H4" s="3">
        <v>17.517100988700559</v>
      </c>
      <c r="I4" s="4">
        <v>0.4559834039548023</v>
      </c>
      <c r="J4" s="4">
        <v>4.9072499999998964</v>
      </c>
      <c r="K4" s="4">
        <v>-4.0366847826085479</v>
      </c>
      <c r="L4" s="4">
        <v>1.528775320627461E-2</v>
      </c>
      <c r="M4" s="4">
        <v>4.7226254310918717E-3</v>
      </c>
      <c r="N4" s="4">
        <f t="shared" si="0"/>
        <v>3.1153402020021258E-3</v>
      </c>
      <c r="O4" s="4">
        <f t="shared" si="1"/>
        <v>-1.1699267308258987E-3</v>
      </c>
      <c r="P4" s="7">
        <v>113.15601562788798</v>
      </c>
      <c r="Q4" s="7">
        <v>-96.993777792951363</v>
      </c>
      <c r="R4" s="7">
        <v>16.162237834936619</v>
      </c>
      <c r="S4" s="4">
        <f t="shared" ref="S4:S67" si="4">P4/-Q4</f>
        <v>1.1666316974418449</v>
      </c>
      <c r="T4" s="4">
        <v>2.7526354166666667</v>
      </c>
      <c r="U4" s="4">
        <v>19.80854166666667</v>
      </c>
      <c r="V4" s="7">
        <v>610.45000000000005</v>
      </c>
      <c r="W4">
        <v>48</v>
      </c>
      <c r="X4" s="21"/>
      <c r="Y4" s="21"/>
      <c r="Z4" s="21"/>
      <c r="AA4" s="223"/>
      <c r="AB4" s="223"/>
      <c r="AD4" s="13">
        <f t="shared" si="2"/>
        <v>17.517100988700559</v>
      </c>
      <c r="AE4" s="3">
        <f t="shared" si="3"/>
        <v>4.175431603107346</v>
      </c>
      <c r="AG4" s="334">
        <v>41377</v>
      </c>
      <c r="AH4" s="349">
        <v>2.899521</v>
      </c>
      <c r="AI4" s="349">
        <v>6.1920000000000002</v>
      </c>
      <c r="AK4" s="226">
        <v>2</v>
      </c>
      <c r="AL4" s="229">
        <v>2</v>
      </c>
      <c r="AM4" s="227">
        <v>2.9696250000000002</v>
      </c>
      <c r="AN4" s="227">
        <v>7.7439999999999998</v>
      </c>
      <c r="AQ4" s="246">
        <v>117.305573</v>
      </c>
      <c r="AR4" s="246">
        <v>-109.965256</v>
      </c>
      <c r="AS4" s="161"/>
      <c r="AT4" s="161"/>
    </row>
    <row r="5" spans="1:46" ht="13.8" thickBot="1">
      <c r="A5" s="2">
        <v>41378</v>
      </c>
      <c r="B5" s="4">
        <v>21.01797777189266</v>
      </c>
      <c r="C5" s="4">
        <v>23.9662199858757</v>
      </c>
      <c r="D5" s="4">
        <v>16.159129549926863</v>
      </c>
      <c r="E5" s="7">
        <v>226.43996623411013</v>
      </c>
      <c r="F5" s="4">
        <v>0.93536465725541829</v>
      </c>
      <c r="G5" s="4">
        <v>1.8416853813559324</v>
      </c>
      <c r="H5" s="3">
        <v>16.657668608757064</v>
      </c>
      <c r="I5" s="4">
        <v>0.61052948446327682</v>
      </c>
      <c r="J5" s="4">
        <v>-8.1335000000000139</v>
      </c>
      <c r="K5" s="4">
        <v>1.3676630434782138</v>
      </c>
      <c r="L5" s="4">
        <v>0.1794968855210769</v>
      </c>
      <c r="M5" s="4">
        <v>4.8286175909359554E-2</v>
      </c>
      <c r="N5" s="4">
        <f t="shared" si="0"/>
        <v>-2.2068836973145212E-2</v>
      </c>
      <c r="O5" s="4">
        <f t="shared" si="1"/>
        <v>3.5305608453496777E-2</v>
      </c>
      <c r="P5" s="7">
        <v>-122.81276535189828</v>
      </c>
      <c r="Q5" s="7">
        <v>31.665044821652529</v>
      </c>
      <c r="R5" s="7">
        <v>-91.147720530245749</v>
      </c>
      <c r="S5" s="4">
        <f t="shared" si="4"/>
        <v>3.8784964949084495</v>
      </c>
      <c r="T5" s="4">
        <v>4.6893958333333332</v>
      </c>
      <c r="U5" s="4">
        <v>18.578229166666667</v>
      </c>
      <c r="V5" s="7"/>
      <c r="W5">
        <v>48</v>
      </c>
      <c r="X5" s="21"/>
      <c r="Y5" s="21"/>
      <c r="Z5" s="21"/>
      <c r="AA5" s="223"/>
      <c r="AB5" s="199"/>
      <c r="AD5" s="13">
        <f t="shared" si="2"/>
        <v>16.657668608757064</v>
      </c>
      <c r="AE5" s="3">
        <f t="shared" si="3"/>
        <v>5.7317527542372879</v>
      </c>
      <c r="AG5" s="334">
        <v>41378</v>
      </c>
      <c r="AH5" s="349">
        <v>4.8886459999999996</v>
      </c>
      <c r="AI5" s="349">
        <v>11.952</v>
      </c>
      <c r="AK5" s="226">
        <v>3</v>
      </c>
      <c r="AL5" s="228">
        <v>3</v>
      </c>
      <c r="AM5" s="225">
        <v>4.4204790000000003</v>
      </c>
      <c r="AN5" s="225">
        <v>11.952</v>
      </c>
      <c r="AQ5" s="245">
        <v>-126.34994</v>
      </c>
      <c r="AR5" s="245">
        <v>36.501499000000003</v>
      </c>
      <c r="AS5" s="161"/>
      <c r="AT5" s="161"/>
    </row>
    <row r="6" spans="1:46" ht="13.8" thickBot="1">
      <c r="A6" s="2">
        <v>41379</v>
      </c>
      <c r="B6" s="4">
        <v>21.248409057203396</v>
      </c>
      <c r="C6" s="4">
        <v>23.859122704802264</v>
      </c>
      <c r="D6" s="4">
        <v>16.018348582821265</v>
      </c>
      <c r="E6" s="7">
        <v>227.67108602577682</v>
      </c>
      <c r="F6" s="4">
        <v>0.94400021736976181</v>
      </c>
      <c r="G6" s="4">
        <v>1.5937131002824867</v>
      </c>
      <c r="H6" s="3">
        <v>16.733075918079098</v>
      </c>
      <c r="I6" s="4">
        <v>0.51442125706214703</v>
      </c>
      <c r="J6" s="4">
        <v>4.4427500000000224</v>
      </c>
      <c r="K6" s="4">
        <v>-1.8461956521738905</v>
      </c>
      <c r="L6" s="4">
        <v>9.053518576161014E-2</v>
      </c>
      <c r="M6" s="4">
        <v>2.0327969669282398E-2</v>
      </c>
      <c r="N6" s="4">
        <f t="shared" si="0"/>
        <v>2.0378185979766966E-2</v>
      </c>
      <c r="O6" s="4">
        <f t="shared" si="1"/>
        <v>-1.1010734233582594E-2</v>
      </c>
      <c r="P6" s="7">
        <v>79.288915060041134</v>
      </c>
      <c r="Q6" s="7">
        <v>-44.796566924236139</v>
      </c>
      <c r="R6" s="7">
        <v>34.492348135804995</v>
      </c>
      <c r="S6" s="4">
        <f t="shared" si="4"/>
        <v>1.7699774894388998</v>
      </c>
      <c r="T6" s="4">
        <v>3.0215937499999987</v>
      </c>
      <c r="U6" s="4">
        <v>20.483229166666664</v>
      </c>
      <c r="V6" s="7">
        <v>283.46800000000002</v>
      </c>
      <c r="W6">
        <v>48</v>
      </c>
      <c r="X6" s="21">
        <f>AVERAGE(P3:P9)</f>
        <v>58.153573129389841</v>
      </c>
      <c r="Y6" s="21">
        <f>AVERAGE(Q3:Q9)</f>
        <v>-65.595675098904039</v>
      </c>
      <c r="Z6" s="21">
        <f>AVERAGE(R3:R9)</f>
        <v>-7.4421019695142006</v>
      </c>
      <c r="AA6" s="224">
        <f t="shared" ref="AA6:AA37" si="5">-Y6</f>
        <v>65.595675098904039</v>
      </c>
      <c r="AB6" s="199">
        <f t="shared" ref="AB6:AB37" si="6">X6/-Y6</f>
        <v>0.88654584378782408</v>
      </c>
      <c r="AD6" s="13">
        <f t="shared" si="2"/>
        <v>16.733075918079098</v>
      </c>
      <c r="AE6" s="3">
        <f t="shared" si="3"/>
        <v>4.5910802612994379</v>
      </c>
      <c r="AG6" s="334">
        <v>41379</v>
      </c>
      <c r="AH6" s="349">
        <v>3.1722709999999998</v>
      </c>
      <c r="AI6" s="349">
        <v>5.22</v>
      </c>
      <c r="AK6" s="226">
        <v>4</v>
      </c>
      <c r="AL6" s="229">
        <v>4</v>
      </c>
      <c r="AM6" s="227">
        <v>3.1051669999999998</v>
      </c>
      <c r="AN6" s="227">
        <v>5.758</v>
      </c>
      <c r="AQ6" s="246">
        <v>77.049158000000006</v>
      </c>
      <c r="AR6" s="246">
        <v>-36.388834000000003</v>
      </c>
      <c r="AS6" s="244">
        <f>AVERAGE(AQ3:AQ9)</f>
        <v>54.229530266666671</v>
      </c>
      <c r="AT6" s="244">
        <f>-AVERAGE(AR3:AR9)</f>
        <v>60.235550499999995</v>
      </c>
    </row>
    <row r="7" spans="1:46" ht="13.8" thickBot="1">
      <c r="A7" s="2">
        <v>41380</v>
      </c>
      <c r="B7" s="4">
        <v>22.225744615113001</v>
      </c>
      <c r="C7" s="4">
        <v>23.256652895480226</v>
      </c>
      <c r="D7" s="4">
        <v>15.306895763152069</v>
      </c>
      <c r="E7" s="7">
        <v>235.4750673110876</v>
      </c>
      <c r="F7" s="4">
        <v>0.99059839000595717</v>
      </c>
      <c r="G7" s="4">
        <v>1.2906714336158194</v>
      </c>
      <c r="H7" s="3">
        <v>16.065516066384181</v>
      </c>
      <c r="I7" s="4">
        <v>0.50333386299435057</v>
      </c>
      <c r="J7" s="4">
        <v>5.2964999999999813</v>
      </c>
      <c r="K7" s="4">
        <v>-3.2584239130435955</v>
      </c>
      <c r="L7" s="4">
        <v>4.920256974007943E-2</v>
      </c>
      <c r="M7" s="4">
        <v>-6.5020827239534564E-4</v>
      </c>
      <c r="N7" s="4">
        <f t="shared" si="0"/>
        <v>9.2896383914055705E-3</v>
      </c>
      <c r="O7" s="4">
        <f t="shared" si="1"/>
        <v>1.9954686368232723E-4</v>
      </c>
      <c r="P7" s="7">
        <v>108.43965697164785</v>
      </c>
      <c r="Q7" s="7">
        <v>-78.186568914508825</v>
      </c>
      <c r="R7" s="7">
        <v>30.253088057139024</v>
      </c>
      <c r="S7" s="4">
        <f t="shared" si="4"/>
        <v>1.3869345909042066</v>
      </c>
      <c r="T7" s="4">
        <v>3.291254316675444</v>
      </c>
      <c r="U7" s="4">
        <v>21.248778781777819</v>
      </c>
      <c r="V7" s="7">
        <v>575.20000000000005</v>
      </c>
      <c r="W7">
        <v>48</v>
      </c>
      <c r="X7" s="21">
        <f t="shared" ref="X7:X38" si="7">AVERAGE(P4:P10)</f>
        <v>51.923709020338165</v>
      </c>
      <c r="Y7" s="21">
        <f t="shared" ref="Y7:Y38" si="8">AVERAGE(Q4:Q10)</f>
        <v>-60.777171987962014</v>
      </c>
      <c r="Z7" s="21">
        <f t="shared" ref="Z7:Z22" si="9">AVERAGE(R4:R10)</f>
        <v>-8.8534629676238499</v>
      </c>
      <c r="AA7" s="224">
        <f t="shared" si="5"/>
        <v>60.777171987962014</v>
      </c>
      <c r="AB7" s="199">
        <f t="shared" si="6"/>
        <v>0.85432913908239372</v>
      </c>
      <c r="AD7" s="13">
        <f t="shared" si="2"/>
        <v>16.065516066384181</v>
      </c>
      <c r="AE7" s="3">
        <f t="shared" si="3"/>
        <v>3.1970885946327687</v>
      </c>
      <c r="AG7" s="334">
        <v>41380</v>
      </c>
      <c r="AH7" s="349">
        <v>3.0150800000000002</v>
      </c>
      <c r="AI7" s="349">
        <v>5.758</v>
      </c>
      <c r="AK7" s="226">
        <v>5</v>
      </c>
      <c r="AL7" s="228">
        <v>5</v>
      </c>
      <c r="AM7" s="225">
        <v>3.1892230000000001</v>
      </c>
      <c r="AN7" s="225">
        <v>5.5970000000000004</v>
      </c>
      <c r="AQ7" s="245">
        <v>135.99005829999999</v>
      </c>
      <c r="AR7" s="245">
        <v>-98.682034999999999</v>
      </c>
      <c r="AS7" s="244">
        <f t="shared" ref="AS7:AS70" si="10">AVERAGE(AQ4:AQ10)</f>
        <v>50.597843371428574</v>
      </c>
      <c r="AT7" s="244">
        <f t="shared" ref="AT7:AT70" si="11">-AVERAGE(AR4:AR10)</f>
        <v>60.164564428571431</v>
      </c>
    </row>
    <row r="8" spans="1:46" ht="13.8" thickBot="1">
      <c r="A8" s="2">
        <v>41381</v>
      </c>
      <c r="B8" s="4">
        <v>22.751019738700553</v>
      </c>
      <c r="C8" s="4">
        <v>23.24791649011301</v>
      </c>
      <c r="D8" s="4">
        <v>15.160565160167769</v>
      </c>
      <c r="E8" s="7">
        <v>238.3859187411723</v>
      </c>
      <c r="F8" s="4">
        <v>1.0122751478219705</v>
      </c>
      <c r="G8" s="4">
        <v>1.36692302259887</v>
      </c>
      <c r="H8" s="3">
        <v>15.825204978813559</v>
      </c>
      <c r="I8" s="4">
        <v>0.51138665254237303</v>
      </c>
      <c r="J8" s="4">
        <v>4.055288461538594</v>
      </c>
      <c r="K8" s="4">
        <v>-3.799147727272846</v>
      </c>
      <c r="L8" s="4">
        <v>-2.028237841744612E-3</v>
      </c>
      <c r="M8" s="4">
        <v>-8.6446954597138841E-3</v>
      </c>
      <c r="N8" s="4">
        <f t="shared" si="0"/>
        <v>-5.0014637946990573E-4</v>
      </c>
      <c r="O8" s="4">
        <f t="shared" si="1"/>
        <v>2.275430196529718E-3</v>
      </c>
      <c r="P8" s="7">
        <v>100.71368655031591</v>
      </c>
      <c r="Q8" s="7">
        <v>-90.972072763515172</v>
      </c>
      <c r="R8" s="7">
        <v>9.7416137868007411</v>
      </c>
      <c r="S8" s="4">
        <f t="shared" si="4"/>
        <v>1.1070835641188959</v>
      </c>
      <c r="T8" s="4">
        <v>3.2067708333333349</v>
      </c>
      <c r="U8" s="4">
        <v>21.862395833333334</v>
      </c>
      <c r="V8" s="7">
        <v>384.34423076923082</v>
      </c>
      <c r="W8">
        <v>48</v>
      </c>
      <c r="X8" s="21">
        <f t="shared" si="7"/>
        <v>77.293128023344025</v>
      </c>
      <c r="Y8" s="21">
        <f t="shared" si="8"/>
        <v>-78.80581948185862</v>
      </c>
      <c r="Z8" s="21">
        <f t="shared" si="9"/>
        <v>-1.5126914585145994</v>
      </c>
      <c r="AA8" s="224">
        <f t="shared" si="5"/>
        <v>78.80581948185862</v>
      </c>
      <c r="AB8" s="199">
        <f t="shared" si="6"/>
        <v>0.98080482547532133</v>
      </c>
      <c r="AD8" s="13">
        <f t="shared" si="2"/>
        <v>15.825204978813559</v>
      </c>
      <c r="AE8" s="3">
        <f t="shared" si="3"/>
        <v>3.5478459039548014</v>
      </c>
      <c r="AG8" s="334">
        <v>41381</v>
      </c>
      <c r="AH8" s="349">
        <v>3.1713300000000002</v>
      </c>
      <c r="AI8" s="349">
        <v>5.4770000000000003</v>
      </c>
      <c r="AK8" s="226">
        <v>6</v>
      </c>
      <c r="AL8" s="229">
        <v>6</v>
      </c>
      <c r="AM8" s="227">
        <v>3.1</v>
      </c>
      <c r="AN8" s="227">
        <v>5.0279999999999996</v>
      </c>
      <c r="AQ8" s="246">
        <v>75.049808900000002</v>
      </c>
      <c r="AR8" s="246">
        <v>-76.823531000000003</v>
      </c>
      <c r="AS8" s="244">
        <f t="shared" si="10"/>
        <v>74.245697314285707</v>
      </c>
      <c r="AT8" s="244">
        <f t="shared" si="11"/>
        <v>72.317291428571437</v>
      </c>
    </row>
    <row r="9" spans="1:46" ht="13.8" thickBot="1">
      <c r="A9" s="2">
        <v>41382</v>
      </c>
      <c r="B9" s="4">
        <v>23.041467920197736</v>
      </c>
      <c r="C9" s="4">
        <v>23.983049788135599</v>
      </c>
      <c r="D9" s="4">
        <v>15.636341806893773</v>
      </c>
      <c r="E9" s="7">
        <v>234.37666070798025</v>
      </c>
      <c r="F9" s="4">
        <v>1.0046885496533475</v>
      </c>
      <c r="G9" s="4">
        <v>1.3577434675141242</v>
      </c>
      <c r="H9" s="3">
        <v>14.780415430790965</v>
      </c>
      <c r="I9" s="4">
        <v>0.54473252118644067</v>
      </c>
      <c r="J9" s="4">
        <v>0.27548076923076648</v>
      </c>
      <c r="K9" s="4">
        <v>-3.4451704545453454</v>
      </c>
      <c r="L9" s="4">
        <v>-1.0922362753476798E-2</v>
      </c>
      <c r="M9" s="4">
        <v>5.4788979116084328E-3</v>
      </c>
      <c r="N9" s="4">
        <f t="shared" si="0"/>
        <v>-3.9648367412272192E-2</v>
      </c>
      <c r="O9" s="4">
        <f t="shared" si="1"/>
        <v>-1.5903125792745356E-3</v>
      </c>
      <c r="P9" s="7">
        <v>48.270261257364609</v>
      </c>
      <c r="Q9" s="7">
        <v>-82.815584458966896</v>
      </c>
      <c r="R9" s="7">
        <v>-34.545323201602287</v>
      </c>
      <c r="S9" s="4">
        <f t="shared" si="4"/>
        <v>0.58286446413091908</v>
      </c>
      <c r="T9" s="4">
        <v>3.61403125</v>
      </c>
      <c r="U9" s="4">
        <v>22.374895833333326</v>
      </c>
      <c r="V9" s="7">
        <v>400.125</v>
      </c>
      <c r="W9">
        <v>48</v>
      </c>
      <c r="X9" s="21">
        <f t="shared" si="7"/>
        <v>133.74873112486415</v>
      </c>
      <c r="Y9" s="21">
        <f t="shared" si="8"/>
        <v>-110.58066216130408</v>
      </c>
      <c r="Z9" s="21">
        <f t="shared" si="9"/>
        <v>23.168068963560081</v>
      </c>
      <c r="AA9" s="224">
        <f t="shared" si="5"/>
        <v>110.58066216130408</v>
      </c>
      <c r="AB9" s="199">
        <f t="shared" si="6"/>
        <v>1.2095128434822067</v>
      </c>
      <c r="AD9" s="13">
        <f t="shared" si="2"/>
        <v>14.780415430790965</v>
      </c>
      <c r="AE9" s="3">
        <f t="shared" si="3"/>
        <v>3.505619950564971</v>
      </c>
      <c r="AG9" s="334">
        <v>41382</v>
      </c>
      <c r="AH9" s="349">
        <v>3.5094379999999998</v>
      </c>
      <c r="AI9" s="349">
        <v>5.274</v>
      </c>
      <c r="AK9" s="226">
        <v>7</v>
      </c>
      <c r="AL9" s="228">
        <v>7</v>
      </c>
      <c r="AM9" s="225">
        <v>4.4184380000000001</v>
      </c>
      <c r="AN9" s="225">
        <v>11.457000000000001</v>
      </c>
      <c r="AQ9" s="245">
        <v>46.332523399999999</v>
      </c>
      <c r="AR9" s="245">
        <v>-76.055145999999993</v>
      </c>
      <c r="AS9" s="244">
        <f t="shared" si="10"/>
        <v>126.52204884285713</v>
      </c>
      <c r="AT9" s="244">
        <f t="shared" si="11"/>
        <v>104.99564199999999</v>
      </c>
    </row>
    <row r="10" spans="1:46" ht="13.8" thickBot="1">
      <c r="A10" s="2">
        <v>41383</v>
      </c>
      <c r="B10" s="4">
        <v>21.947222228107346</v>
      </c>
      <c r="C10" s="4">
        <v>23.05714918785311</v>
      </c>
      <c r="D10" s="4">
        <v>15.227816689665522</v>
      </c>
      <c r="E10" s="7">
        <v>228.14100569385596</v>
      </c>
      <c r="F10" s="4">
        <v>0.95371361535804156</v>
      </c>
      <c r="G10" s="4">
        <v>1.9293855932203383</v>
      </c>
      <c r="H10" s="3">
        <v>17.564926730225988</v>
      </c>
      <c r="I10" s="4">
        <v>0.7579080155367226</v>
      </c>
      <c r="J10" s="4">
        <v>0.27932692307680945</v>
      </c>
      <c r="K10" s="4">
        <v>-2.4696022727271236</v>
      </c>
      <c r="L10" s="4">
        <v>9.9668181173261247E-2</v>
      </c>
      <c r="M10" s="4">
        <v>0.16959263907321878</v>
      </c>
      <c r="N10" s="4">
        <f t="shared" si="0"/>
        <v>0.3568155195188773</v>
      </c>
      <c r="O10" s="4">
        <f t="shared" si="1"/>
        <v>-6.8672045270650656E-2</v>
      </c>
      <c r="P10" s="7">
        <v>36.410193027007956</v>
      </c>
      <c r="Q10" s="7">
        <v>-63.340677883208244</v>
      </c>
      <c r="R10" s="7">
        <v>-26.930484856200287</v>
      </c>
      <c r="S10" s="4">
        <f t="shared" si="4"/>
        <v>0.57483112343924536</v>
      </c>
      <c r="T10" s="4">
        <v>5.8775081715083273</v>
      </c>
      <c r="U10" s="4">
        <v>15.789119832728831</v>
      </c>
      <c r="V10" s="7"/>
      <c r="W10">
        <v>48</v>
      </c>
      <c r="X10" s="21">
        <f t="shared" si="7"/>
        <v>145.57638362822786</v>
      </c>
      <c r="Y10" s="21">
        <f t="shared" si="8"/>
        <v>-128.54600708952853</v>
      </c>
      <c r="Z10" s="21">
        <f t="shared" si="9"/>
        <v>17.03037653869934</v>
      </c>
      <c r="AA10" s="224">
        <f t="shared" si="5"/>
        <v>128.54600708952853</v>
      </c>
      <c r="AB10" s="199">
        <f t="shared" si="6"/>
        <v>1.1324846794100587</v>
      </c>
      <c r="AD10" s="13">
        <f t="shared" si="2"/>
        <v>17.564926730225988</v>
      </c>
      <c r="AE10" s="3">
        <f t="shared" si="3"/>
        <v>6.1351737288135553</v>
      </c>
      <c r="AG10" s="334">
        <v>41383</v>
      </c>
      <c r="AH10" s="349">
        <v>5.1058940000000002</v>
      </c>
      <c r="AI10" s="349">
        <v>11.457000000000001</v>
      </c>
      <c r="AK10" s="226">
        <v>8</v>
      </c>
      <c r="AL10" s="229">
        <v>8</v>
      </c>
      <c r="AM10" s="227">
        <v>6.0153730000000003</v>
      </c>
      <c r="AN10" s="227">
        <v>9.7929999999999993</v>
      </c>
      <c r="AQ10" s="246">
        <v>28.807721999999998</v>
      </c>
      <c r="AR10" s="246">
        <v>-59.738647999999998</v>
      </c>
      <c r="AS10" s="244">
        <f t="shared" si="10"/>
        <v>140.88982655714284</v>
      </c>
      <c r="AT10" s="244">
        <f t="shared" si="11"/>
        <v>125.95591857142858</v>
      </c>
    </row>
    <row r="11" spans="1:46" ht="13.8" thickBot="1">
      <c r="A11" s="2">
        <v>41384</v>
      </c>
      <c r="B11" s="4">
        <v>20.332426553672317</v>
      </c>
      <c r="C11" s="4">
        <v>21.028188735875709</v>
      </c>
      <c r="D11" s="4">
        <v>14.10538793489863</v>
      </c>
      <c r="E11" s="7">
        <v>242.50911458333329</v>
      </c>
      <c r="F11" s="4">
        <v>0.97212323659118749</v>
      </c>
      <c r="G11" s="4">
        <v>2.1739881709039555</v>
      </c>
      <c r="H11" s="3">
        <v>21.342870762711865</v>
      </c>
      <c r="I11" s="4">
        <v>1.3914945268361587</v>
      </c>
      <c r="J11" s="4">
        <v>13.374278846153825</v>
      </c>
      <c r="K11" s="4">
        <v>-9.2400568181818254</v>
      </c>
      <c r="L11" s="4">
        <v>0.16498768429690797</v>
      </c>
      <c r="M11" s="4">
        <v>5.9706108910989757E-2</v>
      </c>
      <c r="N11" s="4">
        <f t="shared" si="0"/>
        <v>1.2336192941300542E-2</v>
      </c>
      <c r="O11" s="4">
        <f t="shared" si="1"/>
        <v>-6.461660364848079E-3</v>
      </c>
      <c r="P11" s="7">
        <v>290.741948648929</v>
      </c>
      <c r="Q11" s="7">
        <v>-223.19431025022763</v>
      </c>
      <c r="R11" s="7">
        <v>67.547638398701366</v>
      </c>
      <c r="S11" s="4">
        <f t="shared" si="4"/>
        <v>1.3026405033487294</v>
      </c>
      <c r="T11" s="4">
        <v>5.8902916666666663</v>
      </c>
      <c r="U11" s="4">
        <v>15.47802083333333</v>
      </c>
      <c r="V11" s="7">
        <v>617.41538461538448</v>
      </c>
      <c r="W11">
        <v>48</v>
      </c>
      <c r="X11" s="21">
        <f t="shared" si="7"/>
        <v>152.64930689753609</v>
      </c>
      <c r="Y11" s="21">
        <f t="shared" si="8"/>
        <v>-136.05204734249904</v>
      </c>
      <c r="Z11" s="21">
        <f t="shared" si="9"/>
        <v>16.597259555037073</v>
      </c>
      <c r="AA11" s="224">
        <f t="shared" si="5"/>
        <v>136.05204734249904</v>
      </c>
      <c r="AB11" s="199">
        <f t="shared" si="6"/>
        <v>1.1219919867376558</v>
      </c>
      <c r="AD11" s="13">
        <f t="shared" si="2"/>
        <v>21.342870762711865</v>
      </c>
      <c r="AE11" s="3">
        <f t="shared" si="3"/>
        <v>7.2603455861581949</v>
      </c>
      <c r="AG11" s="334">
        <v>41384</v>
      </c>
      <c r="AH11" s="349">
        <v>6.2934169999999998</v>
      </c>
      <c r="AI11" s="349">
        <v>9.7929999999999993</v>
      </c>
      <c r="AK11" s="226">
        <v>9</v>
      </c>
      <c r="AL11" s="228">
        <v>9</v>
      </c>
      <c r="AM11" s="225">
        <v>5.4427709999999996</v>
      </c>
      <c r="AN11" s="225">
        <v>7.5110000000000001</v>
      </c>
      <c r="AQ11" s="245">
        <v>282.84055059999997</v>
      </c>
      <c r="AR11" s="245">
        <v>-195.034345</v>
      </c>
      <c r="AS11" s="244">
        <f t="shared" si="10"/>
        <v>135.69329422857143</v>
      </c>
      <c r="AT11" s="244">
        <f t="shared" si="11"/>
        <v>122.71889228571429</v>
      </c>
    </row>
    <row r="12" spans="1:46" ht="13.8" thickBot="1">
      <c r="A12" s="2">
        <v>41385</v>
      </c>
      <c r="B12" s="4">
        <v>20.514525547316389</v>
      </c>
      <c r="C12" s="4">
        <v>20.664511475988704</v>
      </c>
      <c r="D12" s="4">
        <v>13.785091201830696</v>
      </c>
      <c r="E12" s="7">
        <v>254.77130782132767</v>
      </c>
      <c r="F12" s="4">
        <v>1.0226924751952164</v>
      </c>
      <c r="G12" s="4">
        <v>2.1148689971751407</v>
      </c>
      <c r="H12" s="3">
        <v>21.994131355932208</v>
      </c>
      <c r="I12" s="4">
        <v>0.88435063559322014</v>
      </c>
      <c r="J12" s="4">
        <v>13.171875</v>
      </c>
      <c r="K12" s="4">
        <v>-7.9928977272726884</v>
      </c>
      <c r="L12" s="4">
        <v>3.2951056054506538E-2</v>
      </c>
      <c r="M12" s="4">
        <v>-4.4612146669956602E-2</v>
      </c>
      <c r="N12" s="4">
        <f t="shared" si="0"/>
        <v>2.5016222864631299E-3</v>
      </c>
      <c r="O12" s="4">
        <f t="shared" si="1"/>
        <v>5.5814734771014044E-3</v>
      </c>
      <c r="P12" s="7">
        <v>272.37645635874259</v>
      </c>
      <c r="Q12" s="7">
        <v>-190.75885393446558</v>
      </c>
      <c r="R12" s="7">
        <v>81.61760242427701</v>
      </c>
      <c r="S12" s="4">
        <f t="shared" si="4"/>
        <v>1.4278574794348282</v>
      </c>
      <c r="T12" s="4">
        <v>4.0662812500000003</v>
      </c>
      <c r="U12" s="4">
        <v>18.07739583333333</v>
      </c>
      <c r="V12" s="7">
        <v>604.23269230769233</v>
      </c>
      <c r="W12">
        <v>48</v>
      </c>
      <c r="X12" s="21">
        <f t="shared" si="7"/>
        <v>140.93598300024678</v>
      </c>
      <c r="Y12" s="21">
        <f t="shared" si="8"/>
        <v>-138.96631721149407</v>
      </c>
      <c r="Z12" s="21">
        <f t="shared" si="9"/>
        <v>1.9696657887526985</v>
      </c>
      <c r="AA12" s="224">
        <f t="shared" si="5"/>
        <v>138.96631721149407</v>
      </c>
      <c r="AB12" s="199">
        <f t="shared" si="6"/>
        <v>1.0141736920735624</v>
      </c>
      <c r="AD12" s="13">
        <f t="shared" si="2"/>
        <v>21.994131355932208</v>
      </c>
      <c r="AE12" s="3">
        <f t="shared" si="3"/>
        <v>6.9883973870056462</v>
      </c>
      <c r="AG12" s="334">
        <v>41385</v>
      </c>
      <c r="AH12" s="349">
        <v>4.116104</v>
      </c>
      <c r="AI12" s="349">
        <v>7.4790000000000001</v>
      </c>
      <c r="AK12" s="226">
        <v>10</v>
      </c>
      <c r="AL12" s="229">
        <v>10</v>
      </c>
      <c r="AM12" s="227">
        <v>4.0635209999999997</v>
      </c>
      <c r="AN12" s="227">
        <v>7.2619999999999996</v>
      </c>
      <c r="AQ12" s="246">
        <v>239.58452070000001</v>
      </c>
      <c r="AR12" s="246">
        <v>-192.24695500000001</v>
      </c>
      <c r="AS12" s="244">
        <f t="shared" si="10"/>
        <v>129.32462268571427</v>
      </c>
      <c r="AT12" s="244">
        <f t="shared" si="11"/>
        <v>129.40130914285714</v>
      </c>
    </row>
    <row r="13" spans="1:46" ht="13.8" thickBot="1">
      <c r="A13" s="2">
        <v>41386</v>
      </c>
      <c r="B13" s="4">
        <v>20.720554131355929</v>
      </c>
      <c r="C13" s="4">
        <v>20.088801906779661</v>
      </c>
      <c r="D13" s="4">
        <v>13.298365099332598</v>
      </c>
      <c r="E13" s="7">
        <v>258.15359066031073</v>
      </c>
      <c r="F13" s="4">
        <v>1.0367705926017052</v>
      </c>
      <c r="G13" s="4">
        <v>2.0461031073446327</v>
      </c>
      <c r="H13" s="3">
        <v>23.289865289548018</v>
      </c>
      <c r="I13" s="4">
        <v>0.7887162782485877</v>
      </c>
      <c r="J13" s="4">
        <v>5.3884615384615175</v>
      </c>
      <c r="K13" s="4">
        <v>-7.1636363636364475</v>
      </c>
      <c r="L13" s="4">
        <v>-5.3443801241112254E-2</v>
      </c>
      <c r="M13" s="4">
        <v>-5.7220471061141323E-2</v>
      </c>
      <c r="N13" s="4">
        <f t="shared" si="0"/>
        <v>-9.9181929498138761E-3</v>
      </c>
      <c r="O13" s="4">
        <f t="shared" si="1"/>
        <v>7.9876292090424773E-3</v>
      </c>
      <c r="P13" s="7">
        <v>162.08248258358714</v>
      </c>
      <c r="Q13" s="7">
        <v>-170.55398142180732</v>
      </c>
      <c r="R13" s="7">
        <v>-8.4714988382201852</v>
      </c>
      <c r="S13" s="4">
        <f t="shared" si="4"/>
        <v>0.95032951580726333</v>
      </c>
      <c r="T13" s="4">
        <v>4.3979687500000004</v>
      </c>
      <c r="U13" s="4">
        <v>19.434687499999999</v>
      </c>
      <c r="V13" s="7">
        <v>461.49807692307695</v>
      </c>
      <c r="W13">
        <v>48</v>
      </c>
      <c r="X13" s="21">
        <f t="shared" si="7"/>
        <v>147.43952306592428</v>
      </c>
      <c r="Y13" s="21">
        <f t="shared" si="8"/>
        <v>-132.2554428556428</v>
      </c>
      <c r="Z13" s="21">
        <f t="shared" si="9"/>
        <v>15.184080210281467</v>
      </c>
      <c r="AA13" s="224">
        <f t="shared" si="5"/>
        <v>132.2554428556428</v>
      </c>
      <c r="AB13" s="199">
        <f t="shared" si="6"/>
        <v>1.1148087359009864</v>
      </c>
      <c r="AD13" s="13">
        <f t="shared" si="2"/>
        <v>23.289865289548018</v>
      </c>
      <c r="AE13" s="3">
        <f t="shared" si="3"/>
        <v>6.6720742937853093</v>
      </c>
      <c r="AG13" s="334">
        <v>41386</v>
      </c>
      <c r="AH13" s="349">
        <v>4.8101250000000002</v>
      </c>
      <c r="AI13" s="349">
        <v>7.2619999999999996</v>
      </c>
      <c r="AK13" s="226">
        <v>11</v>
      </c>
      <c r="AL13" s="228">
        <v>11</v>
      </c>
      <c r="AM13" s="225">
        <v>4.1523329999999996</v>
      </c>
      <c r="AN13" s="225">
        <v>6.3970000000000002</v>
      </c>
      <c r="AQ13" s="245">
        <v>177.62360200000001</v>
      </c>
      <c r="AR13" s="245">
        <v>-183.11077</v>
      </c>
      <c r="AS13" s="244">
        <f t="shared" si="10"/>
        <v>141.85694378571429</v>
      </c>
      <c r="AT13" s="244">
        <f t="shared" si="11"/>
        <v>134.01440142857146</v>
      </c>
    </row>
    <row r="14" spans="1:46" ht="13.8" thickBot="1">
      <c r="A14" s="2">
        <v>41387</v>
      </c>
      <c r="B14" s="4">
        <v>21.015471663135596</v>
      </c>
      <c r="C14" s="4">
        <v>18.762954625706211</v>
      </c>
      <c r="D14" s="4">
        <v>12.223167414600866</v>
      </c>
      <c r="E14" s="7">
        <v>256.90170926024012</v>
      </c>
      <c r="F14" s="4">
        <v>1.0294003405730143</v>
      </c>
      <c r="G14" s="4">
        <v>2.3048326271186443</v>
      </c>
      <c r="H14" s="3">
        <v>28.164465218926555</v>
      </c>
      <c r="I14" s="4">
        <v>0.84483810028248596</v>
      </c>
      <c r="J14" s="4">
        <v>6.6819711538461668</v>
      </c>
      <c r="K14" s="4">
        <v>-5.4551136363635804</v>
      </c>
      <c r="L14" s="4">
        <v>-2.1002620687243907E-2</v>
      </c>
      <c r="M14" s="4">
        <v>-8.0781911426477584E-3</v>
      </c>
      <c r="N14" s="4">
        <f t="shared" si="0"/>
        <v>-3.1431773953640497E-3</v>
      </c>
      <c r="O14" s="4">
        <f t="shared" si="1"/>
        <v>1.480847454542256E-3</v>
      </c>
      <c r="P14" s="7">
        <v>157.95011985680551</v>
      </c>
      <c r="Q14" s="7">
        <v>-130.72885068530238</v>
      </c>
      <c r="R14" s="7">
        <v>27.221269171503138</v>
      </c>
      <c r="S14" s="4">
        <f t="shared" si="4"/>
        <v>1.2082269447700695</v>
      </c>
      <c r="T14" s="4">
        <v>2.7071874999999999</v>
      </c>
      <c r="U14" s="4">
        <v>19.850729166666664</v>
      </c>
      <c r="V14" s="7">
        <v>470.65769230769234</v>
      </c>
      <c r="W14">
        <v>48</v>
      </c>
      <c r="X14" s="21">
        <f t="shared" si="7"/>
        <v>155.81799486668152</v>
      </c>
      <c r="Y14" s="21">
        <f t="shared" si="8"/>
        <v>-137.46513465049506</v>
      </c>
      <c r="Z14" s="21">
        <f t="shared" si="9"/>
        <v>18.352860216186439</v>
      </c>
      <c r="AA14" s="224">
        <f t="shared" si="5"/>
        <v>137.46513465049506</v>
      </c>
      <c r="AB14" s="199">
        <f t="shared" si="6"/>
        <v>1.1335092004445242</v>
      </c>
      <c r="AD14" s="13">
        <f t="shared" si="2"/>
        <v>28.164465218926555</v>
      </c>
      <c r="AE14" s="3">
        <f t="shared" si="3"/>
        <v>7.8622300847457627</v>
      </c>
      <c r="AG14" s="334">
        <v>41387</v>
      </c>
      <c r="AH14" s="349">
        <v>3.3438750000000002</v>
      </c>
      <c r="AI14" s="349">
        <v>6.3970000000000002</v>
      </c>
      <c r="AK14" s="226">
        <v>12</v>
      </c>
      <c r="AL14" s="229">
        <v>12</v>
      </c>
      <c r="AM14" s="227">
        <v>1.9895419999999999</v>
      </c>
      <c r="AN14" s="227">
        <v>5.1109999999999998</v>
      </c>
      <c r="AQ14" s="246">
        <v>99.614332000000005</v>
      </c>
      <c r="AR14" s="246">
        <v>-76.022851000000003</v>
      </c>
      <c r="AS14" s="244">
        <f t="shared" si="10"/>
        <v>146.98331131428571</v>
      </c>
      <c r="AT14" s="244">
        <f t="shared" si="11"/>
        <v>134.88995057142859</v>
      </c>
    </row>
    <row r="15" spans="1:46" ht="13.8" thickBot="1">
      <c r="A15" s="2">
        <v>41388</v>
      </c>
      <c r="B15" s="4">
        <v>21.620579590395483</v>
      </c>
      <c r="C15" s="4">
        <v>19.552461687853111</v>
      </c>
      <c r="D15" s="4">
        <v>12.66747578830627</v>
      </c>
      <c r="E15" s="7">
        <v>248.36069915254234</v>
      </c>
      <c r="F15" s="4">
        <v>1.0109141362994567</v>
      </c>
      <c r="G15" s="4">
        <v>2.1225847457627118</v>
      </c>
      <c r="H15" s="3">
        <v>25.510856461864417</v>
      </c>
      <c r="I15" s="4">
        <v>0.73517355225988712</v>
      </c>
      <c r="J15" s="4">
        <v>-3.2079326923077436</v>
      </c>
      <c r="K15" s="4">
        <v>-4.6252840909090303</v>
      </c>
      <c r="L15" s="4">
        <v>-7.466533521627401E-3</v>
      </c>
      <c r="M15" s="4">
        <v>1.5214319360993616E-2</v>
      </c>
      <c r="N15" s="4">
        <f t="shared" si="0"/>
        <v>2.3275218771052447E-3</v>
      </c>
      <c r="O15" s="4">
        <f t="shared" si="1"/>
        <v>-3.2893805141390718E-3</v>
      </c>
      <c r="P15" s="7">
        <v>18.720419269290687</v>
      </c>
      <c r="Q15" s="7">
        <v>-111.37196184648056</v>
      </c>
      <c r="R15" s="7">
        <v>-92.651542577189872</v>
      </c>
      <c r="S15" s="4">
        <f t="shared" si="4"/>
        <v>0.16808915779983871</v>
      </c>
      <c r="T15" s="4">
        <v>2.4733854166666669</v>
      </c>
      <c r="U15" s="4">
        <v>20.315520833333334</v>
      </c>
      <c r="V15" s="7">
        <v>271.85000000000002</v>
      </c>
      <c r="W15">
        <v>48</v>
      </c>
      <c r="X15" s="21">
        <f t="shared" si="7"/>
        <v>111.51367558655606</v>
      </c>
      <c r="Y15" s="21">
        <f t="shared" si="8"/>
        <v>-107.3179130768829</v>
      </c>
      <c r="Z15" s="21">
        <f t="shared" si="9"/>
        <v>4.1957625096731714</v>
      </c>
      <c r="AA15" s="224">
        <f t="shared" si="5"/>
        <v>107.3179130768829</v>
      </c>
      <c r="AB15" s="199">
        <f t="shared" si="6"/>
        <v>1.0390965719457039</v>
      </c>
      <c r="AD15" s="13">
        <f t="shared" si="2"/>
        <v>25.510856461864417</v>
      </c>
      <c r="AE15" s="3">
        <f t="shared" si="3"/>
        <v>7.0238898305084732</v>
      </c>
      <c r="AG15" s="334">
        <v>41388</v>
      </c>
      <c r="AH15" s="349">
        <v>1.6358330000000001</v>
      </c>
      <c r="AI15" s="349">
        <v>3.863</v>
      </c>
      <c r="AK15" s="226">
        <v>13</v>
      </c>
      <c r="AL15" s="228">
        <v>13</v>
      </c>
      <c r="AM15" s="225">
        <v>3.5523539999999998</v>
      </c>
      <c r="AN15" s="225">
        <v>8.0429999999999993</v>
      </c>
      <c r="AQ15" s="245">
        <v>30.4691081</v>
      </c>
      <c r="AR15" s="245">
        <v>-123.600449</v>
      </c>
      <c r="AS15" s="244">
        <f t="shared" si="10"/>
        <v>103.51306264285714</v>
      </c>
      <c r="AT15" s="244">
        <f t="shared" si="11"/>
        <v>104.26525842857144</v>
      </c>
    </row>
    <row r="16" spans="1:46" ht="13.8" thickBot="1">
      <c r="A16" s="2">
        <v>41389</v>
      </c>
      <c r="B16" s="4">
        <v>22.118788435734462</v>
      </c>
      <c r="C16" s="4">
        <v>20.245704449152537</v>
      </c>
      <c r="D16" s="4">
        <v>13.061866117656384</v>
      </c>
      <c r="E16" s="7">
        <v>244.68967933439274</v>
      </c>
      <c r="F16" s="4">
        <v>1.0094821216088945</v>
      </c>
      <c r="G16" s="4">
        <v>1.663725282485875</v>
      </c>
      <c r="H16" s="3">
        <v>24.260816737288135</v>
      </c>
      <c r="I16" s="4">
        <v>0.75655137711864395</v>
      </c>
      <c r="J16" s="4">
        <v>5.6995192307692255</v>
      </c>
      <c r="K16" s="4">
        <v>-1.5201704545455188</v>
      </c>
      <c r="L16" s="4">
        <v>2.3782454880313601E-2</v>
      </c>
      <c r="M16" s="4">
        <v>-2.6859455878521808E-2</v>
      </c>
      <c r="N16" s="4">
        <f t="shared" si="0"/>
        <v>4.1727124547492481E-3</v>
      </c>
      <c r="O16" s="4">
        <f t="shared" si="1"/>
        <v>1.7668713267126289E-2</v>
      </c>
      <c r="P16" s="7">
        <v>93.795041717106997</v>
      </c>
      <c r="Q16" s="7">
        <v>-35.839463968007912</v>
      </c>
      <c r="R16" s="7">
        <v>57.955577749099085</v>
      </c>
      <c r="S16" s="4">
        <f t="shared" si="4"/>
        <v>2.6170882968794711</v>
      </c>
      <c r="T16" s="4">
        <v>5.1608020833333326</v>
      </c>
      <c r="U16" s="4">
        <v>19.486562500000002</v>
      </c>
      <c r="V16" s="7">
        <v>495.85769230769228</v>
      </c>
      <c r="W16">
        <v>48</v>
      </c>
      <c r="X16" s="21">
        <f t="shared" si="7"/>
        <v>71.602049261278282</v>
      </c>
      <c r="Y16" s="21">
        <f t="shared" si="8"/>
        <v>-84.425674237419273</v>
      </c>
      <c r="Z16" s="21">
        <f t="shared" si="9"/>
        <v>-12.823624976140982</v>
      </c>
      <c r="AA16" s="224">
        <f t="shared" si="5"/>
        <v>84.425674237419273</v>
      </c>
      <c r="AB16" s="199">
        <f t="shared" si="6"/>
        <v>0.84810752070420203</v>
      </c>
      <c r="AD16" s="13">
        <f t="shared" si="2"/>
        <v>24.260816737288135</v>
      </c>
      <c r="AE16" s="3">
        <f t="shared" si="3"/>
        <v>4.9131362994350241</v>
      </c>
      <c r="AG16" s="334">
        <v>41389</v>
      </c>
      <c r="AH16" s="349">
        <v>4.840687</v>
      </c>
      <c r="AI16" s="349">
        <v>8.0429999999999993</v>
      </c>
      <c r="AK16" s="226">
        <v>14</v>
      </c>
      <c r="AL16" s="229">
        <v>14</v>
      </c>
      <c r="AM16" s="227">
        <v>5.0652920000000003</v>
      </c>
      <c r="AN16" s="227">
        <v>7.9729999999999999</v>
      </c>
      <c r="AQ16" s="246">
        <v>134.0587711</v>
      </c>
      <c r="AR16" s="246">
        <v>-108.34679199999999</v>
      </c>
      <c r="AS16" s="244">
        <f t="shared" si="10"/>
        <v>68.886307128571417</v>
      </c>
      <c r="AT16" s="244">
        <f t="shared" si="11"/>
        <v>83.257354571428579</v>
      </c>
    </row>
    <row r="17" spans="1:46" ht="13.8" thickBot="1">
      <c r="A17" s="2">
        <v>41390</v>
      </c>
      <c r="B17" s="4">
        <v>21.794715060028256</v>
      </c>
      <c r="C17" s="4">
        <v>17.919954625706225</v>
      </c>
      <c r="D17" s="4">
        <v>11.390819777526096</v>
      </c>
      <c r="E17" s="7">
        <v>253.15741966807923</v>
      </c>
      <c r="F17" s="4">
        <v>1.0241306658520497</v>
      </c>
      <c r="G17" s="4">
        <v>1.9533163841807912</v>
      </c>
      <c r="H17" s="3">
        <v>30.373960275423727</v>
      </c>
      <c r="I17" s="4">
        <v>0.88493061440678022</v>
      </c>
      <c r="J17" s="4">
        <v>3.1004807692308303</v>
      </c>
      <c r="K17" s="4">
        <v>-4.1721590909091155</v>
      </c>
      <c r="L17" s="4">
        <v>-6.5248124831851209E-3</v>
      </c>
      <c r="M17" s="4">
        <v>-1.3470738943523086E-2</v>
      </c>
      <c r="N17" s="4">
        <f t="shared" si="0"/>
        <v>-2.1044518475771103E-3</v>
      </c>
      <c r="O17" s="4">
        <f t="shared" si="1"/>
        <v>3.2287213047256557E-3</v>
      </c>
      <c r="P17" s="7">
        <v>95.059495632308739</v>
      </c>
      <c r="Q17" s="7">
        <v>-99.808520447174203</v>
      </c>
      <c r="R17" s="7">
        <v>-4.7490248148654644</v>
      </c>
      <c r="S17" s="4">
        <f t="shared" si="4"/>
        <v>0.95241864328227377</v>
      </c>
      <c r="T17" s="4">
        <v>3.3057372799145308</v>
      </c>
      <c r="U17" s="4">
        <v>20.231310541310545</v>
      </c>
      <c r="V17" s="7">
        <v>578.58461538461529</v>
      </c>
      <c r="W17">
        <v>48</v>
      </c>
      <c r="X17" s="21">
        <f t="shared" si="7"/>
        <v>50.103687872771779</v>
      </c>
      <c r="Y17" s="21">
        <f t="shared" si="8"/>
        <v>-64.109382611477983</v>
      </c>
      <c r="Z17" s="21">
        <f t="shared" si="9"/>
        <v>-14.005694738706209</v>
      </c>
      <c r="AA17" s="224">
        <f t="shared" si="5"/>
        <v>64.109382611477983</v>
      </c>
      <c r="AB17" s="199">
        <f t="shared" si="6"/>
        <v>0.78153439998658392</v>
      </c>
      <c r="AD17" s="13">
        <f t="shared" si="2"/>
        <v>30.373960275423727</v>
      </c>
      <c r="AE17" s="3">
        <f t="shared" si="3"/>
        <v>6.2452553672316391</v>
      </c>
      <c r="AG17" s="334">
        <v>41390</v>
      </c>
      <c r="AH17" s="349">
        <v>4.1500389999999996</v>
      </c>
      <c r="AI17" s="349">
        <v>7.9729999999999999</v>
      </c>
      <c r="AK17" s="226">
        <v>15</v>
      </c>
      <c r="AL17" s="228">
        <v>15</v>
      </c>
      <c r="AM17" s="225">
        <v>2.9011019999999998</v>
      </c>
      <c r="AN17" s="225">
        <v>5.3940000000000001</v>
      </c>
      <c r="AQ17" s="245">
        <v>64.692294700000005</v>
      </c>
      <c r="AR17" s="245">
        <v>-65.867491999999999</v>
      </c>
      <c r="AS17" s="244">
        <f t="shared" si="10"/>
        <v>42.597427142857143</v>
      </c>
      <c r="AT17" s="244">
        <f t="shared" si="11"/>
        <v>57.895794714285714</v>
      </c>
    </row>
    <row r="18" spans="1:46" ht="13.8" thickBot="1">
      <c r="A18" s="2">
        <v>41391</v>
      </c>
      <c r="B18" s="4">
        <v>22.830235034258926</v>
      </c>
      <c r="C18" s="4">
        <v>20.897520555355221</v>
      </c>
      <c r="D18" s="4">
        <v>13.366424492505217</v>
      </c>
      <c r="E18" s="7">
        <v>244.05289848539496</v>
      </c>
      <c r="F18" s="4">
        <v>1.0237585425789431</v>
      </c>
      <c r="G18" s="4">
        <v>1.6664688063469164</v>
      </c>
      <c r="H18" s="3">
        <v>24.270680310133429</v>
      </c>
      <c r="I18" s="4">
        <v>0.7676062026685897</v>
      </c>
      <c r="J18" s="4">
        <v>-2.0048076923076925</v>
      </c>
      <c r="K18" s="4">
        <v>-0.51428571428571623</v>
      </c>
      <c r="L18" s="4">
        <v>-1.6077156817438064E-2</v>
      </c>
      <c r="M18" s="4">
        <v>-7.4624128297847677E-3</v>
      </c>
      <c r="N18" s="4">
        <f t="shared" si="0"/>
        <v>8.0193012422712633E-3</v>
      </c>
      <c r="O18" s="4">
        <f t="shared" si="1"/>
        <v>1.4510247169025882E-2</v>
      </c>
      <c r="P18" s="7">
        <v>-19.388286311949166</v>
      </c>
      <c r="Q18" s="7">
        <v>-12.163759234942351</v>
      </c>
      <c r="R18" s="7">
        <v>-31.552045546891517</v>
      </c>
      <c r="S18" s="4">
        <f t="shared" si="4"/>
        <v>-1.5939386777940492</v>
      </c>
      <c r="T18" s="4">
        <v>2.57909574468085</v>
      </c>
      <c r="U18" s="4">
        <v>21.734574468085111</v>
      </c>
      <c r="V18" s="7">
        <v>490.52692307692308</v>
      </c>
      <c r="W18">
        <v>47</v>
      </c>
      <c r="X18" s="21">
        <f t="shared" si="7"/>
        <v>29.604032745957284</v>
      </c>
      <c r="Y18" s="21">
        <f t="shared" si="8"/>
        <v>-57.344151547424424</v>
      </c>
      <c r="Z18" s="21">
        <f t="shared" si="9"/>
        <v>-27.740118801467133</v>
      </c>
      <c r="AA18" s="224">
        <f t="shared" si="5"/>
        <v>57.344151547424424</v>
      </c>
      <c r="AB18" s="199">
        <f t="shared" si="6"/>
        <v>0.51625199688366352</v>
      </c>
      <c r="AD18" s="13">
        <f t="shared" si="2"/>
        <v>24.270680310133429</v>
      </c>
      <c r="AE18" s="3">
        <f t="shared" si="3"/>
        <v>4.9257565091958151</v>
      </c>
      <c r="AG18" s="334">
        <v>41391</v>
      </c>
      <c r="AH18" s="349">
        <v>2.7183329999999999</v>
      </c>
      <c r="AI18" s="349">
        <v>5.0949999999999998</v>
      </c>
      <c r="AK18" s="226">
        <v>16</v>
      </c>
      <c r="AL18" s="229">
        <v>16</v>
      </c>
      <c r="AM18" s="227">
        <v>2.0589170000000001</v>
      </c>
      <c r="AN18" s="227">
        <v>4.2089999999999996</v>
      </c>
      <c r="AQ18" s="246">
        <v>-21.451190100000002</v>
      </c>
      <c r="AR18" s="246">
        <v>19.3385</v>
      </c>
      <c r="AS18" s="244">
        <f t="shared" si="10"/>
        <v>30.084346342857149</v>
      </c>
      <c r="AT18" s="244">
        <f t="shared" si="11"/>
        <v>58.688119999999991</v>
      </c>
    </row>
    <row r="19" spans="1:46" ht="13.8" thickBot="1">
      <c r="A19" s="2">
        <v>41392</v>
      </c>
      <c r="B19" s="4">
        <v>23.624326694915254</v>
      </c>
      <c r="C19" s="4">
        <v>22.253611758474573</v>
      </c>
      <c r="D19" s="4">
        <v>14.172001989160607</v>
      </c>
      <c r="E19" s="7">
        <v>239.28165276306493</v>
      </c>
      <c r="F19" s="4">
        <v>1.0261943333338672</v>
      </c>
      <c r="G19" s="4">
        <v>1.5072095692090395</v>
      </c>
      <c r="H19" s="3">
        <v>20.7034196680791</v>
      </c>
      <c r="I19" s="4">
        <v>0.70457997881355927</v>
      </c>
      <c r="J19" s="4">
        <v>-1.8104166666666854</v>
      </c>
      <c r="K19" s="4">
        <v>-1.2779761904762033</v>
      </c>
      <c r="L19" s="4">
        <v>-7.0142390187540888E-3</v>
      </c>
      <c r="M19" s="4">
        <v>-6.5936047170303894E-3</v>
      </c>
      <c r="N19" s="4">
        <f t="shared" si="0"/>
        <v>3.8743782842369707E-3</v>
      </c>
      <c r="O19" s="4">
        <f t="shared" si="1"/>
        <v>5.1594112364280126E-3</v>
      </c>
      <c r="P19" s="7">
        <v>-7.0049279182019291</v>
      </c>
      <c r="Q19" s="7">
        <v>-30.513182058220146</v>
      </c>
      <c r="R19" s="7">
        <v>-37.518109976422075</v>
      </c>
      <c r="S19" s="4">
        <f t="shared" si="4"/>
        <v>-0.22957054773364174</v>
      </c>
      <c r="T19" s="4">
        <v>1.6504166666666669</v>
      </c>
      <c r="U19" s="4">
        <v>22.161249999999999</v>
      </c>
      <c r="V19" s="7">
        <v>476.77962962962954</v>
      </c>
      <c r="W19">
        <v>48</v>
      </c>
      <c r="X19" s="21">
        <f t="shared" si="7"/>
        <v>32.904020552085967</v>
      </c>
      <c r="Y19" s="21">
        <f t="shared" si="8"/>
        <v>-54.76598551181803</v>
      </c>
      <c r="Z19" s="21">
        <f t="shared" si="9"/>
        <v>-21.861964959732063</v>
      </c>
      <c r="AA19" s="224">
        <f t="shared" si="5"/>
        <v>54.76598551181803</v>
      </c>
      <c r="AB19" s="199">
        <f t="shared" si="6"/>
        <v>0.60081125619451436</v>
      </c>
      <c r="AD19" s="13">
        <f t="shared" si="2"/>
        <v>20.7034196680791</v>
      </c>
      <c r="AE19" s="3">
        <f t="shared" si="3"/>
        <v>4.193164018361581</v>
      </c>
      <c r="AG19" s="334">
        <v>41392</v>
      </c>
      <c r="AH19" s="349">
        <v>1.581917</v>
      </c>
      <c r="AI19" s="349">
        <v>3.5760000000000001</v>
      </c>
      <c r="AK19" s="226">
        <v>17</v>
      </c>
      <c r="AL19" s="228">
        <v>17</v>
      </c>
      <c r="AM19" s="225">
        <v>1.9855210000000001</v>
      </c>
      <c r="AN19" s="225">
        <v>5.2249999999999996</v>
      </c>
      <c r="AQ19" s="245">
        <v>-2.8027679000000001</v>
      </c>
      <c r="AR19" s="245">
        <v>-45.191628000000001</v>
      </c>
      <c r="AS19" s="244">
        <f t="shared" si="10"/>
        <v>34.921368814285714</v>
      </c>
      <c r="AT19" s="244">
        <f t="shared" si="11"/>
        <v>58.524010571428569</v>
      </c>
    </row>
    <row r="20" spans="1:46" ht="13.8" thickBot="1">
      <c r="A20" s="2">
        <v>41393</v>
      </c>
      <c r="B20" s="4">
        <v>23.976714424435027</v>
      </c>
      <c r="C20" s="4">
        <v>23.191417725988703</v>
      </c>
      <c r="D20" s="4">
        <v>14.78045789208452</v>
      </c>
      <c r="E20" s="7">
        <v>233.79588740289549</v>
      </c>
      <c r="F20" s="4">
        <v>1.0144598109831187</v>
      </c>
      <c r="G20" s="4">
        <v>1.3696746115819194</v>
      </c>
      <c r="H20" s="3">
        <v>18.255967514124297</v>
      </c>
      <c r="I20" s="4">
        <v>0.68977189265536698</v>
      </c>
      <c r="J20" s="4">
        <v>-0.30972222222216639</v>
      </c>
      <c r="K20" s="4">
        <v>-1.1842261904761515</v>
      </c>
      <c r="L20" s="4">
        <v>-9.4447692921849416E-3</v>
      </c>
      <c r="M20" s="4">
        <v>-3.3953554670518977E-3</v>
      </c>
      <c r="N20" s="4">
        <f t="shared" si="0"/>
        <v>3.0494322378360465E-2</v>
      </c>
      <c r="O20" s="4">
        <f t="shared" si="1"/>
        <v>2.8671511357865674E-3</v>
      </c>
      <c r="P20" s="7">
        <v>11.593952864041608</v>
      </c>
      <c r="Q20" s="7">
        <v>-28.33994004021838</v>
      </c>
      <c r="R20" s="7">
        <v>-16.745987176176772</v>
      </c>
      <c r="S20" s="4">
        <f t="shared" si="4"/>
        <v>0.40910294261696217</v>
      </c>
      <c r="T20" s="4">
        <v>2.3636041666666663</v>
      </c>
      <c r="U20" s="4">
        <v>21.917291666666667</v>
      </c>
      <c r="V20" s="7">
        <v>446.4</v>
      </c>
      <c r="W20">
        <v>48</v>
      </c>
      <c r="X20" s="21">
        <f t="shared" si="7"/>
        <v>37.904167484129971</v>
      </c>
      <c r="Y20" s="21">
        <f t="shared" si="8"/>
        <v>-66.121909797625804</v>
      </c>
      <c r="Z20" s="21">
        <f t="shared" si="9"/>
        <v>-28.21774231349583</v>
      </c>
      <c r="AA20" s="224">
        <f t="shared" si="5"/>
        <v>66.121909797625804</v>
      </c>
      <c r="AB20" s="199">
        <f t="shared" si="6"/>
        <v>0.57324671353474688</v>
      </c>
      <c r="AD20" s="13">
        <f t="shared" si="2"/>
        <v>18.255967514124297</v>
      </c>
      <c r="AE20" s="3">
        <f t="shared" si="3"/>
        <v>3.5605032132768288</v>
      </c>
      <c r="AG20" s="334">
        <v>41393</v>
      </c>
      <c r="AH20" s="349">
        <v>2.3703539999999998</v>
      </c>
      <c r="AI20" s="349">
        <v>5.2249999999999996</v>
      </c>
      <c r="AK20" s="226">
        <v>18</v>
      </c>
      <c r="AL20" s="229">
        <v>18</v>
      </c>
      <c r="AM20" s="227">
        <v>2.5874169999999999</v>
      </c>
      <c r="AN20" s="227">
        <v>6.0129999999999999</v>
      </c>
      <c r="AQ20" s="246">
        <v>-6.3985579000000001</v>
      </c>
      <c r="AR20" s="246">
        <v>-5.5798509999999997</v>
      </c>
      <c r="AS20" s="244">
        <f t="shared" si="10"/>
        <v>33.622041299999999</v>
      </c>
      <c r="AT20" s="244">
        <f t="shared" si="11"/>
        <v>57.719152285714287</v>
      </c>
    </row>
    <row r="21" spans="1:46" ht="13.8" thickBot="1">
      <c r="A21" s="2">
        <v>41394</v>
      </c>
      <c r="B21" s="4">
        <v>23.829813400423721</v>
      </c>
      <c r="C21" s="4">
        <v>24.988332627118648</v>
      </c>
      <c r="D21" s="4">
        <v>16.176223686002793</v>
      </c>
      <c r="E21" s="7">
        <v>227.66923772951972</v>
      </c>
      <c r="F21" s="4">
        <v>0.99549043007400861</v>
      </c>
      <c r="G21" s="4">
        <v>1.2718741172316383</v>
      </c>
      <c r="H21" s="3">
        <v>16.000549611581913</v>
      </c>
      <c r="I21" s="4">
        <v>0.61091860875706216</v>
      </c>
      <c r="J21" s="4">
        <v>-2.3775462962962659</v>
      </c>
      <c r="K21" s="4">
        <v>-3.4538690476190999</v>
      </c>
      <c r="L21" s="4">
        <v>-1.3640525376896553E-3</v>
      </c>
      <c r="M21" s="4">
        <v>1.9974003919542398E-2</v>
      </c>
      <c r="N21" s="4">
        <f t="shared" si="0"/>
        <v>5.7372280818025376E-4</v>
      </c>
      <c r="O21" s="4">
        <f t="shared" si="1"/>
        <v>-5.7830808418493267E-3</v>
      </c>
      <c r="P21" s="7">
        <v>14.452533969104056</v>
      </c>
      <c r="Q21" s="7">
        <v>-83.3722332369274</v>
      </c>
      <c r="R21" s="7">
        <v>-68.919699267823347</v>
      </c>
      <c r="S21" s="4">
        <f t="shared" si="4"/>
        <v>0.17334948828865857</v>
      </c>
      <c r="T21" s="4">
        <v>3.6749895833333337</v>
      </c>
      <c r="U21" s="4">
        <v>22.178333333333327</v>
      </c>
      <c r="V21" s="7">
        <v>384.1185185185185</v>
      </c>
      <c r="W21">
        <v>48</v>
      </c>
      <c r="X21" s="21">
        <f t="shared" si="7"/>
        <v>42.556643358874453</v>
      </c>
      <c r="Y21" s="21">
        <f t="shared" si="8"/>
        <v>-70.360351934217164</v>
      </c>
      <c r="Z21" s="21">
        <f t="shared" si="9"/>
        <v>-27.803708575342714</v>
      </c>
      <c r="AA21" s="224">
        <f t="shared" si="5"/>
        <v>70.360351934217164</v>
      </c>
      <c r="AB21" s="199">
        <f t="shared" si="6"/>
        <v>0.60483840954437573</v>
      </c>
      <c r="AD21" s="13">
        <f t="shared" si="2"/>
        <v>16.000549611581913</v>
      </c>
      <c r="AE21" s="3">
        <f t="shared" si="3"/>
        <v>3.1106209392655355</v>
      </c>
      <c r="AG21" s="334">
        <v>41394</v>
      </c>
      <c r="AH21" s="349">
        <v>3.2462710000000001</v>
      </c>
      <c r="AI21" s="349">
        <v>6.0129999999999999</v>
      </c>
      <c r="AK21" s="226">
        <v>19</v>
      </c>
      <c r="AL21" s="228">
        <v>19</v>
      </c>
      <c r="AM21" s="225">
        <v>4.2523330000000001</v>
      </c>
      <c r="AN21" s="225">
        <v>8.19</v>
      </c>
      <c r="AQ21" s="245">
        <v>12.0227664</v>
      </c>
      <c r="AR21" s="245">
        <v>-81.569128000000006</v>
      </c>
      <c r="AS21" s="244">
        <f t="shared" si="10"/>
        <v>44.855359657142856</v>
      </c>
      <c r="AT21" s="244">
        <f t="shared" si="11"/>
        <v>70.128888000000003</v>
      </c>
    </row>
    <row r="22" spans="1:46" ht="13.8" thickBot="1">
      <c r="A22" s="2">
        <v>41395</v>
      </c>
      <c r="B22" s="4">
        <v>23.137908898305085</v>
      </c>
      <c r="C22" s="4">
        <v>27.318161899717513</v>
      </c>
      <c r="D22" s="4">
        <v>18.127092652137623</v>
      </c>
      <c r="E22" s="7">
        <v>218.66816737288136</v>
      </c>
      <c r="F22" s="4">
        <v>0.95723756312199981</v>
      </c>
      <c r="G22" s="4">
        <v>1.4695985169491523</v>
      </c>
      <c r="H22" s="3">
        <v>14.301041313559322</v>
      </c>
      <c r="I22" s="4">
        <v>0.69285911016949164</v>
      </c>
      <c r="J22" s="4">
        <v>-0.55069444444451321</v>
      </c>
      <c r="K22" s="4">
        <v>-3.5294642857142882</v>
      </c>
      <c r="L22" s="4">
        <v>0.16161098004177626</v>
      </c>
      <c r="M22" s="4">
        <v>0.35906903083720737</v>
      </c>
      <c r="N22" s="4">
        <f t="shared" si="0"/>
        <v>-0.29346760562437424</v>
      </c>
      <c r="O22" s="4">
        <f t="shared" si="1"/>
        <v>-0.10173471149447812</v>
      </c>
      <c r="P22" s="7">
        <v>41.820333912191487</v>
      </c>
      <c r="Q22" s="7">
        <v>-93.324799597235838</v>
      </c>
      <c r="R22" s="7">
        <v>-51.504465685044352</v>
      </c>
      <c r="S22" s="4">
        <f t="shared" si="4"/>
        <v>0.44811597873959058</v>
      </c>
      <c r="T22" s="4">
        <v>9.1973958333333332</v>
      </c>
      <c r="U22" s="4">
        <v>21.157604166666673</v>
      </c>
      <c r="V22" s="7">
        <v>141.56296296296296</v>
      </c>
      <c r="W22">
        <v>48</v>
      </c>
      <c r="X22" s="21">
        <f t="shared" si="7"/>
        <v>71.379094450971692</v>
      </c>
      <c r="Y22" s="21">
        <f t="shared" si="8"/>
        <v>-84.762990543245138</v>
      </c>
      <c r="Z22" s="21">
        <f t="shared" si="9"/>
        <v>-13.383896092273449</v>
      </c>
      <c r="AA22" s="224">
        <f t="shared" si="5"/>
        <v>84.762990543245138</v>
      </c>
      <c r="AB22" s="199">
        <f t="shared" si="6"/>
        <v>0.84210212491918712</v>
      </c>
      <c r="AD22" s="13">
        <f t="shared" si="2"/>
        <v>14.301041313559322</v>
      </c>
      <c r="AE22" s="3">
        <f t="shared" si="3"/>
        <v>4.0201531779661002</v>
      </c>
      <c r="AG22" s="334">
        <v>41395</v>
      </c>
      <c r="AH22" s="349">
        <v>7.5643960000000003</v>
      </c>
      <c r="AI22" s="349">
        <v>11.047000000000001</v>
      </c>
      <c r="AK22" s="226">
        <v>20</v>
      </c>
      <c r="AL22" s="229">
        <v>20</v>
      </c>
      <c r="AM22" s="227">
        <v>9.4290210000000005</v>
      </c>
      <c r="AN22" s="227">
        <v>11.257</v>
      </c>
      <c r="AQ22" s="246">
        <v>64.328265400000006</v>
      </c>
      <c r="AR22" s="246">
        <v>-122.451683</v>
      </c>
      <c r="AS22" s="244">
        <f t="shared" si="10"/>
        <v>78.304756557142852</v>
      </c>
      <c r="AT22" s="244">
        <f t="shared" si="11"/>
        <v>92.307971428571435</v>
      </c>
    </row>
    <row r="23" spans="1:46" ht="13.8" thickBot="1">
      <c r="A23" s="2">
        <v>41396</v>
      </c>
      <c r="B23" s="4">
        <v>22.683335293079097</v>
      </c>
      <c r="C23" s="4">
        <v>27.041161016949147</v>
      </c>
      <c r="D23" s="4">
        <v>18.043347734961014</v>
      </c>
      <c r="E23" s="7">
        <v>219.02048022598868</v>
      </c>
      <c r="F23" s="4">
        <v>0.94949305831817321</v>
      </c>
      <c r="G23" s="4">
        <v>1.4552102754237286</v>
      </c>
      <c r="H23" s="3">
        <v>15.288169668079092</v>
      </c>
      <c r="I23" s="4">
        <v>0.83958262711864406</v>
      </c>
      <c r="J23" s="4">
        <v>5.1604166666666877</v>
      </c>
      <c r="K23" s="4">
        <v>-4.6324404761904159</v>
      </c>
      <c r="L23" s="4">
        <v>0.183892230358881</v>
      </c>
      <c r="M23" s="4">
        <v>0.17301510583718221</v>
      </c>
      <c r="N23" s="4">
        <f t="shared" si="0"/>
        <v>3.5635151623844376E-2</v>
      </c>
      <c r="O23" s="4">
        <f t="shared" si="1"/>
        <v>-3.7348586933051063E-2</v>
      </c>
      <c r="P23" s="7">
        <v>128.79607024141504</v>
      </c>
      <c r="Q23" s="7">
        <v>-115.33093396866235</v>
      </c>
      <c r="R23" s="7">
        <v>13.465136272752687</v>
      </c>
      <c r="S23" s="4">
        <f t="shared" si="4"/>
        <v>1.1167521653506371</v>
      </c>
      <c r="T23" s="4">
        <v>6.6619479166666657</v>
      </c>
      <c r="U23" s="4">
        <v>20.67927083333333</v>
      </c>
      <c r="V23" s="7">
        <v>280.62407407407414</v>
      </c>
      <c r="W23">
        <v>48</v>
      </c>
      <c r="X23" s="21">
        <f t="shared" si="7"/>
        <v>82.532638773179272</v>
      </c>
      <c r="Y23" s="21">
        <f t="shared" si="8"/>
        <v>-93.123946355994661</v>
      </c>
      <c r="Z23" s="21">
        <f t="shared" ref="Z23:Z38" si="12">AVERAGE(R20:R26)</f>
        <v>-10.591307582815395</v>
      </c>
      <c r="AA23" s="224">
        <f t="shared" si="5"/>
        <v>93.123946355994661</v>
      </c>
      <c r="AB23" s="199">
        <f t="shared" si="6"/>
        <v>0.88626655122274467</v>
      </c>
      <c r="AD23" s="13">
        <f t="shared" si="2"/>
        <v>15.288169668079092</v>
      </c>
      <c r="AE23" s="3">
        <f t="shared" si="3"/>
        <v>3.9539672669491512</v>
      </c>
      <c r="AG23" s="334">
        <v>41396</v>
      </c>
      <c r="AH23" s="349">
        <v>7.2947920000000002</v>
      </c>
      <c r="AI23" s="349">
        <v>11.257</v>
      </c>
      <c r="AK23" s="226">
        <v>21</v>
      </c>
      <c r="AL23" s="228">
        <v>21</v>
      </c>
      <c r="AM23" s="225">
        <v>6.4669790000000003</v>
      </c>
      <c r="AN23" s="225">
        <v>9.6880000000000006</v>
      </c>
      <c r="AQ23" s="245">
        <v>124.96347849999999</v>
      </c>
      <c r="AR23" s="245">
        <v>-102.712784</v>
      </c>
      <c r="AS23" s="244">
        <f t="shared" si="10"/>
        <v>89.017068114285706</v>
      </c>
      <c r="AT23" s="244">
        <f t="shared" si="11"/>
        <v>97.455428142857144</v>
      </c>
    </row>
    <row r="24" spans="1:46" ht="13.8" thickBot="1">
      <c r="A24" s="2">
        <v>41397</v>
      </c>
      <c r="B24" s="4">
        <v>22.356956903248587</v>
      </c>
      <c r="C24" s="4">
        <v>25.494952507062148</v>
      </c>
      <c r="D24" s="4">
        <v>16.963462944845912</v>
      </c>
      <c r="E24" s="7">
        <v>222.42386674611586</v>
      </c>
      <c r="F24" s="4">
        <v>0.95003198362094354</v>
      </c>
      <c r="G24" s="4">
        <v>1.4515266596045189</v>
      </c>
      <c r="H24" s="3">
        <v>18.181217867231641</v>
      </c>
      <c r="I24" s="4">
        <v>1.0107185734463282</v>
      </c>
      <c r="J24" s="4">
        <v>4.291898148148082</v>
      </c>
      <c r="K24" s="4">
        <v>-5.0065476190475078</v>
      </c>
      <c r="L24" s="4">
        <v>0.11478678328870569</v>
      </c>
      <c r="M24" s="4">
        <v>0.38835302275722633</v>
      </c>
      <c r="N24" s="4">
        <f t="shared" si="0"/>
        <v>2.6744992384834486E-2</v>
      </c>
      <c r="O24" s="4">
        <f t="shared" si="1"/>
        <v>-7.7569026064933391E-2</v>
      </c>
      <c r="P24" s="7">
        <v>127.62682675552006</v>
      </c>
      <c r="Q24" s="7">
        <v>-129.47761540331368</v>
      </c>
      <c r="R24" s="7">
        <v>-1.8507886477936211</v>
      </c>
      <c r="S24" s="4">
        <f t="shared" si="4"/>
        <v>0.98570572494690645</v>
      </c>
      <c r="T24" s="4">
        <v>6.9679687499999998</v>
      </c>
      <c r="U24" s="4">
        <v>16.7621875</v>
      </c>
      <c r="V24" s="7">
        <v>218.60185185185188</v>
      </c>
      <c r="W24">
        <v>48</v>
      </c>
      <c r="X24" s="21">
        <f t="shared" si="7"/>
        <v>94.640039904071187</v>
      </c>
      <c r="Y24" s="21">
        <f t="shared" si="8"/>
        <v>-108.60719860036193</v>
      </c>
      <c r="Z24" s="21">
        <f t="shared" si="12"/>
        <v>-13.967158696290729</v>
      </c>
      <c r="AA24" s="224">
        <f t="shared" si="5"/>
        <v>108.60719860036193</v>
      </c>
      <c r="AB24" s="199">
        <f t="shared" si="6"/>
        <v>0.87139748675697637</v>
      </c>
      <c r="AD24" s="13">
        <f t="shared" si="2"/>
        <v>18.181217867231641</v>
      </c>
      <c r="AE24" s="3">
        <f t="shared" si="3"/>
        <v>3.9370226341807859</v>
      </c>
      <c r="AG24" s="334">
        <v>41397</v>
      </c>
      <c r="AH24" s="349">
        <v>6.1182499999999997</v>
      </c>
      <c r="AI24" s="349">
        <v>9.6880000000000006</v>
      </c>
      <c r="AK24" s="226">
        <v>22</v>
      </c>
      <c r="AL24" s="229">
        <v>22</v>
      </c>
      <c r="AM24" s="227">
        <v>7.561375</v>
      </c>
      <c r="AN24" s="227">
        <v>11.678000000000001</v>
      </c>
      <c r="AQ24" s="246">
        <v>143.32552319999999</v>
      </c>
      <c r="AR24" s="246">
        <v>-152.73564200000001</v>
      </c>
      <c r="AS24" s="244">
        <f t="shared" si="10"/>
        <v>98.702664185714283</v>
      </c>
      <c r="AT24" s="244">
        <f t="shared" si="11"/>
        <v>109.46055542857142</v>
      </c>
    </row>
    <row r="25" spans="1:46" ht="13.8" thickBot="1">
      <c r="A25" s="2">
        <v>41398</v>
      </c>
      <c r="B25" s="4">
        <v>20.76457630649718</v>
      </c>
      <c r="C25" s="4">
        <v>23.866843043785305</v>
      </c>
      <c r="D25" s="4">
        <v>16.147566510610201</v>
      </c>
      <c r="E25" s="7">
        <v>233.35049214336163</v>
      </c>
      <c r="F25" s="4">
        <v>0.95884530621450059</v>
      </c>
      <c r="G25" s="4">
        <v>1.6921739053672322</v>
      </c>
      <c r="H25" s="3">
        <v>20.915137711864407</v>
      </c>
      <c r="I25" s="4">
        <v>1.690742231638418</v>
      </c>
      <c r="J25" s="4">
        <v>9.2229166666666309</v>
      </c>
      <c r="K25" s="4">
        <v>-4.6872023809523862</v>
      </c>
      <c r="L25" s="4">
        <v>0.25284421246737454</v>
      </c>
      <c r="M25" s="4">
        <v>2.0390514803372856E-2</v>
      </c>
      <c r="N25" s="4">
        <f t="shared" si="0"/>
        <v>2.7414777949930032E-2</v>
      </c>
      <c r="O25" s="4">
        <f t="shared" si="1"/>
        <v>-4.3502526979067061E-3</v>
      </c>
      <c r="P25" s="7">
        <v>182.36887133273152</v>
      </c>
      <c r="Q25" s="7">
        <v>-112.98222949813818</v>
      </c>
      <c r="R25" s="7">
        <v>69.386641834593334</v>
      </c>
      <c r="S25" s="4">
        <f t="shared" si="4"/>
        <v>1.6141376581326601</v>
      </c>
      <c r="T25" s="4">
        <v>5.8430937500000013</v>
      </c>
      <c r="U25" s="4">
        <v>15.852708333333334</v>
      </c>
      <c r="V25" s="7">
        <v>604.09259259259261</v>
      </c>
      <c r="W25">
        <v>48</v>
      </c>
      <c r="X25" s="21">
        <f t="shared" si="7"/>
        <v>96.364068660707034</v>
      </c>
      <c r="Y25" s="21">
        <f t="shared" si="8"/>
        <v>-96.516036676140601</v>
      </c>
      <c r="Z25" s="21">
        <f t="shared" si="12"/>
        <v>-0.15196801543359278</v>
      </c>
      <c r="AA25" s="224">
        <f t="shared" si="5"/>
        <v>96.516036676140601</v>
      </c>
      <c r="AB25" s="199">
        <f t="shared" si="6"/>
        <v>0.99842546357406392</v>
      </c>
      <c r="AD25" s="13">
        <f t="shared" si="2"/>
        <v>20.915137711864407</v>
      </c>
      <c r="AE25" s="3">
        <f t="shared" si="3"/>
        <v>5.0439999646892675</v>
      </c>
      <c r="AG25" s="334">
        <v>41398</v>
      </c>
      <c r="AH25" s="349">
        <v>8.2313960000000002</v>
      </c>
      <c r="AI25" s="349">
        <v>11.678000000000001</v>
      </c>
      <c r="AK25" s="226">
        <v>23</v>
      </c>
      <c r="AL25" s="228">
        <v>23</v>
      </c>
      <c r="AM25" s="225">
        <v>5.6032289999999998</v>
      </c>
      <c r="AN25" s="225">
        <v>12.5</v>
      </c>
      <c r="AQ25" s="245">
        <v>212.6945882</v>
      </c>
      <c r="AR25" s="245">
        <v>-135.91508400000001</v>
      </c>
      <c r="AS25" s="244">
        <f t="shared" si="10"/>
        <v>98.557352585714284</v>
      </c>
      <c r="AT25" s="244">
        <f t="shared" si="11"/>
        <v>97.273197285714289</v>
      </c>
    </row>
    <row r="26" spans="1:46" ht="13.8" thickBot="1">
      <c r="A26" s="2">
        <v>41399</v>
      </c>
      <c r="B26" s="4">
        <v>20.742444456214695</v>
      </c>
      <c r="C26" s="4">
        <v>24.057054025423728</v>
      </c>
      <c r="D26" s="4">
        <v>16.297411413366166</v>
      </c>
      <c r="E26" s="7">
        <v>233.12939177259889</v>
      </c>
      <c r="F26" s="4">
        <v>0.95870657260709813</v>
      </c>
      <c r="G26" s="4">
        <v>1.4502356991525414</v>
      </c>
      <c r="H26" s="3">
        <v>20.283264477401133</v>
      </c>
      <c r="I26" s="4">
        <v>1.6581809675141246</v>
      </c>
      <c r="J26" s="4">
        <v>1.8641203703703919</v>
      </c>
      <c r="K26" s="4">
        <v>-3.5824404761904405</v>
      </c>
      <c r="L26" s="4">
        <v>0.2438738928876141</v>
      </c>
      <c r="M26" s="4">
        <v>0.12755422162067578</v>
      </c>
      <c r="N26" s="4">
        <f t="shared" si="0"/>
        <v>0.13082518530665352</v>
      </c>
      <c r="O26" s="4">
        <f t="shared" si="1"/>
        <v>-3.560539874100481E-2</v>
      </c>
      <c r="P26" s="7">
        <v>71.069882337251116</v>
      </c>
      <c r="Q26" s="7">
        <v>-89.039872747466802</v>
      </c>
      <c r="R26" s="7">
        <v>-17.969990410215686</v>
      </c>
      <c r="S26" s="4">
        <f t="shared" si="4"/>
        <v>0.79818041226112446</v>
      </c>
      <c r="T26" s="4">
        <v>8.210927083333333</v>
      </c>
      <c r="U26" s="4">
        <v>16.485833333333328</v>
      </c>
      <c r="V26" s="7">
        <v>540.62222222222226</v>
      </c>
      <c r="W26">
        <v>48</v>
      </c>
      <c r="X26" s="21">
        <f t="shared" si="7"/>
        <v>79.212146736237983</v>
      </c>
      <c r="Y26" s="21">
        <f t="shared" si="8"/>
        <v>-63.344379015930222</v>
      </c>
      <c r="Z26" s="21">
        <f t="shared" si="12"/>
        <v>15.867767720307736</v>
      </c>
      <c r="AA26" s="224">
        <f t="shared" si="5"/>
        <v>63.344379015930222</v>
      </c>
      <c r="AB26" s="199">
        <f t="shared" si="6"/>
        <v>1.2505000122633965</v>
      </c>
      <c r="AD26" s="13">
        <f t="shared" si="2"/>
        <v>20.283264477401133</v>
      </c>
      <c r="AE26" s="3">
        <f t="shared" si="3"/>
        <v>3.9310842161016897</v>
      </c>
      <c r="AG26" s="334">
        <v>41399</v>
      </c>
      <c r="AH26" s="349">
        <v>7.029833</v>
      </c>
      <c r="AI26" s="349">
        <v>12.858000000000001</v>
      </c>
      <c r="AK26" s="226">
        <v>24</v>
      </c>
      <c r="AL26" s="229">
        <v>24</v>
      </c>
      <c r="AM26" s="227">
        <v>7.7805</v>
      </c>
      <c r="AN26" s="227">
        <v>12.858000000000001</v>
      </c>
      <c r="AQ26" s="246">
        <v>72.183413000000002</v>
      </c>
      <c r="AR26" s="246">
        <v>-81.223825000000005</v>
      </c>
      <c r="AS26" s="244">
        <f t="shared" si="10"/>
        <v>89.290527342857146</v>
      </c>
      <c r="AT26" s="244">
        <f t="shared" si="11"/>
        <v>81.608901571428561</v>
      </c>
    </row>
    <row r="27" spans="1:46" ht="13.8" thickBot="1">
      <c r="A27" s="2">
        <v>41400</v>
      </c>
      <c r="B27" s="4">
        <v>20.326332079802263</v>
      </c>
      <c r="C27" s="4">
        <v>24.23644120762712</v>
      </c>
      <c r="D27" s="4">
        <v>16.538244045563552</v>
      </c>
      <c r="E27" s="7">
        <v>230.35529219632767</v>
      </c>
      <c r="F27" s="4">
        <v>0.9409686172963968</v>
      </c>
      <c r="G27" s="4">
        <v>1.2413213276836157</v>
      </c>
      <c r="H27" s="3">
        <v>19.700601341807907</v>
      </c>
      <c r="I27" s="4">
        <v>1.3791417725988708</v>
      </c>
      <c r="J27" s="4">
        <v>1.7671296296295731</v>
      </c>
      <c r="K27" s="4">
        <v>-5.5607142857141998</v>
      </c>
      <c r="L27" s="4">
        <v>0.23797697739099397</v>
      </c>
      <c r="M27" s="4">
        <v>0.13606512056868497</v>
      </c>
      <c r="N27" s="4">
        <f t="shared" si="0"/>
        <v>0.13466865893753299</v>
      </c>
      <c r="O27" s="4">
        <f t="shared" si="1"/>
        <v>-2.4469000487625164E-2</v>
      </c>
      <c r="P27" s="7">
        <v>96.345760780285076</v>
      </c>
      <c r="Q27" s="7">
        <v>-136.7227057507892</v>
      </c>
      <c r="R27" s="7">
        <v>-40.376944970504127</v>
      </c>
      <c r="S27" s="4">
        <f t="shared" si="4"/>
        <v>0.70468003285349656</v>
      </c>
      <c r="T27" s="4">
        <v>6.9755833333333328</v>
      </c>
      <c r="U27" s="4">
        <v>17.282708333333332</v>
      </c>
      <c r="V27" s="7">
        <v>534.87777777777785</v>
      </c>
      <c r="W27">
        <v>48</v>
      </c>
      <c r="X27" s="21">
        <f t="shared" si="7"/>
        <v>60.495430291008695</v>
      </c>
      <c r="Y27" s="21">
        <f t="shared" si="8"/>
        <v>-55.005383374095437</v>
      </c>
      <c r="Z27" s="21">
        <f t="shared" si="12"/>
        <v>5.4900469169132791</v>
      </c>
      <c r="AA27" s="224">
        <f t="shared" si="5"/>
        <v>55.005383374095437</v>
      </c>
      <c r="AB27" s="199">
        <f t="shared" si="6"/>
        <v>1.0998092655690639</v>
      </c>
      <c r="AD27" s="13">
        <f t="shared" si="2"/>
        <v>19.700601341807907</v>
      </c>
      <c r="AE27" s="3">
        <f t="shared" si="3"/>
        <v>2.9700781073446318</v>
      </c>
      <c r="AG27" s="334">
        <v>41400</v>
      </c>
      <c r="AH27" s="349">
        <v>7.4815829999999997</v>
      </c>
      <c r="AI27" s="349">
        <v>10.404</v>
      </c>
      <c r="AK27" s="226">
        <v>25</v>
      </c>
      <c r="AL27" s="228">
        <v>25</v>
      </c>
      <c r="AM27" s="225">
        <v>6.3708749999999998</v>
      </c>
      <c r="AN27" s="225">
        <v>10.404</v>
      </c>
      <c r="AQ27" s="245">
        <v>61.400614599999997</v>
      </c>
      <c r="AR27" s="245">
        <v>-89.615741999999997</v>
      </c>
      <c r="AS27" s="244">
        <f t="shared" si="10"/>
        <v>81.122970999999993</v>
      </c>
      <c r="AT27" s="244">
        <f t="shared" si="11"/>
        <v>74.563986428571425</v>
      </c>
    </row>
    <row r="28" spans="1:46" ht="13.8" thickBot="1">
      <c r="A28" s="2">
        <v>41401</v>
      </c>
      <c r="B28" s="4">
        <v>20.574010240112987</v>
      </c>
      <c r="C28" s="4">
        <v>24.457969103107345</v>
      </c>
      <c r="D28" s="4">
        <v>16.644065733799668</v>
      </c>
      <c r="E28" s="7">
        <v>229.17939508298025</v>
      </c>
      <c r="F28" s="4">
        <v>0.94170826162301813</v>
      </c>
      <c r="G28" s="4">
        <v>1.0903737641242934</v>
      </c>
      <c r="H28" s="3">
        <v>19.306106638418083</v>
      </c>
      <c r="I28" s="4">
        <v>0.95247528248587587</v>
      </c>
      <c r="J28" s="4">
        <v>2.1877314814814048</v>
      </c>
      <c r="K28" s="4">
        <v>0.12261904761906839</v>
      </c>
      <c r="L28" s="4">
        <v>0.14593049353886489</v>
      </c>
      <c r="M28" s="4">
        <v>6.9873204593161625E-2</v>
      </c>
      <c r="N28" s="4">
        <f t="shared" si="0"/>
        <v>6.670402413373383E-2</v>
      </c>
      <c r="O28" s="4">
        <f t="shared" si="1"/>
        <v>0.56983972677908568</v>
      </c>
      <c r="P28" s="7">
        <v>26.520735265554858</v>
      </c>
      <c r="Q28" s="7">
        <v>1.2659002326217563</v>
      </c>
      <c r="R28" s="7">
        <v>27.786635498176615</v>
      </c>
      <c r="S28" s="4">
        <f t="shared" si="4"/>
        <v>-20.95009905372148</v>
      </c>
      <c r="T28" s="4">
        <v>4.8795208333333324</v>
      </c>
      <c r="U28" s="4">
        <v>18.9609375</v>
      </c>
      <c r="V28" s="7">
        <v>420.70370370370358</v>
      </c>
      <c r="W28">
        <v>48</v>
      </c>
      <c r="X28" s="21">
        <f t="shared" si="7"/>
        <v>65.657043384959763</v>
      </c>
      <c r="Y28" s="21">
        <f t="shared" si="8"/>
        <v>-71.882057469254619</v>
      </c>
      <c r="Z28" s="21">
        <f t="shared" si="12"/>
        <v>-6.225014084294842</v>
      </c>
      <c r="AA28" s="224">
        <f t="shared" si="5"/>
        <v>71.882057469254619</v>
      </c>
      <c r="AB28" s="199">
        <f t="shared" si="6"/>
        <v>0.91339961176045337</v>
      </c>
      <c r="AD28" s="13">
        <f t="shared" si="2"/>
        <v>19.306106638418083</v>
      </c>
      <c r="AE28" s="3">
        <f t="shared" si="3"/>
        <v>2.2757193149717496</v>
      </c>
      <c r="AG28" s="334">
        <v>41401</v>
      </c>
      <c r="AH28" s="349">
        <v>5.3975629999999999</v>
      </c>
      <c r="AI28" s="349">
        <v>9.2349999999999994</v>
      </c>
      <c r="AK28" s="226">
        <v>26</v>
      </c>
      <c r="AL28" s="229">
        <v>26</v>
      </c>
      <c r="AM28" s="227">
        <v>4.3309569999999997</v>
      </c>
      <c r="AN28" s="227">
        <v>9.2349999999999994</v>
      </c>
      <c r="AQ28" s="246">
        <v>11.005585200000001</v>
      </c>
      <c r="AR28" s="246">
        <v>3.7423790000000001</v>
      </c>
      <c r="AS28" s="244">
        <f t="shared" si="10"/>
        <v>61.834859914285701</v>
      </c>
      <c r="AT28" s="244">
        <f t="shared" si="11"/>
        <v>59.664696428571418</v>
      </c>
    </row>
    <row r="29" spans="1:46" ht="13.8" thickBot="1">
      <c r="A29" s="2">
        <v>41402</v>
      </c>
      <c r="B29" s="4">
        <v>21.554425794491532</v>
      </c>
      <c r="C29" s="4">
        <v>24.577703389830504</v>
      </c>
      <c r="D29" s="4">
        <v>16.481846629661309</v>
      </c>
      <c r="E29" s="7">
        <v>229.64493401306495</v>
      </c>
      <c r="F29" s="4">
        <v>0.96151966059650495</v>
      </c>
      <c r="G29" s="4">
        <v>0.96298587570621497</v>
      </c>
      <c r="H29" s="3">
        <v>18.636876765536726</v>
      </c>
      <c r="I29" s="4">
        <v>0.54568608757062131</v>
      </c>
      <c r="J29" s="4">
        <v>-5.0694444444443106E-2</v>
      </c>
      <c r="K29" s="4">
        <v>5.8303571428570553</v>
      </c>
      <c r="L29" s="4">
        <v>3.1006021477647045E-2</v>
      </c>
      <c r="M29" s="4">
        <v>4.3823641847191286E-2</v>
      </c>
      <c r="N29" s="4">
        <f t="shared" si="0"/>
        <v>-0.61162562914812224</v>
      </c>
      <c r="O29" s="4">
        <f t="shared" si="1"/>
        <v>7.5164592448476227E-3</v>
      </c>
      <c r="P29" s="7">
        <v>-78.243119559091838</v>
      </c>
      <c r="Q29" s="7">
        <v>138.87680402423678</v>
      </c>
      <c r="R29" s="7">
        <v>60.633684465144938</v>
      </c>
      <c r="S29" s="4">
        <f t="shared" si="4"/>
        <v>0.56339948279222241</v>
      </c>
      <c r="T29" s="4">
        <v>3.4183645833333323</v>
      </c>
      <c r="U29" s="4">
        <v>20.916562500000001</v>
      </c>
      <c r="V29" s="7">
        <v>535.15740740740739</v>
      </c>
      <c r="W29">
        <v>48</v>
      </c>
      <c r="X29" s="21">
        <f t="shared" si="7"/>
        <v>62.413284061864225</v>
      </c>
      <c r="Y29" s="21">
        <f t="shared" si="8"/>
        <v>-72.161559157957299</v>
      </c>
      <c r="Z29" s="21">
        <f t="shared" si="12"/>
        <v>-9.7482750960930726</v>
      </c>
      <c r="AA29" s="224">
        <f t="shared" si="5"/>
        <v>72.161559157957299</v>
      </c>
      <c r="AB29" s="199">
        <f t="shared" si="6"/>
        <v>0.8649104147714618</v>
      </c>
      <c r="AD29" s="13">
        <f t="shared" si="2"/>
        <v>18.636876765536726</v>
      </c>
      <c r="AE29" s="3">
        <f t="shared" si="3"/>
        <v>1.6897350282485881</v>
      </c>
      <c r="AG29" s="334">
        <v>41402</v>
      </c>
      <c r="AH29" s="349">
        <v>3.1301459999999999</v>
      </c>
      <c r="AI29" s="349">
        <v>6.7480000000000002</v>
      </c>
      <c r="AK29" s="226">
        <v>27</v>
      </c>
      <c r="AL29" s="228">
        <v>27</v>
      </c>
      <c r="AM29" s="225">
        <v>3.5141460000000002</v>
      </c>
      <c r="AN29" s="225">
        <v>6.7480000000000002</v>
      </c>
      <c r="AQ29" s="245">
        <v>-0.53951130000000003</v>
      </c>
      <c r="AR29" s="245">
        <v>-12.801613</v>
      </c>
      <c r="AS29" s="244">
        <f t="shared" si="10"/>
        <v>46.371266500000004</v>
      </c>
      <c r="AT29" s="244">
        <f t="shared" si="11"/>
        <v>55.522137428571433</v>
      </c>
    </row>
    <row r="30" spans="1:46" ht="13.8" thickBot="1">
      <c r="A30" s="2">
        <v>41403</v>
      </c>
      <c r="B30" s="4">
        <v>22.689996027542367</v>
      </c>
      <c r="C30" s="4">
        <v>23.768764300847455</v>
      </c>
      <c r="D30" s="4">
        <v>15.567341395700142</v>
      </c>
      <c r="E30" s="7">
        <v>234.28623212394075</v>
      </c>
      <c r="F30" s="4">
        <v>0.99674350885209773</v>
      </c>
      <c r="G30" s="4">
        <v>0.96645462570621443</v>
      </c>
      <c r="H30" s="3">
        <v>18.019468926553674</v>
      </c>
      <c r="I30" s="4">
        <v>0.48363276836158198</v>
      </c>
      <c r="J30" s="4">
        <v>-2.5442129629629529</v>
      </c>
      <c r="K30" s="4">
        <v>-2.3624999999999017</v>
      </c>
      <c r="L30" s="4">
        <v>-5.4281791478706879E-3</v>
      </c>
      <c r="M30" s="4">
        <v>1.0748519825877227E-2</v>
      </c>
      <c r="N30" s="4">
        <f t="shared" si="0"/>
        <v>2.1335396159404482E-3</v>
      </c>
      <c r="O30" s="4">
        <f t="shared" si="1"/>
        <v>-4.5496380215355233E-3</v>
      </c>
      <c r="P30" s="7">
        <v>-2.220944875189824</v>
      </c>
      <c r="Q30" s="7">
        <v>-56.957964475818684</v>
      </c>
      <c r="R30" s="7">
        <v>-59.178909351008507</v>
      </c>
      <c r="S30" s="4">
        <f t="shared" si="4"/>
        <v>-3.8992700944092178E-2</v>
      </c>
      <c r="T30" s="4">
        <v>2.5678749999999995</v>
      </c>
      <c r="U30" s="4">
        <v>22.158750000000001</v>
      </c>
      <c r="V30" s="7">
        <v>548.65925925925933</v>
      </c>
      <c r="W30">
        <v>48</v>
      </c>
      <c r="X30" s="21">
        <f t="shared" si="7"/>
        <v>72.139807120636249</v>
      </c>
      <c r="Y30" s="21">
        <f t="shared" si="8"/>
        <v>-76.826437642482801</v>
      </c>
      <c r="Z30" s="21">
        <f t="shared" si="12"/>
        <v>-4.6866305218465545</v>
      </c>
      <c r="AA30" s="224">
        <f t="shared" si="5"/>
        <v>76.826437642482801</v>
      </c>
      <c r="AB30" s="199">
        <f t="shared" si="6"/>
        <v>0.9389971647044717</v>
      </c>
      <c r="AD30" s="13">
        <f t="shared" si="2"/>
        <v>18.019468926553674</v>
      </c>
      <c r="AE30" s="3">
        <f t="shared" si="3"/>
        <v>1.7056912782485858</v>
      </c>
      <c r="AG30" s="334">
        <v>41403</v>
      </c>
      <c r="AH30" s="349">
        <v>2.651208</v>
      </c>
      <c r="AI30" s="349">
        <v>4.4660000000000002</v>
      </c>
      <c r="AK30" s="226">
        <v>28</v>
      </c>
      <c r="AL30" s="229">
        <v>28</v>
      </c>
      <c r="AM30" s="227">
        <v>2.7018330000000002</v>
      </c>
      <c r="AN30" s="227">
        <v>3.843</v>
      </c>
      <c r="AQ30" s="246">
        <v>67.790584100000004</v>
      </c>
      <c r="AR30" s="246">
        <v>-53.398378000000001</v>
      </c>
      <c r="AS30" s="244">
        <f t="shared" si="10"/>
        <v>49.680230914285708</v>
      </c>
      <c r="AT30" s="244">
        <f t="shared" si="11"/>
        <v>55.450164999999991</v>
      </c>
    </row>
    <row r="31" spans="1:46" ht="13.8" thickBot="1">
      <c r="A31" s="2">
        <v>41404</v>
      </c>
      <c r="B31" s="4">
        <v>22.351680225988698</v>
      </c>
      <c r="C31" s="4">
        <v>24.315128531073452</v>
      </c>
      <c r="D31" s="4">
        <v>16.073412690902998</v>
      </c>
      <c r="E31" s="7">
        <v>229.30780477577684</v>
      </c>
      <c r="F31" s="4">
        <v>0.97266458303734782</v>
      </c>
      <c r="G31" s="4">
        <v>1.2693845338983054</v>
      </c>
      <c r="H31" s="3">
        <v>18.604976165254239</v>
      </c>
      <c r="I31" s="4">
        <v>0.47916754943502821</v>
      </c>
      <c r="J31" s="4">
        <v>1.907175925925928</v>
      </c>
      <c r="K31" s="4">
        <v>-10.298809523809517</v>
      </c>
      <c r="L31" s="4">
        <v>1.8865802267227613E-2</v>
      </c>
      <c r="M31" s="4">
        <v>1.8454395749982772E-2</v>
      </c>
      <c r="N31" s="4">
        <f t="shared" si="0"/>
        <v>9.8920094422166767E-3</v>
      </c>
      <c r="O31" s="4">
        <f t="shared" si="1"/>
        <v>-1.7918960154878671E-3</v>
      </c>
      <c r="P31" s="7">
        <v>163.7581184131775</v>
      </c>
      <c r="Q31" s="7">
        <v>-247.61433406942797</v>
      </c>
      <c r="R31" s="7">
        <v>-83.85621565625047</v>
      </c>
      <c r="S31" s="4">
        <f t="shared" si="4"/>
        <v>0.66134345181834975</v>
      </c>
      <c r="T31" s="4">
        <v>3.1036562500000002</v>
      </c>
      <c r="U31" s="4">
        <v>21.657916666666665</v>
      </c>
      <c r="V31" s="7">
        <v>218.57222222222222</v>
      </c>
      <c r="W31">
        <v>48</v>
      </c>
      <c r="X31" s="21">
        <f t="shared" si="7"/>
        <v>67.594430840306302</v>
      </c>
      <c r="Y31" s="21">
        <f t="shared" si="8"/>
        <v>-58.362083147797343</v>
      </c>
      <c r="Z31" s="21">
        <f t="shared" si="12"/>
        <v>9.232347692508954</v>
      </c>
      <c r="AA31" s="224">
        <f t="shared" si="5"/>
        <v>58.362083147797343</v>
      </c>
      <c r="AB31" s="199">
        <f t="shared" si="6"/>
        <v>1.1581908525973752</v>
      </c>
      <c r="AD31" s="13">
        <f t="shared" si="2"/>
        <v>18.604976165254239</v>
      </c>
      <c r="AE31" s="3">
        <f t="shared" si="3"/>
        <v>3.0991688559322039</v>
      </c>
      <c r="AG31" s="334">
        <v>41404</v>
      </c>
      <c r="AH31" s="349">
        <v>3.2996880000000002</v>
      </c>
      <c r="AI31" s="349">
        <v>9.5719999999999992</v>
      </c>
      <c r="AK31" s="226">
        <v>29</v>
      </c>
      <c r="AL31" s="228">
        <v>29</v>
      </c>
      <c r="AM31" s="225">
        <v>3.0769579999999999</v>
      </c>
      <c r="AN31" s="225">
        <v>9.5719999999999992</v>
      </c>
      <c r="AQ31" s="245">
        <v>8.3087456</v>
      </c>
      <c r="AR31" s="245">
        <v>-48.440612000000002</v>
      </c>
      <c r="AS31" s="244">
        <f t="shared" si="10"/>
        <v>49.372941628571418</v>
      </c>
      <c r="AT31" s="244">
        <f t="shared" si="11"/>
        <v>42.09061628571429</v>
      </c>
    </row>
    <row r="32" spans="1:46" ht="13.8" thickBot="1">
      <c r="A32" s="2">
        <v>41405</v>
      </c>
      <c r="B32" s="4">
        <v>22.243410240112997</v>
      </c>
      <c r="C32" s="4">
        <v>25.230839336158187</v>
      </c>
      <c r="D32" s="4">
        <v>16.794282160977303</v>
      </c>
      <c r="E32" s="7">
        <v>225.18885173905366</v>
      </c>
      <c r="F32" s="4">
        <v>0.95847811079403034</v>
      </c>
      <c r="G32" s="4">
        <v>1.3230185381355939</v>
      </c>
      <c r="H32" s="3">
        <v>17.102639300847457</v>
      </c>
      <c r="I32" s="4">
        <v>0.37100971045197745</v>
      </c>
      <c r="J32" s="4">
        <v>7.0541666666666591</v>
      </c>
      <c r="K32" s="4">
        <v>-4.7229166666667419</v>
      </c>
      <c r="L32" s="4">
        <v>1.6424883030263442E-2</v>
      </c>
      <c r="M32" s="4">
        <v>6.619755496063133E-2</v>
      </c>
      <c r="N32" s="4">
        <f t="shared" si="0"/>
        <v>2.3283945228961787E-3</v>
      </c>
      <c r="O32" s="4">
        <f t="shared" si="1"/>
        <v>-1.4016244543935833E-2</v>
      </c>
      <c r="P32" s="7">
        <v>159.66255607106268</v>
      </c>
      <c r="Q32" s="7">
        <v>-114.93874131905696</v>
      </c>
      <c r="R32" s="7">
        <v>44.723814752005723</v>
      </c>
      <c r="S32" s="4">
        <f t="shared" si="4"/>
        <v>1.3891100097212432</v>
      </c>
      <c r="T32" s="4">
        <v>2.9571041666666669</v>
      </c>
      <c r="U32" s="4">
        <v>20.591979166666665</v>
      </c>
      <c r="V32" s="7">
        <v>184.89074074074071</v>
      </c>
      <c r="W32">
        <v>48</v>
      </c>
      <c r="X32" s="21">
        <f t="shared" si="7"/>
        <v>71.424788005881553</v>
      </c>
      <c r="Y32" s="21">
        <f t="shared" si="8"/>
        <v>-62.256777824782382</v>
      </c>
      <c r="Z32" s="21">
        <f t="shared" si="12"/>
        <v>9.1680101810991665</v>
      </c>
      <c r="AA32" s="224">
        <f t="shared" si="5"/>
        <v>62.256777824782382</v>
      </c>
      <c r="AB32" s="199">
        <f t="shared" si="6"/>
        <v>1.1472612380759881</v>
      </c>
      <c r="AD32" s="13">
        <f t="shared" si="2"/>
        <v>17.102639300847457</v>
      </c>
      <c r="AE32" s="3">
        <f t="shared" si="3"/>
        <v>3.3458852754237309</v>
      </c>
      <c r="AG32" s="334">
        <v>41405</v>
      </c>
      <c r="AH32" s="349">
        <v>2.3694169999999999</v>
      </c>
      <c r="AI32" s="349">
        <v>5.14</v>
      </c>
      <c r="AK32" s="226">
        <v>30</v>
      </c>
      <c r="AL32" s="229">
        <v>30</v>
      </c>
      <c r="AM32" s="227">
        <v>3.5804369999999999</v>
      </c>
      <c r="AN32" s="227">
        <v>6.6109999999999998</v>
      </c>
      <c r="AQ32" s="246">
        <v>104.44943429999999</v>
      </c>
      <c r="AR32" s="246">
        <v>-106.917171</v>
      </c>
      <c r="AS32" s="244">
        <f t="shared" si="10"/>
        <v>54.689704157142856</v>
      </c>
      <c r="AT32" s="244">
        <f t="shared" si="11"/>
        <v>44.968686142857145</v>
      </c>
    </row>
    <row r="33" spans="1:46" ht="13.8" thickBot="1">
      <c r="A33" s="2">
        <v>41406</v>
      </c>
      <c r="B33" s="4">
        <v>22.578456338276837</v>
      </c>
      <c r="C33" s="4">
        <v>24.464227401129936</v>
      </c>
      <c r="D33" s="4">
        <v>16.123916113951811</v>
      </c>
      <c r="E33" s="7">
        <v>229.38205111228808</v>
      </c>
      <c r="F33" s="4">
        <v>0.97791405523854014</v>
      </c>
      <c r="G33" s="4">
        <v>1.3305102401129942</v>
      </c>
      <c r="H33" s="3">
        <v>17.493833509887008</v>
      </c>
      <c r="I33" s="4">
        <v>0.59122651836158191</v>
      </c>
      <c r="J33" s="4">
        <v>5.2847222222223094</v>
      </c>
      <c r="K33" s="4">
        <v>-4.9857142857144492</v>
      </c>
      <c r="L33" s="4">
        <v>4.7488422564202763E-2</v>
      </c>
      <c r="M33" s="4">
        <v>8.4869970083270838E-2</v>
      </c>
      <c r="N33" s="4">
        <f t="shared" si="0"/>
        <v>8.9859827191131215E-3</v>
      </c>
      <c r="O33" s="4">
        <f t="shared" si="1"/>
        <v>-1.7022630102661213E-2</v>
      </c>
      <c r="P33" s="7">
        <v>139.15554374865525</v>
      </c>
      <c r="Q33" s="7">
        <v>-121.6940221391453</v>
      </c>
      <c r="R33" s="7">
        <v>17.461521609509944</v>
      </c>
      <c r="S33" s="4">
        <f t="shared" si="4"/>
        <v>1.1434870941281272</v>
      </c>
      <c r="T33" s="4">
        <v>5.4935625000000021</v>
      </c>
      <c r="U33" s="4">
        <v>21.165312499999999</v>
      </c>
      <c r="V33" s="7">
        <v>491.06666666666672</v>
      </c>
      <c r="W33">
        <v>48</v>
      </c>
      <c r="X33" s="21">
        <f t="shared" si="7"/>
        <v>92.78455626424433</v>
      </c>
      <c r="Y33" s="21">
        <f t="shared" si="8"/>
        <v>-98.378555256868779</v>
      </c>
      <c r="Z33" s="21">
        <f t="shared" si="12"/>
        <v>-5.5939989926244396</v>
      </c>
      <c r="AA33" s="224">
        <f t="shared" si="5"/>
        <v>98.378555256868779</v>
      </c>
      <c r="AB33" s="199">
        <f t="shared" si="6"/>
        <v>0.94313802456217843</v>
      </c>
      <c r="AD33" s="13">
        <f t="shared" si="2"/>
        <v>17.493833509887008</v>
      </c>
      <c r="AE33" s="3">
        <f t="shared" si="3"/>
        <v>3.3803471045197728</v>
      </c>
      <c r="AG33" s="334">
        <v>41406</v>
      </c>
      <c r="AH33" s="349">
        <v>4.7656669999999997</v>
      </c>
      <c r="AI33" s="349">
        <v>8.3119999999999994</v>
      </c>
      <c r="AK33" s="226">
        <v>31</v>
      </c>
      <c r="AL33" s="228">
        <v>31</v>
      </c>
      <c r="AM33" s="225">
        <v>5.4339789999999999</v>
      </c>
      <c r="AN33" s="225">
        <v>8.6880000000000006</v>
      </c>
      <c r="AQ33" s="245">
        <v>95.346163899999993</v>
      </c>
      <c r="AR33" s="245">
        <v>-80.720017999999996</v>
      </c>
      <c r="AS33" s="244">
        <f t="shared" si="10"/>
        <v>63.95953458571428</v>
      </c>
      <c r="AT33" s="244">
        <f t="shared" si="11"/>
        <v>59.72822728571429</v>
      </c>
    </row>
    <row r="34" spans="1:46" ht="13.8" thickBot="1">
      <c r="A34" s="2">
        <v>41407</v>
      </c>
      <c r="B34" s="4">
        <v>22.213755084745756</v>
      </c>
      <c r="C34" s="4">
        <v>23.93484992937853</v>
      </c>
      <c r="D34" s="4">
        <v>15.822364304502665</v>
      </c>
      <c r="E34" s="7">
        <v>234.97610456391249</v>
      </c>
      <c r="F34" s="4">
        <v>0.99210863023594253</v>
      </c>
      <c r="G34" s="4">
        <v>1.1585557909604527</v>
      </c>
      <c r="H34" s="3">
        <v>17.630153601694925</v>
      </c>
      <c r="I34" s="4">
        <v>0.57505120056497183</v>
      </c>
      <c r="J34" s="4">
        <v>4.4851851851852249</v>
      </c>
      <c r="K34" s="4">
        <v>-0.30803571428559939</v>
      </c>
      <c r="L34" s="4">
        <v>1.6666618075609818E-2</v>
      </c>
      <c r="M34" s="4">
        <v>3.3069643806952521E-3</v>
      </c>
      <c r="N34" s="4">
        <f t="shared" si="0"/>
        <v>3.7159264082697037E-3</v>
      </c>
      <c r="O34" s="4">
        <f t="shared" si="1"/>
        <v>-1.0735652482261054E-2</v>
      </c>
      <c r="P34" s="7">
        <v>64.528126817975476</v>
      </c>
      <c r="Q34" s="7">
        <v>-7.4722242879910521</v>
      </c>
      <c r="R34" s="7">
        <v>57.055902529984422</v>
      </c>
      <c r="S34" s="4">
        <f t="shared" si="4"/>
        <v>8.6357320566088376</v>
      </c>
      <c r="T34" s="4">
        <v>3.7377812500000016</v>
      </c>
      <c r="U34" s="4">
        <v>19.784583333333327</v>
      </c>
      <c r="V34" s="7">
        <v>574.20925925925928</v>
      </c>
      <c r="W34">
        <v>48</v>
      </c>
      <c r="X34" s="21">
        <f t="shared" si="7"/>
        <v>94.485639168107156</v>
      </c>
      <c r="Y34" s="21">
        <f t="shared" si="8"/>
        <v>-96.446863928541347</v>
      </c>
      <c r="Z34" s="21">
        <f t="shared" si="12"/>
        <v>-1.9612247604342039</v>
      </c>
      <c r="AA34" s="224">
        <f t="shared" si="5"/>
        <v>96.446863928541347</v>
      </c>
      <c r="AB34" s="199">
        <f t="shared" si="6"/>
        <v>0.97966523036055075</v>
      </c>
      <c r="AD34" s="13">
        <f t="shared" si="2"/>
        <v>17.630153601694925</v>
      </c>
      <c r="AE34" s="3">
        <f t="shared" si="3"/>
        <v>2.5893566384180815</v>
      </c>
      <c r="AG34" s="334">
        <v>41407</v>
      </c>
      <c r="AH34" s="349">
        <v>4.9914170000000002</v>
      </c>
      <c r="AI34" s="349">
        <v>8.6880000000000006</v>
      </c>
      <c r="AK34" s="226">
        <v>32</v>
      </c>
      <c r="AL34" s="229">
        <v>32</v>
      </c>
      <c r="AM34" s="227">
        <v>3.0871040000000001</v>
      </c>
      <c r="AN34" s="227">
        <v>6.4640000000000004</v>
      </c>
      <c r="AQ34" s="246">
        <v>59.2495896</v>
      </c>
      <c r="AR34" s="246">
        <v>3.9010989999999999</v>
      </c>
      <c r="AS34" s="244">
        <f t="shared" si="10"/>
        <v>54.586901785714289</v>
      </c>
      <c r="AT34" s="244">
        <f t="shared" si="11"/>
        <v>56.46286514285714</v>
      </c>
    </row>
    <row r="35" spans="1:46" ht="13.8" thickBot="1">
      <c r="A35" s="2">
        <v>41408</v>
      </c>
      <c r="B35" s="4">
        <v>22.68577123940678</v>
      </c>
      <c r="C35" s="4">
        <v>21.929228460451977</v>
      </c>
      <c r="D35" s="4">
        <v>14.18235133158384</v>
      </c>
      <c r="E35" s="7">
        <v>240.65511895303666</v>
      </c>
      <c r="F35" s="4">
        <v>1.0129752912728993</v>
      </c>
      <c r="G35" s="4">
        <v>1.1876311793785312</v>
      </c>
      <c r="H35" s="3">
        <v>19.011587747175142</v>
      </c>
      <c r="I35" s="4">
        <v>0.59330543785310741</v>
      </c>
      <c r="J35" s="4">
        <v>2.8474537037035894</v>
      </c>
      <c r="K35" s="4">
        <v>-1.0934523809522436</v>
      </c>
      <c r="L35" s="4">
        <v>-1.9949556652130138E-2</v>
      </c>
      <c r="M35" s="4">
        <v>-1.0245609857513386E-2</v>
      </c>
      <c r="N35" s="4">
        <f t="shared" ref="N35:N66" si="13">L35/J35</f>
        <v>-7.0061039539229056E-3</v>
      </c>
      <c r="O35" s="4">
        <f t="shared" ref="O35:O66" si="14">M35/K35</f>
        <v>9.369964377041181E-3</v>
      </c>
      <c r="P35" s="7">
        <v>53.333235424581666</v>
      </c>
      <c r="Q35" s="7">
        <v>-25.99696250627354</v>
      </c>
      <c r="R35" s="7">
        <v>27.336272918308126</v>
      </c>
      <c r="S35" s="4">
        <f t="shared" si="4"/>
        <v>2.0515179575964457</v>
      </c>
      <c r="T35" s="4">
        <v>2.8496145833333326</v>
      </c>
      <c r="U35" s="4">
        <v>21.53510416666666</v>
      </c>
      <c r="V35" s="7">
        <v>589.68888888888887</v>
      </c>
      <c r="W35">
        <v>48</v>
      </c>
      <c r="X35" s="21">
        <f t="shared" si="7"/>
        <v>77.5086937834227</v>
      </c>
      <c r="Y35" s="21">
        <f t="shared" si="8"/>
        <v>-73.178422515400285</v>
      </c>
      <c r="Z35" s="21">
        <f t="shared" si="12"/>
        <v>4.3302712680224067</v>
      </c>
      <c r="AA35" s="224">
        <f t="shared" si="5"/>
        <v>73.178422515400285</v>
      </c>
      <c r="AB35" s="199">
        <f t="shared" si="6"/>
        <v>1.059174154336425</v>
      </c>
      <c r="AD35" s="13">
        <f t="shared" ref="AD35:AD66" si="15">H35</f>
        <v>19.011587747175142</v>
      </c>
      <c r="AE35" s="3">
        <f t="shared" ref="AE35:AE66" si="16">4.6*G35-2.74</f>
        <v>2.7231034251412432</v>
      </c>
      <c r="AG35" s="334">
        <v>41408</v>
      </c>
      <c r="AH35" s="349">
        <v>2.8013750000000002</v>
      </c>
      <c r="AI35" s="349">
        <v>4.4589999999999996</v>
      </c>
      <c r="AK35" s="226">
        <v>33</v>
      </c>
      <c r="AL35" s="228">
        <v>33</v>
      </c>
      <c r="AM35" s="225">
        <v>2.810854</v>
      </c>
      <c r="AN35" s="225">
        <v>4.6829999999999998</v>
      </c>
      <c r="AQ35" s="245">
        <v>48.2229229</v>
      </c>
      <c r="AR35" s="245">
        <v>-16.404109999999999</v>
      </c>
      <c r="AS35" s="244">
        <f t="shared" si="10"/>
        <v>62.218257342857143</v>
      </c>
      <c r="AT35" s="244">
        <f t="shared" si="11"/>
        <v>64.478722857142856</v>
      </c>
    </row>
    <row r="36" spans="1:46" ht="13.8" thickBot="1">
      <c r="A36" s="2">
        <v>41409</v>
      </c>
      <c r="B36" s="3">
        <v>23.448145409604518</v>
      </c>
      <c r="C36" s="3">
        <v>22.568534427966103</v>
      </c>
      <c r="D36" s="3">
        <v>14.457446517373256</v>
      </c>
      <c r="E36" s="7">
        <v>237.61615576447741</v>
      </c>
      <c r="F36" s="4">
        <v>1.0177553206364223</v>
      </c>
      <c r="G36" s="4">
        <v>1.1150084745762707</v>
      </c>
      <c r="H36" s="3">
        <v>17.307671433615813</v>
      </c>
      <c r="I36" s="4">
        <v>0.5700090042372884</v>
      </c>
      <c r="J36" s="3">
        <v>0.51226851851849831</v>
      </c>
      <c r="K36" s="3">
        <v>-4.7523809523809559</v>
      </c>
      <c r="L36" s="4">
        <v>-1.8395324017787547E-2</v>
      </c>
      <c r="M36" s="4">
        <v>-3.3960356989608232E-3</v>
      </c>
      <c r="N36" s="4">
        <f t="shared" si="13"/>
        <v>-3.5909534458583525E-2</v>
      </c>
      <c r="O36" s="4">
        <f t="shared" si="14"/>
        <v>7.1459669016209649E-4</v>
      </c>
      <c r="P36" s="7">
        <v>71.275258249447589</v>
      </c>
      <c r="Q36" s="7">
        <v>-113.97563800036789</v>
      </c>
      <c r="R36" s="7">
        <v>-42.700379750920305</v>
      </c>
      <c r="S36" s="4">
        <f t="shared" si="4"/>
        <v>0.6253552030936429</v>
      </c>
      <c r="T36" s="3">
        <v>2.3703541666666665</v>
      </c>
      <c r="U36" s="3">
        <v>22.703645833333336</v>
      </c>
      <c r="V36" s="7">
        <v>578.72037037037035</v>
      </c>
      <c r="W36">
        <v>48</v>
      </c>
      <c r="X36" s="21">
        <f t="shared" si="7"/>
        <v>64.979255388549703</v>
      </c>
      <c r="Y36" s="21">
        <f t="shared" si="8"/>
        <v>-69.380487690942161</v>
      </c>
      <c r="Z36" s="21">
        <f t="shared" si="12"/>
        <v>-4.4012323023924642</v>
      </c>
      <c r="AA36" s="224">
        <f t="shared" si="5"/>
        <v>69.380487690942161</v>
      </c>
      <c r="AB36" s="199">
        <f t="shared" si="6"/>
        <v>0.93656383157757694</v>
      </c>
      <c r="AD36" s="13">
        <f t="shared" si="15"/>
        <v>17.307671433615813</v>
      </c>
      <c r="AE36" s="3">
        <f t="shared" si="16"/>
        <v>2.3890389830508445</v>
      </c>
      <c r="AG36" s="334">
        <v>41409</v>
      </c>
      <c r="AH36" s="349">
        <v>2.3287079999999998</v>
      </c>
      <c r="AI36" s="349">
        <v>4.6829999999999998</v>
      </c>
      <c r="AK36" s="226">
        <v>34</v>
      </c>
      <c r="AL36" s="229">
        <v>34</v>
      </c>
      <c r="AM36" s="227">
        <v>2.3768120000000001</v>
      </c>
      <c r="AN36" s="227">
        <v>4.3540000000000001</v>
      </c>
      <c r="AQ36" s="246">
        <v>64.349301699999998</v>
      </c>
      <c r="AR36" s="246">
        <v>-116.11840100000001</v>
      </c>
      <c r="AS36" s="244">
        <f t="shared" si="10"/>
        <v>57.824844371428576</v>
      </c>
      <c r="AT36" s="244">
        <f t="shared" si="11"/>
        <v>61.199233714285711</v>
      </c>
    </row>
    <row r="37" spans="1:46" ht="13.8" thickBot="1">
      <c r="A37" s="2">
        <v>41410</v>
      </c>
      <c r="B37" s="3">
        <v>23.748115360169489</v>
      </c>
      <c r="C37" s="3">
        <v>24.789503707627119</v>
      </c>
      <c r="D37" s="3">
        <v>16.048187997156671</v>
      </c>
      <c r="E37" s="7">
        <v>230.31384070444915</v>
      </c>
      <c r="F37" s="4">
        <v>1.0045048791344222</v>
      </c>
      <c r="G37" s="4">
        <v>1.0838854166666672</v>
      </c>
      <c r="H37" s="3">
        <v>14.937471045197745</v>
      </c>
      <c r="I37" s="4">
        <v>0.52656991525423724</v>
      </c>
      <c r="J37" s="3">
        <v>-1.099305555555564</v>
      </c>
      <c r="K37" s="3">
        <v>-1.8095238095238759</v>
      </c>
      <c r="L37" s="4">
        <v>-2.5935428244411971E-3</v>
      </c>
      <c r="M37" s="4">
        <v>3.1473953973924329E-4</v>
      </c>
      <c r="N37" s="4">
        <f t="shared" si="13"/>
        <v>2.3592556330987334E-3</v>
      </c>
      <c r="O37" s="4">
        <f t="shared" si="14"/>
        <v>-1.7393500880325964E-4</v>
      </c>
      <c r="P37" s="7">
        <v>9.6866354518499058</v>
      </c>
      <c r="Q37" s="7">
        <v>-43.436125177526769</v>
      </c>
      <c r="R37" s="7">
        <v>-33.749489725676867</v>
      </c>
      <c r="S37" s="4">
        <f t="shared" si="4"/>
        <v>0.22300873782502204</v>
      </c>
      <c r="T37" s="3">
        <v>2.0551354166666669</v>
      </c>
      <c r="U37" s="3">
        <v>23.139687500000001</v>
      </c>
      <c r="V37" s="7">
        <v>458.4166666666668</v>
      </c>
      <c r="W37">
        <v>48</v>
      </c>
      <c r="X37" s="21">
        <f t="shared" si="7"/>
        <v>54.851893169690371</v>
      </c>
      <c r="Y37" s="21">
        <f t="shared" si="8"/>
        <v>-65.211493462184777</v>
      </c>
      <c r="Z37" s="21">
        <f t="shared" si="12"/>
        <v>-10.359600292494404</v>
      </c>
      <c r="AA37" s="224">
        <f t="shared" si="5"/>
        <v>65.211493462184777</v>
      </c>
      <c r="AB37" s="199">
        <f t="shared" si="6"/>
        <v>0.84113842909453085</v>
      </c>
      <c r="AD37" s="13">
        <f t="shared" si="15"/>
        <v>14.937471045197745</v>
      </c>
      <c r="AE37" s="3">
        <f t="shared" si="16"/>
        <v>2.2458729166666682</v>
      </c>
      <c r="AG37" s="334">
        <v>41410</v>
      </c>
      <c r="AH37" s="349">
        <v>2.1404580000000002</v>
      </c>
      <c r="AI37" s="349">
        <v>3.7320000000000002</v>
      </c>
      <c r="AK37" s="226">
        <v>35</v>
      </c>
      <c r="AL37" s="228">
        <v>35</v>
      </c>
      <c r="AM37" s="225">
        <v>2.1503749999999999</v>
      </c>
      <c r="AN37" s="225">
        <v>3.1269999999999998</v>
      </c>
      <c r="AQ37" s="245">
        <v>2.1821545000000002</v>
      </c>
      <c r="AR37" s="245">
        <v>-30.540842999999999</v>
      </c>
      <c r="AS37" s="244">
        <f t="shared" si="10"/>
        <v>52.037949314285711</v>
      </c>
      <c r="AT37" s="244">
        <f t="shared" si="11"/>
        <v>60.682414142857148</v>
      </c>
    </row>
    <row r="38" spans="1:46" ht="13.8" thickBot="1">
      <c r="A38" s="2">
        <v>41411</v>
      </c>
      <c r="B38" s="3">
        <v>24.463947899011291</v>
      </c>
      <c r="C38" s="3">
        <v>25.663868997175143</v>
      </c>
      <c r="D38" s="3">
        <v>16.50346762686274</v>
      </c>
      <c r="E38" s="7">
        <v>225.18680481991521</v>
      </c>
      <c r="F38" s="4">
        <v>0.99955354689374909</v>
      </c>
      <c r="G38" s="4">
        <v>0.93170197740113003</v>
      </c>
      <c r="H38" s="3">
        <v>13.345729343220334</v>
      </c>
      <c r="I38" s="4">
        <v>0.50163541666666667</v>
      </c>
      <c r="J38" s="3">
        <v>-0.22453703703700623</v>
      </c>
      <c r="K38" s="3">
        <v>-3.5208333333333077</v>
      </c>
      <c r="L38" s="4">
        <v>-8.589712262113791E-4</v>
      </c>
      <c r="M38" s="4">
        <v>9.8018407267141151E-3</v>
      </c>
      <c r="N38" s="4">
        <f t="shared" si="13"/>
        <v>3.8255213373542957E-3</v>
      </c>
      <c r="O38" s="4">
        <f t="shared" si="14"/>
        <v>-2.7839547626170471E-3</v>
      </c>
      <c r="P38" s="7">
        <v>44.919500720386338</v>
      </c>
      <c r="Q38" s="7">
        <v>-84.735244177440535</v>
      </c>
      <c r="R38" s="7">
        <v>-39.815743457054197</v>
      </c>
      <c r="S38" s="4">
        <f t="shared" si="4"/>
        <v>0.53011590580092371</v>
      </c>
      <c r="T38" s="3">
        <v>3.0997187499999996</v>
      </c>
      <c r="U38" s="3">
        <v>23.998750000000001</v>
      </c>
      <c r="V38" s="7">
        <v>482.85370370370373</v>
      </c>
      <c r="W38">
        <v>48</v>
      </c>
      <c r="X38" s="21">
        <f t="shared" si="7"/>
        <v>60.249658949841482</v>
      </c>
      <c r="Y38" s="21">
        <f t="shared" si="8"/>
        <v>-76.822191219612407</v>
      </c>
      <c r="Z38" s="21">
        <f t="shared" si="12"/>
        <v>-16.572532269770935</v>
      </c>
      <c r="AA38" s="224">
        <f t="shared" ref="AA38:AA69" si="17">-Y38</f>
        <v>76.822191219612407</v>
      </c>
      <c r="AB38" s="199">
        <f t="shared" ref="AB38:AB69" si="18">X38/-Y38</f>
        <v>0.78427415299317804</v>
      </c>
      <c r="AD38" s="13">
        <f t="shared" si="15"/>
        <v>13.345729343220334</v>
      </c>
      <c r="AE38" s="3">
        <f t="shared" si="16"/>
        <v>1.5458290960451979</v>
      </c>
      <c r="AG38" s="334">
        <v>41411</v>
      </c>
      <c r="AH38" s="349">
        <v>2.466583</v>
      </c>
      <c r="AI38" s="349">
        <v>4.1760000000000002</v>
      </c>
      <c r="AK38" s="226">
        <v>36</v>
      </c>
      <c r="AL38" s="229">
        <v>36</v>
      </c>
      <c r="AM38" s="227">
        <v>3.1923330000000001</v>
      </c>
      <c r="AN38" s="227">
        <v>6.6349999999999998</v>
      </c>
      <c r="AQ38" s="246">
        <v>61.728234499999999</v>
      </c>
      <c r="AR38" s="246">
        <v>-104.551616</v>
      </c>
      <c r="AS38" s="244">
        <f t="shared" si="10"/>
        <v>58.092151828571424</v>
      </c>
      <c r="AT38" s="244">
        <f t="shared" si="11"/>
        <v>73.972869714285707</v>
      </c>
    </row>
    <row r="39" spans="1:46" ht="13.8" thickBot="1">
      <c r="A39" s="2">
        <v>41412</v>
      </c>
      <c r="B39" s="3">
        <v>25.278140448446326</v>
      </c>
      <c r="C39" s="3">
        <v>25.786244879943499</v>
      </c>
      <c r="D39" s="3">
        <v>16.359029693359506</v>
      </c>
      <c r="E39" s="7">
        <v>221.03688868290962</v>
      </c>
      <c r="F39" s="4">
        <v>0.99588555102961152</v>
      </c>
      <c r="G39" s="4">
        <v>0.88028831214689285</v>
      </c>
      <c r="H39" s="3">
        <v>11.683431144067796</v>
      </c>
      <c r="I39" s="4">
        <v>0.36288294491525425</v>
      </c>
      <c r="J39" s="3">
        <v>1.6175925925925621</v>
      </c>
      <c r="K39" s="3">
        <v>-3.674404761904662</v>
      </c>
      <c r="L39" s="4">
        <v>1.5657152658569212E-3</v>
      </c>
      <c r="M39" s="4">
        <v>6.9784692557588049E-3</v>
      </c>
      <c r="N39" s="4">
        <f t="shared" si="13"/>
        <v>9.6792930001460037E-4</v>
      </c>
      <c r="O39" s="4">
        <f t="shared" si="14"/>
        <v>-1.8992108131662257E-3</v>
      </c>
      <c r="P39" s="7">
        <v>71.956487306951729</v>
      </c>
      <c r="Q39" s="7">
        <v>-88.353197547850101</v>
      </c>
      <c r="R39" s="7">
        <v>-16.396710240898372</v>
      </c>
      <c r="S39" s="4">
        <f t="shared" si="4"/>
        <v>0.81441859835329355</v>
      </c>
      <c r="T39" s="3">
        <v>3.2242604166666671</v>
      </c>
      <c r="U39" s="3">
        <v>24.418854166666662</v>
      </c>
      <c r="V39" s="7">
        <v>542.82592592592584</v>
      </c>
      <c r="W39">
        <v>48</v>
      </c>
      <c r="X39" s="21">
        <f t="shared" ref="X39:X70" si="19">AVERAGE(P36:P42)</f>
        <v>69.576426494823224</v>
      </c>
      <c r="Y39" s="21">
        <f t="shared" ref="Y39:Y70" si="20">AVERAGE(Q36:Q42)</f>
        <v>-92.200011205332501</v>
      </c>
      <c r="Z39" s="21">
        <f t="shared" ref="Z39:Z54" si="21">AVERAGE(R36:R42)</f>
        <v>-22.623584710509267</v>
      </c>
      <c r="AA39" s="224">
        <f t="shared" si="17"/>
        <v>92.200011205332501</v>
      </c>
      <c r="AB39" s="199">
        <f t="shared" si="18"/>
        <v>0.75462492450108498</v>
      </c>
      <c r="AD39" s="13">
        <f t="shared" si="15"/>
        <v>11.683431144067796</v>
      </c>
      <c r="AE39" s="3">
        <f t="shared" si="16"/>
        <v>1.309326235875707</v>
      </c>
      <c r="AG39" s="334">
        <v>41412</v>
      </c>
      <c r="AH39" s="349">
        <v>3.534583</v>
      </c>
      <c r="AI39" s="349">
        <v>6.6349999999999998</v>
      </c>
      <c r="AK39" s="226">
        <v>37</v>
      </c>
      <c r="AL39" s="228">
        <v>37</v>
      </c>
      <c r="AM39" s="225">
        <v>3.4520420000000001</v>
      </c>
      <c r="AN39" s="225">
        <v>5.9059999999999997</v>
      </c>
      <c r="AQ39" s="245">
        <v>73.695543499999999</v>
      </c>
      <c r="AR39" s="245">
        <v>-83.960746999999998</v>
      </c>
      <c r="AS39" s="244">
        <f t="shared" si="10"/>
        <v>70.270280814285712</v>
      </c>
      <c r="AT39" s="244">
        <f t="shared" si="11"/>
        <v>92.979590714285706</v>
      </c>
    </row>
    <row r="40" spans="1:46" ht="13.8" thickBot="1">
      <c r="A40" s="2">
        <v>41413</v>
      </c>
      <c r="B40" s="3">
        <v>25.718528689971748</v>
      </c>
      <c r="C40" s="3">
        <v>26.054543785310731</v>
      </c>
      <c r="D40" s="3">
        <v>16.43025547791866</v>
      </c>
      <c r="E40" s="7">
        <v>217.45492915783902</v>
      </c>
      <c r="F40" s="4">
        <v>0.98870712936970329</v>
      </c>
      <c r="G40" s="4">
        <v>0.86852577683615817</v>
      </c>
      <c r="H40" s="3">
        <v>11.119592337570625</v>
      </c>
      <c r="I40" s="4">
        <v>0.32247669491525416</v>
      </c>
      <c r="J40" s="3">
        <v>1.1513888888888502</v>
      </c>
      <c r="K40" s="3">
        <v>-3.8425595238095864</v>
      </c>
      <c r="L40" s="4">
        <v>1.1089064146650729E-2</v>
      </c>
      <c r="M40" s="4">
        <v>1.2068081933894423E-2</v>
      </c>
      <c r="N40" s="4">
        <f t="shared" si="13"/>
        <v>9.631032793231355E-3</v>
      </c>
      <c r="O40" s="4">
        <f t="shared" si="14"/>
        <v>-3.1406363022139726E-3</v>
      </c>
      <c r="P40" s="7">
        <v>68.264008216639894</v>
      </c>
      <c r="Q40" s="7">
        <v>-92.511062537843529</v>
      </c>
      <c r="R40" s="7">
        <v>-24.247054321203635</v>
      </c>
      <c r="S40" s="4">
        <f t="shared" si="4"/>
        <v>0.7379010287414558</v>
      </c>
      <c r="T40" s="3">
        <v>2.4204062499999996</v>
      </c>
      <c r="U40" s="3">
        <v>24.696458333333339</v>
      </c>
      <c r="V40" s="7">
        <v>394.46111111111099</v>
      </c>
      <c r="W40">
        <v>48</v>
      </c>
      <c r="X40" s="21">
        <f t="shared" si="19"/>
        <v>68.092701361472606</v>
      </c>
      <c r="Y40" s="21">
        <f t="shared" si="20"/>
        <v>-82.592672072112563</v>
      </c>
      <c r="Z40" s="21">
        <f t="shared" si="21"/>
        <v>-14.499970710639953</v>
      </c>
      <c r="AA40" s="224">
        <f t="shared" si="17"/>
        <v>82.592672072112563</v>
      </c>
      <c r="AB40" s="199">
        <f t="shared" si="18"/>
        <v>0.82443998545076891</v>
      </c>
      <c r="AD40" s="13">
        <f t="shared" si="15"/>
        <v>11.119592337570625</v>
      </c>
      <c r="AE40" s="3">
        <f t="shared" si="16"/>
        <v>1.255218573446327</v>
      </c>
      <c r="AG40" s="334">
        <v>41413</v>
      </c>
      <c r="AH40" s="349">
        <v>2.7442709999999999</v>
      </c>
      <c r="AI40" s="349">
        <v>5.9059999999999997</v>
      </c>
      <c r="AK40" s="226">
        <v>38</v>
      </c>
      <c r="AL40" s="229">
        <v>38</v>
      </c>
      <c r="AM40" s="227">
        <v>2.2370830000000002</v>
      </c>
      <c r="AN40" s="227">
        <v>5.9889999999999999</v>
      </c>
      <c r="AQ40" s="247">
        <v>54.837898500000001</v>
      </c>
      <c r="AR40" s="247">
        <v>-77.102281000000005</v>
      </c>
      <c r="AS40" s="244">
        <f t="shared" si="10"/>
        <v>69.148140342857133</v>
      </c>
      <c r="AT40" s="244">
        <f t="shared" si="11"/>
        <v>82.334553571428586</v>
      </c>
    </row>
    <row r="41" spans="1:46" ht="13.8" thickBot="1">
      <c r="A41" s="2">
        <v>41414</v>
      </c>
      <c r="B41" s="3">
        <v>26.158668820621461</v>
      </c>
      <c r="C41" s="3">
        <v>26.045504237288132</v>
      </c>
      <c r="D41" s="3">
        <v>16.291232978447319</v>
      </c>
      <c r="E41" s="7">
        <v>218.83163400423732</v>
      </c>
      <c r="F41" s="4">
        <v>1.0025125083336957</v>
      </c>
      <c r="G41" s="4">
        <v>0.94667937853107331</v>
      </c>
      <c r="H41" s="3">
        <v>10.907237111581916</v>
      </c>
      <c r="I41" s="4">
        <v>0.36944756355932201</v>
      </c>
      <c r="J41" s="3">
        <v>3.7891203703703531</v>
      </c>
      <c r="K41" s="3">
        <v>-3.6961309523809796</v>
      </c>
      <c r="L41" s="4">
        <v>6.3700461752735438E-4</v>
      </c>
      <c r="M41" s="4">
        <v>1.6652388683753214E-3</v>
      </c>
      <c r="N41" s="4">
        <f t="shared" si="13"/>
        <v>1.6811411495620891E-4</v>
      </c>
      <c r="O41" s="4">
        <f t="shared" si="14"/>
        <v>-4.5053567901932835E-4</v>
      </c>
      <c r="P41" s="7">
        <v>102.31248727903321</v>
      </c>
      <c r="Q41" s="7">
        <v>-88.747108589984521</v>
      </c>
      <c r="R41" s="7">
        <v>13.565378689048686</v>
      </c>
      <c r="S41" s="4">
        <f t="shared" si="4"/>
        <v>1.1528543172231258</v>
      </c>
      <c r="T41" s="3">
        <v>2.7182708333333334</v>
      </c>
      <c r="U41" s="3">
        <v>25.245729166666674</v>
      </c>
      <c r="V41" s="7">
        <v>551.40555555555568</v>
      </c>
      <c r="W41">
        <v>48</v>
      </c>
      <c r="X41" s="21">
        <f t="shared" si="19"/>
        <v>73.486434531920509</v>
      </c>
      <c r="Y41" s="21">
        <f t="shared" si="20"/>
        <v>-87.325964258102204</v>
      </c>
      <c r="Z41" s="21">
        <f t="shared" si="21"/>
        <v>-13.839529726181704</v>
      </c>
      <c r="AA41" s="224">
        <f t="shared" si="17"/>
        <v>87.325964258102204</v>
      </c>
      <c r="AB41" s="199">
        <f t="shared" si="18"/>
        <v>0.84151872992461518</v>
      </c>
      <c r="AD41" s="13">
        <f t="shared" si="15"/>
        <v>10.907237111581916</v>
      </c>
      <c r="AE41" s="3">
        <f t="shared" si="16"/>
        <v>1.6147251412429364</v>
      </c>
      <c r="AG41" s="334">
        <v>41414</v>
      </c>
      <c r="AH41" s="349">
        <v>2.5617079999999999</v>
      </c>
      <c r="AI41" s="349">
        <v>5.9889999999999999</v>
      </c>
      <c r="AK41" s="226">
        <v>39</v>
      </c>
      <c r="AL41" s="228">
        <v>39</v>
      </c>
      <c r="AM41" s="225">
        <v>2.435521</v>
      </c>
      <c r="AN41" s="225">
        <v>4.2510000000000003</v>
      </c>
      <c r="AQ41" s="245">
        <v>101.6290072</v>
      </c>
      <c r="AR41" s="245">
        <v>-89.132090000000005</v>
      </c>
      <c r="AS41" s="244">
        <f t="shared" si="10"/>
        <v>76.736411914285711</v>
      </c>
      <c r="AT41" s="244">
        <f t="shared" si="11"/>
        <v>90.817906142857154</v>
      </c>
    </row>
    <row r="42" spans="1:46" ht="13.8" thickBot="1">
      <c r="A42" s="2">
        <v>41415</v>
      </c>
      <c r="B42" s="3">
        <v>27.104288771186457</v>
      </c>
      <c r="C42" s="3">
        <v>24.814019067796607</v>
      </c>
      <c r="D42" s="3">
        <v>15.079357613688138</v>
      </c>
      <c r="E42" s="7">
        <v>217.94609595692089</v>
      </c>
      <c r="F42" s="4">
        <v>1.0076632385669109</v>
      </c>
      <c r="G42" s="4">
        <v>0.94363718220338966</v>
      </c>
      <c r="H42" s="3">
        <v>10.762946327683608</v>
      </c>
      <c r="I42" s="4">
        <v>0.34345338983050838</v>
      </c>
      <c r="J42" s="3">
        <v>3.10324074074087</v>
      </c>
      <c r="K42" s="3">
        <v>-5.572023809523901</v>
      </c>
      <c r="L42" s="4">
        <v>-7.9116927769345181E-3</v>
      </c>
      <c r="M42" s="4">
        <v>-3.6195425941460057E-3</v>
      </c>
      <c r="N42" s="4">
        <f t="shared" si="13"/>
        <v>-2.5494937189583541E-3</v>
      </c>
      <c r="O42" s="4">
        <f t="shared" si="14"/>
        <v>6.4959209039260654E-4</v>
      </c>
      <c r="P42" s="7">
        <v>118.6206082394539</v>
      </c>
      <c r="Q42" s="7">
        <v>-133.6417024063141</v>
      </c>
      <c r="R42" s="7">
        <v>-15.021094166860195</v>
      </c>
      <c r="S42" s="4">
        <f t="shared" si="4"/>
        <v>0.88760174484165733</v>
      </c>
      <c r="T42" s="3">
        <v>2.1486562500000006</v>
      </c>
      <c r="U42" s="3">
        <v>25.4025</v>
      </c>
      <c r="V42" s="7">
        <v>571.39444444444439</v>
      </c>
      <c r="W42">
        <v>48</v>
      </c>
      <c r="X42" s="21">
        <f t="shared" si="19"/>
        <v>80.203880271676212</v>
      </c>
      <c r="Y42" s="21">
        <f t="shared" si="20"/>
        <v>-93.59055993437849</v>
      </c>
      <c r="Z42" s="21">
        <f t="shared" si="21"/>
        <v>-13.386679662702297</v>
      </c>
      <c r="AA42" s="224">
        <f t="shared" si="17"/>
        <v>93.59055993437849</v>
      </c>
      <c r="AB42" s="199">
        <f t="shared" si="18"/>
        <v>0.85696549233076047</v>
      </c>
      <c r="AD42" s="13">
        <f t="shared" si="15"/>
        <v>10.762946327683608</v>
      </c>
      <c r="AE42" s="3">
        <f t="shared" si="16"/>
        <v>1.6007310381355921</v>
      </c>
      <c r="AG42" s="334">
        <v>41415</v>
      </c>
      <c r="AH42" s="349">
        <v>2.3833959999999998</v>
      </c>
      <c r="AI42" s="349">
        <v>3.7160000000000002</v>
      </c>
      <c r="AK42" s="226">
        <v>40</v>
      </c>
      <c r="AL42" s="229">
        <v>40</v>
      </c>
      <c r="AM42" s="227">
        <v>2.1634380000000002</v>
      </c>
      <c r="AN42" s="227">
        <v>3.4220000000000002</v>
      </c>
      <c r="AQ42" s="247">
        <v>133.4698258</v>
      </c>
      <c r="AR42" s="247">
        <v>-149.45115699999999</v>
      </c>
      <c r="AS42" s="244">
        <f t="shared" si="10"/>
        <v>79.076616971428578</v>
      </c>
      <c r="AT42" s="244">
        <f t="shared" si="11"/>
        <v>91.037170857142854</v>
      </c>
    </row>
    <row r="43" spans="1:46" ht="13.8" thickBot="1">
      <c r="A43" s="2">
        <v>41416</v>
      </c>
      <c r="B43" s="3">
        <v>27.026956267655365</v>
      </c>
      <c r="C43" s="3">
        <v>24.227572740112986</v>
      </c>
      <c r="D43" s="3">
        <v>14.664928550199585</v>
      </c>
      <c r="E43" s="7">
        <v>215.95679952330514</v>
      </c>
      <c r="F43" s="4">
        <v>0.99379276384387916</v>
      </c>
      <c r="G43" s="4">
        <v>0.96755685028248639</v>
      </c>
      <c r="H43" s="3">
        <v>12.088289018361579</v>
      </c>
      <c r="I43" s="4">
        <v>0.36516331214689263</v>
      </c>
      <c r="J43" s="3">
        <v>2.5113425925925443</v>
      </c>
      <c r="K43" s="3">
        <v>-1.9443452380952173</v>
      </c>
      <c r="L43" s="4">
        <v>2.8809056307454229E-3</v>
      </c>
      <c r="M43" s="4">
        <v>2.499098064300184E-3</v>
      </c>
      <c r="N43" s="4">
        <f t="shared" si="13"/>
        <v>1.147157555979396E-3</v>
      </c>
      <c r="O43" s="4">
        <f t="shared" si="14"/>
        <v>-1.28531601041615E-3</v>
      </c>
      <c r="P43" s="7">
        <v>60.889182315993324</v>
      </c>
      <c r="Q43" s="7">
        <v>-46.724264067828408</v>
      </c>
      <c r="R43" s="7">
        <v>14.164918248164916</v>
      </c>
      <c r="S43" s="4">
        <f t="shared" si="4"/>
        <v>1.3031597935411474</v>
      </c>
      <c r="T43" s="3">
        <v>3.57765625</v>
      </c>
      <c r="U43" s="3">
        <v>25.274374999999999</v>
      </c>
      <c r="V43" s="7">
        <v>385.38888888888903</v>
      </c>
      <c r="W43">
        <v>48</v>
      </c>
      <c r="X43" s="21">
        <f t="shared" si="19"/>
        <v>82.74359978865445</v>
      </c>
      <c r="Y43" s="21">
        <f t="shared" si="20"/>
        <v>-86.930712708047153</v>
      </c>
      <c r="Z43" s="21">
        <f t="shared" si="21"/>
        <v>-4.1871129193927015</v>
      </c>
      <c r="AA43" s="224">
        <f t="shared" si="17"/>
        <v>86.930712708047153</v>
      </c>
      <c r="AB43" s="199">
        <f t="shared" si="18"/>
        <v>0.95183390554435077</v>
      </c>
      <c r="AD43" s="13">
        <f t="shared" si="15"/>
        <v>12.088289018361579</v>
      </c>
      <c r="AE43" s="3">
        <f t="shared" si="16"/>
        <v>1.7107615112994372</v>
      </c>
      <c r="AG43" s="334">
        <v>41416</v>
      </c>
      <c r="AH43" s="349">
        <v>2.9189790000000002</v>
      </c>
      <c r="AI43" s="349">
        <v>5.5510000000000002</v>
      </c>
      <c r="AK43" s="226">
        <v>41</v>
      </c>
      <c r="AL43" s="228">
        <v>41</v>
      </c>
      <c r="AM43" s="225">
        <v>3.7706460000000002</v>
      </c>
      <c r="AN43" s="225">
        <v>5.718</v>
      </c>
      <c r="AQ43" s="248">
        <v>56.494318399999997</v>
      </c>
      <c r="AR43" s="248">
        <v>-41.603141000000001</v>
      </c>
      <c r="AS43" s="244">
        <f t="shared" si="10"/>
        <v>82.427075171428569</v>
      </c>
      <c r="AT43" s="244">
        <f t="shared" si="11"/>
        <v>85.859851142857138</v>
      </c>
    </row>
    <row r="44" spans="1:46" ht="13.8" thickBot="1">
      <c r="A44" s="2">
        <v>41417</v>
      </c>
      <c r="B44" s="3">
        <v>27.413123322740123</v>
      </c>
      <c r="C44" s="3">
        <v>24.865853283898314</v>
      </c>
      <c r="D44" s="3">
        <v>15.023380187615038</v>
      </c>
      <c r="E44" s="7">
        <v>211.82825189795196</v>
      </c>
      <c r="F44" s="4">
        <v>0.98469821671847013</v>
      </c>
      <c r="G44" s="4">
        <v>0.89713047316384176</v>
      </c>
      <c r="H44" s="3">
        <v>11.924936970338983</v>
      </c>
      <c r="I44" s="4">
        <v>0.43798516949152533</v>
      </c>
      <c r="J44" s="3">
        <v>0.28124999999997408</v>
      </c>
      <c r="K44" s="3">
        <v>-3.144642857142836</v>
      </c>
      <c r="L44" s="4">
        <v>2.10080506892651E-4</v>
      </c>
      <c r="M44" s="4">
        <v>4.5739246167759075E-2</v>
      </c>
      <c r="N44" s="4">
        <f t="shared" si="13"/>
        <v>7.4695291339616128E-4</v>
      </c>
      <c r="O44" s="4">
        <f t="shared" si="14"/>
        <v>-1.4545132228248299E-2</v>
      </c>
      <c r="P44" s="7">
        <v>47.442767644985146</v>
      </c>
      <c r="Q44" s="7">
        <v>-76.569170479454272</v>
      </c>
      <c r="R44" s="7">
        <v>-29.126402834469125</v>
      </c>
      <c r="S44" s="4">
        <f t="shared" si="4"/>
        <v>0.61960665562800388</v>
      </c>
      <c r="T44" s="3">
        <v>4.4659583333333339</v>
      </c>
      <c r="U44" s="3">
        <v>26.130937500000002</v>
      </c>
      <c r="V44" s="7">
        <v>564.12777777777762</v>
      </c>
      <c r="W44">
        <v>48</v>
      </c>
      <c r="X44" s="21">
        <f t="shared" si="19"/>
        <v>73.393500543646809</v>
      </c>
      <c r="Y44" s="21">
        <f t="shared" si="20"/>
        <v>-71.153388677437391</v>
      </c>
      <c r="Z44" s="21">
        <f t="shared" si="21"/>
        <v>2.2401118662094239</v>
      </c>
      <c r="AA44" s="224">
        <f t="shared" si="17"/>
        <v>71.153388677437391</v>
      </c>
      <c r="AB44" s="199">
        <f t="shared" si="18"/>
        <v>1.0314828556706499</v>
      </c>
      <c r="AD44" s="13">
        <f t="shared" si="15"/>
        <v>11.924936970338983</v>
      </c>
      <c r="AE44" s="3">
        <f t="shared" si="16"/>
        <v>1.3868001765536713</v>
      </c>
      <c r="AG44" s="334">
        <v>41417</v>
      </c>
      <c r="AH44" s="349">
        <v>4.451937</v>
      </c>
      <c r="AI44" s="349">
        <v>7.641</v>
      </c>
      <c r="AK44" s="226">
        <v>42</v>
      </c>
      <c r="AL44" s="229">
        <v>42</v>
      </c>
      <c r="AM44" s="227">
        <v>5.04725</v>
      </c>
      <c r="AN44" s="227">
        <v>7.641</v>
      </c>
      <c r="AQ44" s="246">
        <v>55.300055499999999</v>
      </c>
      <c r="AR44" s="246">
        <v>-89.924311000000003</v>
      </c>
      <c r="AS44" s="244">
        <f t="shared" si="10"/>
        <v>85.404962585714287</v>
      </c>
      <c r="AT44" s="244">
        <f t="shared" si="11"/>
        <v>84.02203885714286</v>
      </c>
    </row>
    <row r="45" spans="1:46" ht="13.8" thickBot="1">
      <c r="A45" s="2">
        <v>41418</v>
      </c>
      <c r="B45" s="3">
        <v>26.944505137711857</v>
      </c>
      <c r="C45" s="3">
        <v>25.623006002824852</v>
      </c>
      <c r="D45" s="3">
        <v>15.73538352647674</v>
      </c>
      <c r="E45" s="7">
        <v>206.05387645656785</v>
      </c>
      <c r="F45" s="4">
        <v>0.95434544103292918</v>
      </c>
      <c r="G45" s="4">
        <v>1.0666341807909601</v>
      </c>
      <c r="H45" s="3">
        <v>12.554750706214682</v>
      </c>
      <c r="I45" s="4">
        <v>0.72657768361581898</v>
      </c>
      <c r="J45" s="3">
        <v>1.4701388888888909</v>
      </c>
      <c r="K45" s="3">
        <v>-5.1934523809522561</v>
      </c>
      <c r="L45" s="4">
        <v>0.10051212635015876</v>
      </c>
      <c r="M45" s="4">
        <v>0.16435653202168723</v>
      </c>
      <c r="N45" s="4">
        <f t="shared" si="13"/>
        <v>6.8369136487590187E-2</v>
      </c>
      <c r="O45" s="4">
        <f t="shared" si="14"/>
        <v>-3.1646873787557726E-2</v>
      </c>
      <c r="P45" s="7">
        <v>91.941620898676291</v>
      </c>
      <c r="Q45" s="7">
        <v>-128.58741391137465</v>
      </c>
      <c r="R45" s="7">
        <v>-36.645793012698363</v>
      </c>
      <c r="S45" s="4">
        <f t="shared" si="4"/>
        <v>0.71501259806068218</v>
      </c>
      <c r="T45" s="3">
        <v>6.0884791666666658</v>
      </c>
      <c r="U45" s="3">
        <v>26.454999999999998</v>
      </c>
      <c r="V45" s="7">
        <v>557.79444444444448</v>
      </c>
      <c r="W45">
        <v>48</v>
      </c>
      <c r="X45" s="21">
        <f t="shared" si="19"/>
        <v>84.267353464978854</v>
      </c>
      <c r="Y45" s="21">
        <f t="shared" si="20"/>
        <v>-91.015412201741682</v>
      </c>
      <c r="Z45" s="21">
        <f t="shared" si="21"/>
        <v>-6.7480587367628271</v>
      </c>
      <c r="AA45" s="224">
        <f t="shared" si="17"/>
        <v>91.015412201741682</v>
      </c>
      <c r="AB45" s="199">
        <f t="shared" si="18"/>
        <v>0.9258580654251688</v>
      </c>
      <c r="AD45" s="13">
        <f t="shared" si="15"/>
        <v>12.554750706214682</v>
      </c>
      <c r="AE45" s="3">
        <f t="shared" si="16"/>
        <v>2.1665172316384158</v>
      </c>
      <c r="AG45" s="334">
        <v>41418</v>
      </c>
      <c r="AH45" s="349">
        <v>5.4042500000000002</v>
      </c>
      <c r="AI45" s="349">
        <v>6.7610000000000001</v>
      </c>
      <c r="AK45" s="226">
        <v>43</v>
      </c>
      <c r="AL45" s="228">
        <v>43</v>
      </c>
      <c r="AM45" s="225">
        <v>6.212771</v>
      </c>
      <c r="AN45" s="225">
        <v>9.2989999999999995</v>
      </c>
      <c r="AQ45" s="245">
        <v>78.1096699</v>
      </c>
      <c r="AR45" s="245">
        <v>-106.08646899999999</v>
      </c>
      <c r="AS45" s="244">
        <f t="shared" si="10"/>
        <v>100.91584335714286</v>
      </c>
      <c r="AT45" s="244">
        <f t="shared" si="11"/>
        <v>105.53184185714285</v>
      </c>
    </row>
    <row r="46" spans="1:46" ht="13.8" thickBot="1">
      <c r="A46" s="2">
        <v>41419</v>
      </c>
      <c r="B46" s="3">
        <v>26.019584163135594</v>
      </c>
      <c r="C46" s="3">
        <v>25.872747351694912</v>
      </c>
      <c r="D46" s="3">
        <v>16.204134805740939</v>
      </c>
      <c r="E46" s="7">
        <v>210.3893063647599</v>
      </c>
      <c r="F46" s="4">
        <v>0.96055092572958678</v>
      </c>
      <c r="G46" s="4">
        <v>1.0030506709039542</v>
      </c>
      <c r="H46" s="3">
        <v>11.91878478107345</v>
      </c>
      <c r="I46" s="4">
        <v>0.62286581920903961</v>
      </c>
      <c r="J46" s="3">
        <v>4.8708333333333362</v>
      </c>
      <c r="K46" s="3">
        <v>-1.7336309523811066</v>
      </c>
      <c r="L46" s="4">
        <v>8.3613928876818289E-2</v>
      </c>
      <c r="M46" s="4">
        <v>5.29683776599947E-3</v>
      </c>
      <c r="N46" s="4">
        <f t="shared" si="13"/>
        <v>1.7166247160339074E-2</v>
      </c>
      <c r="O46" s="4">
        <f t="shared" si="14"/>
        <v>-3.0553433294002808E-3</v>
      </c>
      <c r="P46" s="7">
        <v>89.734523925799323</v>
      </c>
      <c r="Q46" s="7">
        <v>-41.734266963530516</v>
      </c>
      <c r="R46" s="7">
        <v>48.000256962268807</v>
      </c>
      <c r="S46" s="4">
        <f t="shared" si="4"/>
        <v>2.1501401714857917</v>
      </c>
      <c r="T46" s="3">
        <v>2.6548958333333332</v>
      </c>
      <c r="U46" s="3">
        <v>24.186458333333331</v>
      </c>
      <c r="V46" s="7">
        <v>585.42222222222222</v>
      </c>
      <c r="W46">
        <v>48</v>
      </c>
      <c r="X46" s="21">
        <f t="shared" si="19"/>
        <v>88.808276347632997</v>
      </c>
      <c r="Y46" s="21">
        <f t="shared" si="20"/>
        <v>-98.177866523578942</v>
      </c>
      <c r="Z46" s="21">
        <f t="shared" si="21"/>
        <v>-9.3695901759459552</v>
      </c>
      <c r="AA46" s="224">
        <f t="shared" si="17"/>
        <v>98.177866523578942</v>
      </c>
      <c r="AB46" s="199">
        <f t="shared" si="18"/>
        <v>0.90456514785136732</v>
      </c>
      <c r="AD46" s="13">
        <f t="shared" si="15"/>
        <v>11.91878478107345</v>
      </c>
      <c r="AE46" s="3">
        <f t="shared" si="16"/>
        <v>1.8740330861581889</v>
      </c>
      <c r="AG46" s="334">
        <v>41419</v>
      </c>
      <c r="AH46" s="349">
        <v>4.320417</v>
      </c>
      <c r="AI46" s="349">
        <v>9.2989999999999995</v>
      </c>
      <c r="AK46" s="226">
        <v>44</v>
      </c>
      <c r="AL46" s="229">
        <v>44</v>
      </c>
      <c r="AM46" s="227">
        <v>2.1687289999999999</v>
      </c>
      <c r="AN46" s="227">
        <v>5.2649999999999997</v>
      </c>
      <c r="AQ46" s="246">
        <v>97.148750899999996</v>
      </c>
      <c r="AR46" s="246">
        <v>-47.719509000000002</v>
      </c>
      <c r="AS46" s="244">
        <f t="shared" si="10"/>
        <v>99.426041414285706</v>
      </c>
      <c r="AT46" s="244">
        <f t="shared" si="11"/>
        <v>107.14408757142857</v>
      </c>
    </row>
    <row r="47" spans="1:46" ht="13.8" thickBot="1">
      <c r="A47" s="2">
        <v>41420</v>
      </c>
      <c r="B47" s="3">
        <v>26.229774523305085</v>
      </c>
      <c r="C47" s="3">
        <v>26.331548375706205</v>
      </c>
      <c r="D47" s="3">
        <v>16.484497351185492</v>
      </c>
      <c r="E47" s="7">
        <v>211.95543674964679</v>
      </c>
      <c r="F47" s="4">
        <v>0.97374725470839796</v>
      </c>
      <c r="G47" s="4">
        <v>1.0265919844632767</v>
      </c>
      <c r="H47" s="3">
        <v>11.732908721751416</v>
      </c>
      <c r="I47" s="4">
        <v>0.73705049435028236</v>
      </c>
      <c r="J47" s="3">
        <v>0.98125000000002072</v>
      </c>
      <c r="K47" s="3">
        <v>0.75714285714290475</v>
      </c>
      <c r="L47" s="4">
        <v>2.9553478518457806E-2</v>
      </c>
      <c r="M47" s="4">
        <v>1.0050953958540066E-2</v>
      </c>
      <c r="N47" s="4">
        <f t="shared" si="13"/>
        <v>3.0118194668491395E-2</v>
      </c>
      <c r="O47" s="4">
        <f t="shared" si="14"/>
        <v>1.327484485090114E-2</v>
      </c>
      <c r="P47" s="7">
        <v>2.8133135015864768</v>
      </c>
      <c r="Q47" s="7">
        <v>17.930205676424762</v>
      </c>
      <c r="R47" s="7">
        <v>20.74351917801124</v>
      </c>
      <c r="S47" s="4">
        <f t="shared" si="4"/>
        <v>-0.1569035822765556</v>
      </c>
      <c r="T47" s="3">
        <v>2.3853958333333334</v>
      </c>
      <c r="U47" s="3">
        <v>24.732604166666672</v>
      </c>
      <c r="V47" s="7">
        <v>535.51111111111118</v>
      </c>
      <c r="W47">
        <v>48</v>
      </c>
      <c r="X47" s="21">
        <f t="shared" si="19"/>
        <v>104.0915221838428</v>
      </c>
      <c r="Y47" s="21">
        <f t="shared" si="20"/>
        <v>-116.31475555749249</v>
      </c>
      <c r="Z47" s="21">
        <f t="shared" si="21"/>
        <v>-12.223233373649668</v>
      </c>
      <c r="AA47" s="224">
        <f t="shared" si="17"/>
        <v>116.31475555749249</v>
      </c>
      <c r="AB47" s="199">
        <f t="shared" si="18"/>
        <v>0.89491244412573312</v>
      </c>
      <c r="AD47" s="13">
        <f t="shared" si="15"/>
        <v>11.732908721751416</v>
      </c>
      <c r="AE47" s="3">
        <f t="shared" si="16"/>
        <v>1.9823231285310721</v>
      </c>
      <c r="AG47" s="334">
        <v>41420</v>
      </c>
      <c r="AH47" s="349">
        <v>2.197854</v>
      </c>
      <c r="AI47" s="349">
        <v>4.7869999999999999</v>
      </c>
      <c r="AK47" s="226">
        <v>45</v>
      </c>
      <c r="AL47" s="228">
        <v>45</v>
      </c>
      <c r="AM47" s="225">
        <v>2.1460210000000002</v>
      </c>
      <c r="AN47" s="225">
        <v>3.7869999999999999</v>
      </c>
      <c r="AQ47" s="245">
        <v>75.683110400000004</v>
      </c>
      <c r="AR47" s="245">
        <v>-64.237594999999999</v>
      </c>
      <c r="AS47" s="244">
        <f t="shared" si="10"/>
        <v>116.89204601428571</v>
      </c>
      <c r="AT47" s="244">
        <f t="shared" si="11"/>
        <v>127.22167542857144</v>
      </c>
    </row>
    <row r="48" spans="1:46" ht="13.8" thickBot="1">
      <c r="A48" s="2">
        <v>41421</v>
      </c>
      <c r="B48" s="3">
        <v>26.564507574152554</v>
      </c>
      <c r="C48" s="3">
        <v>25.772065677966108</v>
      </c>
      <c r="D48" s="3">
        <v>15.963545422137488</v>
      </c>
      <c r="E48" s="7">
        <v>215.03022378177971</v>
      </c>
      <c r="F48" s="4">
        <v>0.99041872589099222</v>
      </c>
      <c r="G48" s="4">
        <v>0.9381832627118647</v>
      </c>
      <c r="H48" s="3">
        <v>11.875539548022596</v>
      </c>
      <c r="I48" s="4">
        <v>0.6873389830508474</v>
      </c>
      <c r="J48" s="3">
        <v>3.4900462962963696</v>
      </c>
      <c r="K48" s="3">
        <v>-9.4848214285715962</v>
      </c>
      <c r="L48" s="4">
        <v>4.2448473447685275E-3</v>
      </c>
      <c r="M48" s="4">
        <v>6.0649572665084708E-3</v>
      </c>
      <c r="N48" s="4">
        <f t="shared" si="13"/>
        <v>1.2162725031106753E-3</v>
      </c>
      <c r="O48" s="4">
        <f t="shared" si="14"/>
        <v>-6.3943821316853684E-4</v>
      </c>
      <c r="P48" s="7">
        <v>178.42945772835748</v>
      </c>
      <c r="Q48" s="7">
        <v>-227.78127326011455</v>
      </c>
      <c r="R48" s="7">
        <v>-49.351815531757069</v>
      </c>
      <c r="S48" s="4">
        <f t="shared" si="4"/>
        <v>0.78333681770494001</v>
      </c>
      <c r="T48" s="3">
        <v>2.0461249999999995</v>
      </c>
      <c r="U48" s="3">
        <v>25.019166666666663</v>
      </c>
      <c r="V48" s="7">
        <v>580.21296296296293</v>
      </c>
      <c r="W48">
        <v>48</v>
      </c>
      <c r="X48" s="21">
        <f t="shared" si="19"/>
        <v>119.88136934226405</v>
      </c>
      <c r="Y48" s="21">
        <f t="shared" si="20"/>
        <v>-124.60355422632713</v>
      </c>
      <c r="Z48" s="21">
        <f t="shared" si="21"/>
        <v>-4.7221848840630951</v>
      </c>
      <c r="AA48" s="224">
        <f t="shared" si="17"/>
        <v>124.60355422632713</v>
      </c>
      <c r="AB48" s="199">
        <f t="shared" si="18"/>
        <v>0.9621023259458088</v>
      </c>
      <c r="AD48" s="13">
        <f t="shared" si="15"/>
        <v>11.875539548022596</v>
      </c>
      <c r="AE48" s="3">
        <f t="shared" si="16"/>
        <v>1.5756430084745769</v>
      </c>
      <c r="AG48" s="334">
        <v>41421</v>
      </c>
      <c r="AH48" s="349">
        <v>1.9939370000000001</v>
      </c>
      <c r="AI48" s="349">
        <v>3.3559999999999999</v>
      </c>
      <c r="AK48" s="226">
        <v>46</v>
      </c>
      <c r="AL48" s="229">
        <v>46</v>
      </c>
      <c r="AM48" s="227">
        <v>2.0524170000000002</v>
      </c>
      <c r="AN48" s="227">
        <v>3.32</v>
      </c>
      <c r="AQ48" s="246">
        <v>210.2051726</v>
      </c>
      <c r="AR48" s="246">
        <v>-239.70071100000001</v>
      </c>
      <c r="AS48" s="244">
        <f t="shared" si="10"/>
        <v>134.38884825714285</v>
      </c>
      <c r="AT48" s="244">
        <f t="shared" si="11"/>
        <v>137.815744</v>
      </c>
    </row>
    <row r="49" spans="1:46" ht="13.8" thickBot="1">
      <c r="A49" s="2">
        <v>41422</v>
      </c>
      <c r="B49" s="3">
        <v>26.47003513418079</v>
      </c>
      <c r="C49" s="3">
        <v>27.074495409604509</v>
      </c>
      <c r="D49" s="3">
        <v>16.969930647540895</v>
      </c>
      <c r="E49" s="7">
        <v>209.87443723516949</v>
      </c>
      <c r="F49" s="4">
        <v>0.97217208279330103</v>
      </c>
      <c r="G49" s="4">
        <v>0.97631726694915255</v>
      </c>
      <c r="H49" s="3">
        <v>10.692089159604523</v>
      </c>
      <c r="I49" s="4">
        <v>0.73287076271186447</v>
      </c>
      <c r="J49" s="3">
        <v>3.2280092592592728</v>
      </c>
      <c r="K49" s="3">
        <v>-7.6372023809523863</v>
      </c>
      <c r="L49" s="4">
        <v>1.2662576786831961E-2</v>
      </c>
      <c r="M49" s="4">
        <v>2.0251063179908234E-2</v>
      </c>
      <c r="N49" s="4">
        <f t="shared" si="13"/>
        <v>3.9227200945940368E-3</v>
      </c>
      <c r="O49" s="4">
        <f t="shared" si="14"/>
        <v>-2.6516336964456421E-3</v>
      </c>
      <c r="P49" s="7">
        <v>150.40706841803296</v>
      </c>
      <c r="Q49" s="7">
        <v>-183.77888265917505</v>
      </c>
      <c r="R49" s="7">
        <v>-33.37181424114209</v>
      </c>
      <c r="S49" s="4">
        <f t="shared" si="4"/>
        <v>0.81841322703527697</v>
      </c>
      <c r="T49" s="3">
        <v>2.5064583333333337</v>
      </c>
      <c r="U49" s="3">
        <v>25.361979166666668</v>
      </c>
      <c r="V49" s="7">
        <v>468.12777777777774</v>
      </c>
      <c r="W49">
        <v>48</v>
      </c>
      <c r="X49" s="21">
        <f t="shared" si="19"/>
        <v>124.48741859115289</v>
      </c>
      <c r="Y49" s="21">
        <f t="shared" si="20"/>
        <v>-122.84461972700667</v>
      </c>
      <c r="Z49" s="21">
        <f t="shared" si="21"/>
        <v>1.6427988641462374</v>
      </c>
      <c r="AA49" s="224">
        <f t="shared" si="17"/>
        <v>122.84461972700667</v>
      </c>
      <c r="AB49" s="199">
        <f t="shared" si="18"/>
        <v>1.0133729818025157</v>
      </c>
      <c r="AD49" s="13">
        <f t="shared" si="15"/>
        <v>10.692089159604523</v>
      </c>
      <c r="AE49" s="3">
        <f t="shared" si="16"/>
        <v>1.7510594279661014</v>
      </c>
      <c r="AG49" s="334">
        <v>41422</v>
      </c>
      <c r="AH49" s="349">
        <v>2.3910420000000001</v>
      </c>
      <c r="AI49" s="349">
        <v>3.851</v>
      </c>
      <c r="AK49" s="226">
        <v>47</v>
      </c>
      <c r="AL49" s="228">
        <v>47</v>
      </c>
      <c r="AM49" s="225">
        <v>2.7836669999999999</v>
      </c>
      <c r="AN49" s="225">
        <v>4.673</v>
      </c>
      <c r="AQ49" s="245">
        <v>123.0412122</v>
      </c>
      <c r="AR49" s="245">
        <v>-160.73687699999999</v>
      </c>
      <c r="AS49" s="244">
        <f t="shared" si="10"/>
        <v>141.32422278571428</v>
      </c>
      <c r="AT49" s="244">
        <f t="shared" si="11"/>
        <v>139.9395782857143</v>
      </c>
    </row>
    <row r="50" spans="1:46" ht="13.8" thickBot="1">
      <c r="A50" s="2">
        <v>41423</v>
      </c>
      <c r="B50" s="3">
        <v>26.497540960451971</v>
      </c>
      <c r="C50" s="3">
        <v>28.020667725988705</v>
      </c>
      <c r="D50" s="3">
        <v>17.671832282298279</v>
      </c>
      <c r="E50" s="7">
        <v>206.58782441737284</v>
      </c>
      <c r="F50" s="4">
        <v>0.96255658097523156</v>
      </c>
      <c r="G50" s="4">
        <v>0.94609427966101667</v>
      </c>
      <c r="H50" s="3">
        <v>9.8807168079096019</v>
      </c>
      <c r="I50" s="4">
        <v>0.82667937853107265</v>
      </c>
      <c r="J50" s="3">
        <v>4.9412037037036844</v>
      </c>
      <c r="K50" s="3">
        <v>-7.2011904761903862</v>
      </c>
      <c r="L50" s="4">
        <v>4.2655706681160845E-2</v>
      </c>
      <c r="M50" s="4">
        <v>3.5579828193905025E-2</v>
      </c>
      <c r="N50" s="4">
        <f t="shared" si="13"/>
        <v>8.6326549640501991E-3</v>
      </c>
      <c r="O50" s="4">
        <f t="shared" si="14"/>
        <v>-4.9408258692148444E-3</v>
      </c>
      <c r="P50" s="7">
        <v>167.87190316946192</v>
      </c>
      <c r="Q50" s="7">
        <v>-173.68248730522299</v>
      </c>
      <c r="R50" s="7">
        <v>-5.8105841357610757</v>
      </c>
      <c r="S50" s="4">
        <f t="shared" si="4"/>
        <v>0.96654478971417668</v>
      </c>
      <c r="T50" s="3">
        <v>3.4829374999999998</v>
      </c>
      <c r="U50" s="3">
        <v>25.75375</v>
      </c>
      <c r="V50" s="7">
        <v>502.25555555555547</v>
      </c>
      <c r="W50">
        <v>48</v>
      </c>
      <c r="X50" s="21">
        <f t="shared" si="19"/>
        <v>139.05631564354292</v>
      </c>
      <c r="Y50" s="21">
        <f t="shared" si="20"/>
        <v>-139.00770532415802</v>
      </c>
      <c r="Z50" s="21">
        <f t="shared" si="21"/>
        <v>4.8610319384867547E-2</v>
      </c>
      <c r="AA50" s="224">
        <f t="shared" si="17"/>
        <v>139.00770532415802</v>
      </c>
      <c r="AB50" s="199">
        <f t="shared" si="18"/>
        <v>1.0003496951429529</v>
      </c>
      <c r="AD50" s="13">
        <f t="shared" si="15"/>
        <v>9.8807168079096019</v>
      </c>
      <c r="AE50" s="3">
        <f t="shared" si="16"/>
        <v>1.6120336864406761</v>
      </c>
      <c r="AG50" s="334">
        <v>41423</v>
      </c>
      <c r="AH50" s="349">
        <v>3.2411880000000002</v>
      </c>
      <c r="AI50" s="349">
        <v>5.1379999999999999</v>
      </c>
      <c r="AK50" s="226">
        <v>48</v>
      </c>
      <c r="AL50" s="229">
        <v>48</v>
      </c>
      <c r="AM50" s="227">
        <v>3.6398959999999998</v>
      </c>
      <c r="AN50" s="227">
        <v>5.1829999999999998</v>
      </c>
      <c r="AQ50" s="247">
        <v>178.75635059999999</v>
      </c>
      <c r="AR50" s="247">
        <v>-182.14625599999999</v>
      </c>
      <c r="AS50" s="244">
        <f t="shared" si="10"/>
        <v>144.35849432857142</v>
      </c>
      <c r="AT50" s="244">
        <f t="shared" si="11"/>
        <v>144.97922300000002</v>
      </c>
    </row>
    <row r="51" spans="1:46" ht="13.8" thickBot="1">
      <c r="A51" s="2">
        <v>41424</v>
      </c>
      <c r="B51" s="3">
        <v>26.591202966101694</v>
      </c>
      <c r="C51" s="3">
        <v>28.438265713276834</v>
      </c>
      <c r="D51" s="3">
        <v>17.956737812616328</v>
      </c>
      <c r="E51" s="7">
        <v>207.06421588100287</v>
      </c>
      <c r="F51" s="4">
        <v>0.96858274693700164</v>
      </c>
      <c r="G51" s="4">
        <v>0.90505067090395463</v>
      </c>
      <c r="H51" s="3">
        <v>9.5100958686440666</v>
      </c>
      <c r="I51" s="4">
        <v>0.89232980225988745</v>
      </c>
      <c r="J51" s="3">
        <v>5.866435185185221</v>
      </c>
      <c r="K51" s="3">
        <v>-5.5845238095238976</v>
      </c>
      <c r="L51" s="4">
        <v>5.4742765416798116E-2</v>
      </c>
      <c r="M51" s="4">
        <v>2.3424572196808231E-2</v>
      </c>
      <c r="N51" s="4">
        <f t="shared" si="13"/>
        <v>9.3315213905443874E-3</v>
      </c>
      <c r="O51" s="4">
        <f t="shared" si="14"/>
        <v>-4.1945514059515245E-3</v>
      </c>
      <c r="P51" s="7">
        <v>157.97169775393382</v>
      </c>
      <c r="Q51" s="7">
        <v>-134.59076116129694</v>
      </c>
      <c r="R51" s="7">
        <v>23.380936592636886</v>
      </c>
      <c r="S51" s="4">
        <f t="shared" si="4"/>
        <v>1.1737187336701111</v>
      </c>
      <c r="T51" s="3">
        <v>3.7053333333333338</v>
      </c>
      <c r="U51" s="3">
        <v>26.170416666666668</v>
      </c>
      <c r="V51" s="7">
        <v>528.07222222222219</v>
      </c>
      <c r="W51">
        <v>48</v>
      </c>
      <c r="X51" s="21">
        <f t="shared" si="19"/>
        <v>148.87488459106075</v>
      </c>
      <c r="Y51" s="21">
        <f t="shared" si="20"/>
        <v>-154.26512330959335</v>
      </c>
      <c r="Z51" s="21">
        <f t="shared" si="21"/>
        <v>-5.3902387185325944</v>
      </c>
      <c r="AA51" s="224">
        <f t="shared" si="17"/>
        <v>154.26512330959335</v>
      </c>
      <c r="AB51" s="199">
        <f t="shared" si="18"/>
        <v>0.96505860428533174</v>
      </c>
      <c r="AD51" s="13">
        <f t="shared" si="15"/>
        <v>9.5100958686440666</v>
      </c>
      <c r="AE51" s="3">
        <f t="shared" si="16"/>
        <v>1.4232330861581906</v>
      </c>
      <c r="AG51" s="334">
        <v>41424</v>
      </c>
      <c r="AH51" s="349">
        <v>3.7436669999999999</v>
      </c>
      <c r="AI51" s="349">
        <v>6.0140000000000002</v>
      </c>
      <c r="AK51" s="226">
        <v>49</v>
      </c>
      <c r="AL51" s="228">
        <v>49</v>
      </c>
      <c r="AM51" s="225">
        <v>3.565896</v>
      </c>
      <c r="AN51" s="225">
        <v>6.0140000000000002</v>
      </c>
      <c r="AQ51" s="248">
        <v>177.77767119999999</v>
      </c>
      <c r="AR51" s="248">
        <v>-164.08279099999999</v>
      </c>
      <c r="AS51" s="244">
        <f t="shared" si="10"/>
        <v>143.83763872857142</v>
      </c>
      <c r="AT51" s="244">
        <f t="shared" si="11"/>
        <v>149.78235085714286</v>
      </c>
    </row>
    <row r="52" spans="1:46" ht="13.8" thickBot="1">
      <c r="A52" s="2">
        <v>41425</v>
      </c>
      <c r="B52" s="3">
        <v>26.859329749293781</v>
      </c>
      <c r="C52" s="3">
        <v>28.285006355932207</v>
      </c>
      <c r="D52" s="3">
        <v>17.758842278035349</v>
      </c>
      <c r="E52" s="7">
        <v>207.4136873234464</v>
      </c>
      <c r="F52" s="4">
        <v>0.97375547717651856</v>
      </c>
      <c r="G52" s="4">
        <v>0.85819897598870065</v>
      </c>
      <c r="H52" s="3">
        <v>9.451252295197742</v>
      </c>
      <c r="I52" s="4">
        <v>0.79901394774011292</v>
      </c>
      <c r="J52" s="3">
        <v>4.1638888888889776</v>
      </c>
      <c r="K52" s="3">
        <v>-4.8321428571429195</v>
      </c>
      <c r="L52" s="4">
        <v>3.1521096845627455E-2</v>
      </c>
      <c r="M52" s="4">
        <v>1.264349352921482E-2</v>
      </c>
      <c r="N52" s="4">
        <f t="shared" si="13"/>
        <v>7.5701099829390541E-3</v>
      </c>
      <c r="O52" s="4">
        <f t="shared" si="14"/>
        <v>-2.6165396808426489E-3</v>
      </c>
      <c r="P52" s="7">
        <v>124.18396564089821</v>
      </c>
      <c r="Q52" s="7">
        <v>-116.27487241613125</v>
      </c>
      <c r="R52" s="7">
        <v>7.9090932247669627</v>
      </c>
      <c r="S52" s="4">
        <f t="shared" si="4"/>
        <v>1.0680206570897059</v>
      </c>
      <c r="T52" s="3">
        <v>3.0372499999999998</v>
      </c>
      <c r="U52" s="3">
        <v>25.772604166666667</v>
      </c>
      <c r="V52" s="7">
        <v>451.80555555555554</v>
      </c>
      <c r="W52">
        <v>48</v>
      </c>
      <c r="X52" s="21">
        <f t="shared" si="19"/>
        <v>137.81417200611628</v>
      </c>
      <c r="Y52" s="21">
        <f t="shared" si="20"/>
        <v>-137.80810102148274</v>
      </c>
      <c r="Z52" s="21">
        <f t="shared" si="21"/>
        <v>6.0709846335547423E-3</v>
      </c>
      <c r="AA52" s="224">
        <f t="shared" si="17"/>
        <v>137.80810102148274</v>
      </c>
      <c r="AB52" s="199">
        <f t="shared" si="18"/>
        <v>1.0000440539024087</v>
      </c>
      <c r="AD52" s="13">
        <f t="shared" si="15"/>
        <v>9.451252295197742</v>
      </c>
      <c r="AE52" s="3">
        <f t="shared" si="16"/>
        <v>1.2077152895480223</v>
      </c>
      <c r="AG52" s="334">
        <v>41425</v>
      </c>
      <c r="AH52" s="349">
        <v>3.2762709999999999</v>
      </c>
      <c r="AI52" s="349">
        <v>5.0810000000000004</v>
      </c>
      <c r="AK52" s="226">
        <v>50</v>
      </c>
      <c r="AL52" s="229">
        <v>50</v>
      </c>
      <c r="AM52" s="227">
        <v>2.8253330000000001</v>
      </c>
      <c r="AN52" s="227">
        <v>4.5439999999999996</v>
      </c>
      <c r="AQ52" s="246">
        <v>126.65729159999999</v>
      </c>
      <c r="AR52" s="246">
        <v>-120.953309</v>
      </c>
      <c r="AS52" s="244">
        <f t="shared" si="10"/>
        <v>128.31983281428569</v>
      </c>
      <c r="AT52" s="244">
        <f t="shared" si="11"/>
        <v>130.8397467142857</v>
      </c>
    </row>
    <row r="53" spans="1:46" ht="13.8" thickBot="1">
      <c r="A53" s="2">
        <v>41426</v>
      </c>
      <c r="B53" s="3">
        <v>27.075861935028247</v>
      </c>
      <c r="C53" s="3">
        <v>26.318467867231632</v>
      </c>
      <c r="D53" s="3">
        <v>16.216877986846956</v>
      </c>
      <c r="E53" s="7">
        <v>209.9507966984464</v>
      </c>
      <c r="F53" s="4">
        <v>0.97835012151933876</v>
      </c>
      <c r="G53" s="4">
        <v>0.99036334745762711</v>
      </c>
      <c r="H53" s="3">
        <v>11.266550847457623</v>
      </c>
      <c r="I53" s="4">
        <v>0.79005490819209057</v>
      </c>
      <c r="J53" s="3">
        <v>7.4222222222221781</v>
      </c>
      <c r="K53" s="3">
        <v>-6.4470238095237846</v>
      </c>
      <c r="L53" s="4">
        <v>1.6337290391807809E-2</v>
      </c>
      <c r="M53" s="4">
        <v>6.1372797924722274E-3</v>
      </c>
      <c r="N53" s="4">
        <f t="shared" si="13"/>
        <v>2.2011319390160353E-3</v>
      </c>
      <c r="O53" s="4">
        <f t="shared" si="14"/>
        <v>-9.5195550284861799E-4</v>
      </c>
      <c r="P53" s="7">
        <v>191.71680329252945</v>
      </c>
      <c r="Q53" s="7">
        <v>-154.87586614359023</v>
      </c>
      <c r="R53" s="7">
        <v>36.840937148939219</v>
      </c>
      <c r="S53" s="4">
        <f t="shared" si="4"/>
        <v>1.2378739700786101</v>
      </c>
      <c r="T53" s="3">
        <v>2.1539687499999998</v>
      </c>
      <c r="U53" s="3">
        <v>26.155208333333334</v>
      </c>
      <c r="V53" s="7">
        <v>471.20555555555546</v>
      </c>
      <c r="W53">
        <v>48</v>
      </c>
      <c r="X53" s="21">
        <f t="shared" si="19"/>
        <v>112.08831691688668</v>
      </c>
      <c r="Y53" s="21">
        <f t="shared" si="20"/>
        <v>-110.38068423559537</v>
      </c>
      <c r="Z53" s="21">
        <f t="shared" si="21"/>
        <v>1.7076326812913354</v>
      </c>
      <c r="AA53" s="224">
        <f t="shared" si="17"/>
        <v>110.38068423559537</v>
      </c>
      <c r="AB53" s="199">
        <f t="shared" si="18"/>
        <v>1.0154703940559615</v>
      </c>
      <c r="AD53" s="13">
        <f t="shared" si="15"/>
        <v>11.266550847457623</v>
      </c>
      <c r="AE53" s="3">
        <f t="shared" si="16"/>
        <v>1.8156713983050841</v>
      </c>
      <c r="AG53" s="334">
        <v>41426</v>
      </c>
      <c r="AH53" s="349">
        <v>2.295042</v>
      </c>
      <c r="AI53" s="349">
        <v>3.42</v>
      </c>
      <c r="AK53" s="226">
        <v>51</v>
      </c>
      <c r="AL53" s="228">
        <v>51</v>
      </c>
      <c r="AM53" s="225">
        <v>2.0148130000000002</v>
      </c>
      <c r="AN53" s="225">
        <v>3.42</v>
      </c>
      <c r="AQ53" s="245">
        <v>118.3886517</v>
      </c>
      <c r="AR53" s="245">
        <v>-82.997022000000001</v>
      </c>
      <c r="AS53" s="244">
        <f t="shared" si="10"/>
        <v>104.97314181428571</v>
      </c>
      <c r="AT53" s="244">
        <f t="shared" si="11"/>
        <v>105.78390457142856</v>
      </c>
    </row>
    <row r="54" spans="1:46" ht="13.8" thickBot="1">
      <c r="A54" s="2">
        <v>41427</v>
      </c>
      <c r="B54" s="3">
        <v>27.950672387005643</v>
      </c>
      <c r="C54" s="3">
        <v>24.847240642655365</v>
      </c>
      <c r="D54" s="3">
        <v>14.841710463141967</v>
      </c>
      <c r="E54" s="7">
        <v>208.53248035840389</v>
      </c>
      <c r="F54" s="4">
        <v>0.97813512208161846</v>
      </c>
      <c r="G54" s="4">
        <v>0.99396892655367253</v>
      </c>
      <c r="H54" s="3">
        <v>12.399160310734468</v>
      </c>
      <c r="I54" s="4">
        <v>0.73973075564971758</v>
      </c>
      <c r="J54" s="3">
        <v>1.475231481481442</v>
      </c>
      <c r="K54" s="3">
        <v>-3.6892857142856403</v>
      </c>
      <c r="L54" s="4">
        <v>6.4152842265590947E-3</v>
      </c>
      <c r="M54" s="4">
        <v>1.3702628281959343E-2</v>
      </c>
      <c r="N54" s="4">
        <f t="shared" si="13"/>
        <v>4.3486627740053395E-3</v>
      </c>
      <c r="O54" s="4">
        <f t="shared" si="14"/>
        <v>-3.7141683629706612E-3</v>
      </c>
      <c r="P54" s="7">
        <v>71.543296134211388</v>
      </c>
      <c r="Q54" s="7">
        <v>-88.871720221622382</v>
      </c>
      <c r="R54" s="7">
        <v>-17.328424087410994</v>
      </c>
      <c r="S54" s="4">
        <f t="shared" si="4"/>
        <v>0.80501756864615059</v>
      </c>
      <c r="T54" s="3">
        <v>2.8937395833333341</v>
      </c>
      <c r="U54" s="3">
        <v>26.592708333333324</v>
      </c>
      <c r="V54" s="7">
        <v>552.12407407407397</v>
      </c>
      <c r="W54">
        <v>48</v>
      </c>
      <c r="X54" s="21">
        <f t="shared" si="19"/>
        <v>97.078049421081616</v>
      </c>
      <c r="Y54" s="21">
        <f t="shared" si="20"/>
        <v>-97.751386718505202</v>
      </c>
      <c r="Z54" s="21">
        <f t="shared" si="21"/>
        <v>-0.67333729742357618</v>
      </c>
      <c r="AA54" s="224">
        <f t="shared" si="17"/>
        <v>97.751386718505202</v>
      </c>
      <c r="AB54" s="199">
        <f t="shared" si="18"/>
        <v>0.99311173662054952</v>
      </c>
      <c r="AD54" s="13">
        <f t="shared" si="15"/>
        <v>12.399160310734468</v>
      </c>
      <c r="AE54" s="3">
        <f t="shared" si="16"/>
        <v>1.8322570621468932</v>
      </c>
      <c r="AG54" s="334">
        <v>41427</v>
      </c>
      <c r="AH54" s="349">
        <v>2.7138960000000001</v>
      </c>
      <c r="AI54" s="349">
        <v>5.8330000000000002</v>
      </c>
      <c r="AK54" s="226">
        <v>52</v>
      </c>
      <c r="AL54" s="229">
        <v>52</v>
      </c>
      <c r="AM54" s="227">
        <v>3.0539999999999998</v>
      </c>
      <c r="AN54" s="227">
        <v>5.8330000000000002</v>
      </c>
      <c r="AQ54" s="247">
        <v>72.037121200000001</v>
      </c>
      <c r="AR54" s="247">
        <v>-97.859489999999994</v>
      </c>
      <c r="AS54" s="244">
        <f t="shared" si="10"/>
        <v>88.307772542857137</v>
      </c>
      <c r="AT54" s="244">
        <f t="shared" si="11"/>
        <v>91.060153857142865</v>
      </c>
    </row>
    <row r="55" spans="1:46" ht="13.8" thickBot="1">
      <c r="A55" s="2">
        <v>41428</v>
      </c>
      <c r="B55" s="3">
        <v>28.41610951624293</v>
      </c>
      <c r="C55" s="3">
        <v>24.797433792372875</v>
      </c>
      <c r="D55" s="3">
        <v>14.657279290948345</v>
      </c>
      <c r="E55" s="7">
        <v>207.63080971927965</v>
      </c>
      <c r="F55" s="4">
        <v>0.98121406676249812</v>
      </c>
      <c r="G55" s="4">
        <v>0.98360734463276811</v>
      </c>
      <c r="H55" s="3">
        <v>12.117394067796612</v>
      </c>
      <c r="I55" s="4">
        <v>0.51955384887005651</v>
      </c>
      <c r="J55" s="3">
        <v>2.6229166666667063</v>
      </c>
      <c r="K55" s="3">
        <v>-4.6880952380952907</v>
      </c>
      <c r="L55" s="4">
        <v>1.2310293141537752E-2</v>
      </c>
      <c r="M55" s="4">
        <v>2.8263137105545072E-3</v>
      </c>
      <c r="N55" s="4">
        <f t="shared" si="13"/>
        <v>4.6933603716743698E-3</v>
      </c>
      <c r="O55" s="4">
        <f t="shared" si="14"/>
        <v>-6.0287036995067527E-4</v>
      </c>
      <c r="P55" s="7">
        <v>101.00446963374627</v>
      </c>
      <c r="Q55" s="7">
        <v>-112.58211724334029</v>
      </c>
      <c r="R55" s="7">
        <v>-11.577647609594024</v>
      </c>
      <c r="S55" s="4">
        <f t="shared" si="4"/>
        <v>0.89716264098525034</v>
      </c>
      <c r="T55" s="3">
        <v>1.9805520833333337</v>
      </c>
      <c r="U55" s="3">
        <v>26.793958333333322</v>
      </c>
      <c r="V55" s="7">
        <v>439.8</v>
      </c>
      <c r="W55">
        <v>48</v>
      </c>
      <c r="X55" s="21">
        <f t="shared" si="19"/>
        <v>83.806221149128277</v>
      </c>
      <c r="Y55" s="21">
        <f t="shared" si="20"/>
        <v>-81.553929791091988</v>
      </c>
      <c r="Z55" s="21">
        <f t="shared" ref="Z55:Z70" si="22">AVERAGE(R52:R58)</f>
        <v>2.2522913580362789</v>
      </c>
      <c r="AA55" s="224">
        <f t="shared" si="17"/>
        <v>81.553929791091988</v>
      </c>
      <c r="AB55" s="199">
        <f t="shared" si="18"/>
        <v>1.0276172020625585</v>
      </c>
      <c r="AD55" s="13">
        <f t="shared" si="15"/>
        <v>12.117394067796612</v>
      </c>
      <c r="AE55" s="3">
        <f t="shared" si="16"/>
        <v>1.784593785310733</v>
      </c>
      <c r="AG55" s="334">
        <v>41428</v>
      </c>
      <c r="AH55" s="349">
        <v>2.3724379999999998</v>
      </c>
      <c r="AI55" s="349">
        <v>3.93</v>
      </c>
      <c r="AK55" s="226">
        <v>53</v>
      </c>
      <c r="AL55" s="228">
        <v>53</v>
      </c>
      <c r="AM55" s="225">
        <v>1.7576670000000001</v>
      </c>
      <c r="AN55" s="225">
        <v>3.93</v>
      </c>
      <c r="AQ55" s="245">
        <v>101.5805312</v>
      </c>
      <c r="AR55" s="245">
        <v>-107.10248199999999</v>
      </c>
      <c r="AS55" s="244">
        <f t="shared" si="10"/>
        <v>75.544480728571429</v>
      </c>
      <c r="AT55" s="244">
        <f t="shared" si="11"/>
        <v>79.782002571428578</v>
      </c>
    </row>
    <row r="56" spans="1:46" ht="13.8" thickBot="1">
      <c r="A56" s="2">
        <v>41429</v>
      </c>
      <c r="B56" s="3">
        <v>28.492439636299427</v>
      </c>
      <c r="C56" s="3">
        <v>26.203862817796605</v>
      </c>
      <c r="D56" s="3">
        <v>15.68490088890235</v>
      </c>
      <c r="E56" s="7">
        <v>200.6637921521893</v>
      </c>
      <c r="F56" s="4">
        <v>0.95681711467108332</v>
      </c>
      <c r="G56" s="4">
        <v>0.89532768361581916</v>
      </c>
      <c r="H56" s="3">
        <v>11.652375882768368</v>
      </c>
      <c r="I56" s="4">
        <v>0.49379413841807912</v>
      </c>
      <c r="J56" s="3">
        <v>-1.7854166666666376</v>
      </c>
      <c r="K56" s="3">
        <v>0.36726190476194392</v>
      </c>
      <c r="L56" s="4">
        <v>1.7475996916508644E-2</v>
      </c>
      <c r="M56" s="4">
        <v>2.5052119677085819E-2</v>
      </c>
      <c r="N56" s="4">
        <f t="shared" si="13"/>
        <v>-9.788189638184697E-3</v>
      </c>
      <c r="O56" s="4">
        <f t="shared" si="14"/>
        <v>6.8213226997568377E-2</v>
      </c>
      <c r="P56" s="7">
        <v>-29.673917206574224</v>
      </c>
      <c r="Q56" s="7">
        <v>8.2130348420365991</v>
      </c>
      <c r="R56" s="7">
        <v>-21.460882364537625</v>
      </c>
      <c r="S56" s="4">
        <f t="shared" si="4"/>
        <v>3.6130270694451281</v>
      </c>
      <c r="T56" s="3">
        <v>2.2364583333333332</v>
      </c>
      <c r="U56" s="3">
        <v>27.283645833333328</v>
      </c>
      <c r="V56" s="7">
        <v>575.27407407407418</v>
      </c>
      <c r="W56">
        <v>48</v>
      </c>
      <c r="X56" s="21">
        <f t="shared" si="19"/>
        <v>81.064372720399206</v>
      </c>
      <c r="Y56" s="21">
        <f t="shared" si="20"/>
        <v>-86.139992827774435</v>
      </c>
      <c r="Z56" s="21">
        <f t="shared" si="22"/>
        <v>-5.0756201073752383</v>
      </c>
      <c r="AA56" s="224">
        <f t="shared" si="17"/>
        <v>86.139992827774435</v>
      </c>
      <c r="AB56" s="199">
        <f t="shared" si="18"/>
        <v>0.94107707766445647</v>
      </c>
      <c r="AD56" s="13">
        <f t="shared" si="15"/>
        <v>11.652375882768368</v>
      </c>
      <c r="AE56" s="3">
        <f t="shared" si="16"/>
        <v>1.3785073446327676</v>
      </c>
      <c r="AG56" s="334">
        <v>41429</v>
      </c>
      <c r="AH56" s="349">
        <v>1.8794169999999999</v>
      </c>
      <c r="AI56" s="349">
        <v>3.7309999999999999</v>
      </c>
      <c r="AK56" s="226">
        <v>54</v>
      </c>
      <c r="AL56" s="229">
        <v>54</v>
      </c>
      <c r="AM56" s="227">
        <v>2.3420420000000002</v>
      </c>
      <c r="AN56" s="227">
        <v>3.7309999999999999</v>
      </c>
      <c r="AQ56" s="247">
        <v>-40.385624800000002</v>
      </c>
      <c r="AR56" s="247">
        <v>14.654018000000001</v>
      </c>
      <c r="AS56" s="244">
        <f t="shared" si="10"/>
        <v>76.949470000000005</v>
      </c>
      <c r="AT56" s="244">
        <f t="shared" si="11"/>
        <v>83.944914142857144</v>
      </c>
    </row>
    <row r="57" spans="1:46" ht="13.8" thickBot="1">
      <c r="A57" s="2">
        <v>41430</v>
      </c>
      <c r="B57" s="3">
        <v>28.609664724576266</v>
      </c>
      <c r="C57" s="3">
        <v>27.177938912429386</v>
      </c>
      <c r="D57" s="3">
        <v>16.375953146324072</v>
      </c>
      <c r="E57" s="7">
        <v>200.22014587747177</v>
      </c>
      <c r="F57" s="4">
        <v>0.96192034798036463</v>
      </c>
      <c r="G57" s="4">
        <v>0.8055158898305087</v>
      </c>
      <c r="H57" s="3">
        <v>10.543114583333336</v>
      </c>
      <c r="I57" s="4">
        <v>0.41336511299435025</v>
      </c>
      <c r="J57" s="3">
        <v>1.0101851851851182</v>
      </c>
      <c r="K57" s="3">
        <v>-3.5092261904762174</v>
      </c>
      <c r="L57" s="4">
        <v>2.3649125081287119E-2</v>
      </c>
      <c r="M57" s="4">
        <v>4.399900475677912E-2</v>
      </c>
      <c r="N57" s="4">
        <f t="shared" si="13"/>
        <v>2.3410682940230781E-2</v>
      </c>
      <c r="O57" s="4">
        <f t="shared" si="14"/>
        <v>-1.2538093120411899E-2</v>
      </c>
      <c r="P57" s="7">
        <v>62.800030698826447</v>
      </c>
      <c r="Q57" s="7">
        <v>-85.277404685591904</v>
      </c>
      <c r="R57" s="7">
        <v>-22.477373986765457</v>
      </c>
      <c r="S57" s="4">
        <f t="shared" si="4"/>
        <v>0.73642051995323987</v>
      </c>
      <c r="T57" s="3">
        <v>2.8484687499999999</v>
      </c>
      <c r="U57" s="3">
        <v>26.505729166666672</v>
      </c>
      <c r="V57" s="7">
        <v>556.98333333333346</v>
      </c>
      <c r="W57">
        <v>48</v>
      </c>
      <c r="X57" s="21">
        <f t="shared" si="19"/>
        <v>65.50690214092414</v>
      </c>
      <c r="Y57" s="21">
        <f t="shared" si="20"/>
        <v>-74.5807067513107</v>
      </c>
      <c r="Z57" s="21">
        <f t="shared" si="22"/>
        <v>-9.0738046103865688</v>
      </c>
      <c r="AA57" s="224">
        <f t="shared" si="17"/>
        <v>74.5807067513107</v>
      </c>
      <c r="AB57" s="199">
        <f t="shared" si="18"/>
        <v>0.87833576529861601</v>
      </c>
      <c r="AD57" s="13">
        <f t="shared" si="15"/>
        <v>10.543114583333336</v>
      </c>
      <c r="AE57" s="3">
        <f t="shared" si="16"/>
        <v>0.96537309322033948</v>
      </c>
      <c r="AG57" s="334">
        <v>41430</v>
      </c>
      <c r="AH57" s="349">
        <v>2.2806250000000001</v>
      </c>
      <c r="AI57" s="349">
        <v>3.7130000000000001</v>
      </c>
      <c r="AK57" s="226">
        <v>55</v>
      </c>
      <c r="AL57" s="228">
        <v>55</v>
      </c>
      <c r="AM57" s="225">
        <v>3.605146</v>
      </c>
      <c r="AN57" s="225">
        <v>9.2880000000000003</v>
      </c>
      <c r="AQ57" s="248">
        <v>62.098765700000001</v>
      </c>
      <c r="AR57" s="248">
        <v>-79.080000999999996</v>
      </c>
      <c r="AS57" s="244">
        <f t="shared" si="10"/>
        <v>76.83876321428572</v>
      </c>
      <c r="AT57" s="244">
        <f t="shared" si="11"/>
        <v>88.270613714285716</v>
      </c>
    </row>
    <row r="58" spans="1:46" ht="13.8" thickBot="1">
      <c r="A58" s="2">
        <v>41431</v>
      </c>
      <c r="B58" s="3">
        <v>28.423466543079098</v>
      </c>
      <c r="C58" s="3">
        <v>27.566679025423721</v>
      </c>
      <c r="D58" s="3">
        <v>16.726489963690312</v>
      </c>
      <c r="E58" s="7">
        <v>200.81863524011294</v>
      </c>
      <c r="F58" s="4">
        <v>0.9639047296745088</v>
      </c>
      <c r="G58" s="4">
        <v>0.84971786723163822</v>
      </c>
      <c r="H58" s="3">
        <v>10.147103813559323</v>
      </c>
      <c r="I58" s="4">
        <v>0.44452877824858755</v>
      </c>
      <c r="J58" s="3">
        <v>3.9037037037037545</v>
      </c>
      <c r="K58" s="3">
        <v>-0.83690476190471097</v>
      </c>
      <c r="L58" s="4">
        <v>8.3617922139061482E-2</v>
      </c>
      <c r="M58" s="4">
        <v>4.6785349320475518E-2</v>
      </c>
      <c r="N58" s="4">
        <f t="shared" si="13"/>
        <v>2.1420150832586627E-2</v>
      </c>
      <c r="O58" s="4">
        <f t="shared" si="14"/>
        <v>-5.5902835603416537E-2</v>
      </c>
      <c r="P58" s="7">
        <v>65.068899850260337</v>
      </c>
      <c r="Q58" s="7">
        <v>-21.208562669404465</v>
      </c>
      <c r="R58" s="7">
        <v>43.860337180855872</v>
      </c>
      <c r="S58" s="4">
        <f t="shared" si="4"/>
        <v>3.068048545511711</v>
      </c>
      <c r="T58" s="3">
        <v>4.5257708333333335</v>
      </c>
      <c r="U58" s="3">
        <v>25.844270833333329</v>
      </c>
      <c r="V58" s="7">
        <v>426.42777777777781</v>
      </c>
      <c r="W58">
        <v>48</v>
      </c>
      <c r="X58" s="21">
        <f t="shared" si="19"/>
        <v>59.761448778220071</v>
      </c>
      <c r="Y58" s="21">
        <f t="shared" si="20"/>
        <v>-73.0578827918267</v>
      </c>
      <c r="Z58" s="21">
        <f t="shared" si="22"/>
        <v>-13.296434013606634</v>
      </c>
      <c r="AA58" s="224">
        <f t="shared" si="17"/>
        <v>73.0578827918267</v>
      </c>
      <c r="AB58" s="199">
        <f t="shared" si="18"/>
        <v>0.81800137773641923</v>
      </c>
      <c r="AD58" s="13">
        <f t="shared" si="15"/>
        <v>10.147103813559323</v>
      </c>
      <c r="AE58" s="3">
        <f t="shared" si="16"/>
        <v>1.1687021892655354</v>
      </c>
      <c r="AG58" s="334">
        <v>41431</v>
      </c>
      <c r="AH58" s="349">
        <v>4.6571249999999997</v>
      </c>
      <c r="AI58" s="349">
        <v>9.2880000000000003</v>
      </c>
      <c r="AK58" s="226">
        <v>56</v>
      </c>
      <c r="AL58" s="229">
        <v>56</v>
      </c>
      <c r="AM58" s="227">
        <v>3.9676040000000001</v>
      </c>
      <c r="AN58" s="227">
        <v>5.1779999999999999</v>
      </c>
      <c r="AQ58" s="246">
        <v>88.434628500000002</v>
      </c>
      <c r="AR58" s="246">
        <v>-85.135732000000004</v>
      </c>
      <c r="AS58" s="244">
        <f t="shared" si="10"/>
        <v>76.370225014285737</v>
      </c>
      <c r="AT58" s="244">
        <f t="shared" si="11"/>
        <v>91.025256142857145</v>
      </c>
    </row>
    <row r="59" spans="1:46" ht="13.8" thickBot="1">
      <c r="A59" s="2">
        <v>41432</v>
      </c>
      <c r="B59" s="3">
        <v>28.257603672316382</v>
      </c>
      <c r="C59" s="3">
        <v>24.954757238700569</v>
      </c>
      <c r="D59" s="3">
        <v>14.825583389262762</v>
      </c>
      <c r="E59" s="7">
        <v>203.58058571680786</v>
      </c>
      <c r="F59" s="4">
        <v>0.96038532489956185</v>
      </c>
      <c r="G59" s="4">
        <v>0.87945356638418037</v>
      </c>
      <c r="H59" s="3">
        <v>12.139741701977393</v>
      </c>
      <c r="I59" s="4">
        <v>0.57310540254237285</v>
      </c>
      <c r="J59" s="3">
        <v>1.4149553571428286</v>
      </c>
      <c r="K59" s="3">
        <v>-6.1053125000000126</v>
      </c>
      <c r="L59" s="4">
        <v>5.307803955645668E-2</v>
      </c>
      <c r="M59" s="4">
        <v>7.7075569704503105E-2</v>
      </c>
      <c r="N59" s="4">
        <f t="shared" si="13"/>
        <v>3.7512165517105338E-2</v>
      </c>
      <c r="O59" s="4">
        <f t="shared" si="14"/>
        <v>-1.262434473329628E-2</v>
      </c>
      <c r="P59" s="7">
        <v>104.99102663979477</v>
      </c>
      <c r="Q59" s="7">
        <v>-148.37731367290843</v>
      </c>
      <c r="R59" s="7">
        <v>-43.386287033113661</v>
      </c>
      <c r="S59" s="4">
        <f t="shared" si="4"/>
        <v>0.70759487445124591</v>
      </c>
      <c r="T59" s="3">
        <v>4.9591458333333334</v>
      </c>
      <c r="U59" s="3">
        <v>26.040937499999998</v>
      </c>
      <c r="V59" s="7">
        <v>407.23214285714283</v>
      </c>
      <c r="W59">
        <v>48</v>
      </c>
      <c r="X59" s="21">
        <f t="shared" si="19"/>
        <v>60.679682370996474</v>
      </c>
      <c r="Y59" s="21">
        <f t="shared" si="20"/>
        <v>-63.738599975793996</v>
      </c>
      <c r="Z59" s="21">
        <f t="shared" si="22"/>
        <v>-3.0589176047975286</v>
      </c>
      <c r="AA59" s="224">
        <f t="shared" si="17"/>
        <v>63.738599975793996</v>
      </c>
      <c r="AB59" s="199">
        <f t="shared" si="18"/>
        <v>0.95200839670216786</v>
      </c>
      <c r="AD59" s="13">
        <f t="shared" si="15"/>
        <v>12.139741701977393</v>
      </c>
      <c r="AE59" s="3">
        <f t="shared" si="16"/>
        <v>1.3054864053672288</v>
      </c>
      <c r="AG59" s="334">
        <v>41432</v>
      </c>
      <c r="AH59" s="349">
        <v>4.9258329999999999</v>
      </c>
      <c r="AI59" s="349">
        <v>7.2110000000000003</v>
      </c>
      <c r="AK59" s="226">
        <v>57</v>
      </c>
      <c r="AL59" s="228">
        <v>57</v>
      </c>
      <c r="AM59" s="225">
        <v>4.7780620000000003</v>
      </c>
      <c r="AN59" s="225">
        <v>7.2110000000000003</v>
      </c>
      <c r="AQ59" s="245">
        <v>136.49221650000001</v>
      </c>
      <c r="AR59" s="245">
        <v>-150.09369000000001</v>
      </c>
      <c r="AS59" s="244">
        <f t="shared" si="10"/>
        <v>86.12914121428571</v>
      </c>
      <c r="AT59" s="244">
        <f t="shared" si="11"/>
        <v>90.445099714285703</v>
      </c>
    </row>
    <row r="60" spans="1:46" ht="13.8" thickBot="1">
      <c r="A60" s="2">
        <v>41433</v>
      </c>
      <c r="B60" s="3">
        <v>28.606059004237295</v>
      </c>
      <c r="C60" s="3">
        <v>26.496769420903959</v>
      </c>
      <c r="D60" s="3">
        <v>15.867173353400503</v>
      </c>
      <c r="E60" s="7">
        <v>200.16959635416666</v>
      </c>
      <c r="F60" s="4">
        <v>0.95798099007294413</v>
      </c>
      <c r="G60" s="4">
        <v>0.87645921610169497</v>
      </c>
      <c r="H60" s="3">
        <v>11.031147598870058</v>
      </c>
      <c r="I60" s="4">
        <v>0.71114177259886979</v>
      </c>
      <c r="J60" s="3">
        <v>2.8928571428571184</v>
      </c>
      <c r="K60" s="3">
        <v>-3.0215624999999493</v>
      </c>
      <c r="L60" s="4">
        <v>2.3816614555204268E-2</v>
      </c>
      <c r="M60" s="4">
        <v>6.0140150347718094E-2</v>
      </c>
      <c r="N60" s="4">
        <f t="shared" si="13"/>
        <v>8.2329037968608045E-3</v>
      </c>
      <c r="O60" s="4">
        <f t="shared" si="14"/>
        <v>-1.9903659231844156E-2</v>
      </c>
      <c r="P60" s="7">
        <v>82.814509236203989</v>
      </c>
      <c r="Q60" s="7">
        <v>-73.96086360834407</v>
      </c>
      <c r="R60" s="7">
        <v>8.8536456278599189</v>
      </c>
      <c r="S60" s="4">
        <f t="shared" si="4"/>
        <v>1.1197071693854732</v>
      </c>
      <c r="T60" s="3">
        <v>3.0402916666666662</v>
      </c>
      <c r="U60" s="3">
        <v>26.603958333333324</v>
      </c>
      <c r="V60" s="7">
        <v>528.41071428571422</v>
      </c>
      <c r="W60">
        <v>48</v>
      </c>
      <c r="X60" s="21">
        <f t="shared" si="19"/>
        <v>85.704814074020618</v>
      </c>
      <c r="Y60" s="21">
        <f t="shared" si="20"/>
        <v>-81.83055568005804</v>
      </c>
      <c r="Z60" s="21">
        <f t="shared" si="22"/>
        <v>3.8742583939625805</v>
      </c>
      <c r="AA60" s="224">
        <f t="shared" si="17"/>
        <v>81.83055568005804</v>
      </c>
      <c r="AB60" s="199">
        <f t="shared" si="18"/>
        <v>1.0473448867817809</v>
      </c>
      <c r="AD60" s="13">
        <f t="shared" si="15"/>
        <v>11.031147598870058</v>
      </c>
      <c r="AE60" s="3">
        <f t="shared" si="16"/>
        <v>1.2917123940677966</v>
      </c>
      <c r="AG60" s="334">
        <v>41433</v>
      </c>
      <c r="AH60" s="349">
        <v>2.8467920000000002</v>
      </c>
      <c r="AI60" s="349">
        <v>4.4279999999999999</v>
      </c>
      <c r="AK60" s="226">
        <v>58</v>
      </c>
      <c r="AL60" s="229">
        <v>58</v>
      </c>
      <c r="AM60" s="227">
        <v>3.1021459999999998</v>
      </c>
      <c r="AN60" s="227">
        <v>6.9450000000000003</v>
      </c>
      <c r="AQ60" s="247">
        <v>117.6137042</v>
      </c>
      <c r="AR60" s="247">
        <v>-113.27691900000001</v>
      </c>
      <c r="AS60" s="244">
        <f t="shared" si="10"/>
        <v>113.45189551428572</v>
      </c>
      <c r="AT60" s="244">
        <f t="shared" si="11"/>
        <v>108.68168528571428</v>
      </c>
    </row>
    <row r="61" spans="1:46" ht="13.8" thickBot="1">
      <c r="A61" s="2">
        <v>41434</v>
      </c>
      <c r="B61" s="3">
        <v>27.474293538135598</v>
      </c>
      <c r="C61" s="3">
        <v>27.07007838983051</v>
      </c>
      <c r="D61" s="3">
        <v>16.655692164700731</v>
      </c>
      <c r="E61" s="7">
        <v>194.18410685911019</v>
      </c>
      <c r="F61" s="4">
        <v>0.91487214944543638</v>
      </c>
      <c r="G61" s="4">
        <v>1.1469671610169492</v>
      </c>
      <c r="H61" s="3">
        <v>10.758058086158199</v>
      </c>
      <c r="I61" s="4">
        <v>0.77396857344632775</v>
      </c>
      <c r="J61" s="3">
        <v>-0.91361607142854384</v>
      </c>
      <c r="K61" s="3">
        <v>-3.0793750000001467</v>
      </c>
      <c r="L61" s="4">
        <v>9.430827012144867E-2</v>
      </c>
      <c r="M61" s="4">
        <v>0.17945635438461821</v>
      </c>
      <c r="N61" s="4">
        <f t="shared" si="13"/>
        <v>-0.10322527489472338</v>
      </c>
      <c r="O61" s="4">
        <f t="shared" si="14"/>
        <v>-5.8276875789603298E-2</v>
      </c>
      <c r="P61" s="7">
        <v>31.325122595282892</v>
      </c>
      <c r="Q61" s="7">
        <v>-78.211952505234365</v>
      </c>
      <c r="R61" s="7">
        <v>-46.886829909951473</v>
      </c>
      <c r="S61" s="4">
        <f t="shared" si="4"/>
        <v>0.40051579831339007</v>
      </c>
      <c r="T61" s="3">
        <v>4.2056041666666664</v>
      </c>
      <c r="U61" s="3">
        <v>24.353124999999999</v>
      </c>
      <c r="V61" s="7"/>
      <c r="W61">
        <v>48</v>
      </c>
      <c r="X61" s="21">
        <f t="shared" si="19"/>
        <v>93.623460667852754</v>
      </c>
      <c r="Y61" s="21">
        <f t="shared" si="20"/>
        <v>-88.9593922270072</v>
      </c>
      <c r="Z61" s="21">
        <f t="shared" si="22"/>
        <v>4.6640684408455551</v>
      </c>
      <c r="AA61" s="224">
        <f t="shared" si="17"/>
        <v>88.9593922270072</v>
      </c>
      <c r="AB61" s="199">
        <f t="shared" si="18"/>
        <v>1.0524291850931686</v>
      </c>
      <c r="AD61" s="13">
        <f t="shared" si="15"/>
        <v>10.758058086158199</v>
      </c>
      <c r="AE61" s="3">
        <f t="shared" si="16"/>
        <v>2.5360489406779658</v>
      </c>
      <c r="AG61" s="334">
        <v>41434</v>
      </c>
      <c r="AH61" s="349">
        <v>4.4096669999999998</v>
      </c>
      <c r="AI61" s="349">
        <v>8.3740000000000006</v>
      </c>
      <c r="AK61" s="226">
        <v>59</v>
      </c>
      <c r="AL61" s="228">
        <v>59</v>
      </c>
      <c r="AM61" s="225">
        <v>4.327312</v>
      </c>
      <c r="AN61" s="225">
        <v>8.3740000000000006</v>
      </c>
      <c r="AQ61" s="245">
        <v>68.757353800000004</v>
      </c>
      <c r="AR61" s="245">
        <v>-117.141987</v>
      </c>
      <c r="AS61" s="244">
        <f t="shared" si="10"/>
        <v>128.1406006857143</v>
      </c>
      <c r="AT61" s="244">
        <f t="shared" si="11"/>
        <v>124.80566057142856</v>
      </c>
    </row>
    <row r="62" spans="1:46" ht="13.8" thickBot="1">
      <c r="A62" s="2">
        <v>41435</v>
      </c>
      <c r="B62" s="3">
        <v>26.84693479872881</v>
      </c>
      <c r="C62" s="3">
        <v>25.498148305084751</v>
      </c>
      <c r="D62" s="3">
        <v>15.672254346246723</v>
      </c>
      <c r="E62" s="7">
        <v>203.44509180790965</v>
      </c>
      <c r="F62" s="4">
        <v>0.94002669263063865</v>
      </c>
      <c r="G62" s="4">
        <v>1.1995617937853109</v>
      </c>
      <c r="H62" s="3">
        <v>12.209936087570618</v>
      </c>
      <c r="I62" s="4">
        <v>0.63958721751412428</v>
      </c>
      <c r="J62" s="3">
        <v>5.8158482142857739</v>
      </c>
      <c r="K62" s="3">
        <v>-1.945312499999956</v>
      </c>
      <c r="L62" s="4">
        <v>6.8973411426099362E-2</v>
      </c>
      <c r="M62" s="4">
        <v>2.7484897129683272E-2</v>
      </c>
      <c r="N62" s="4">
        <f t="shared" si="13"/>
        <v>1.1859561818803377E-2</v>
      </c>
      <c r="O62" s="4">
        <f t="shared" si="14"/>
        <v>-1.412878246023911E-2</v>
      </c>
      <c r="P62" s="7">
        <v>107.43210478318109</v>
      </c>
      <c r="Q62" s="7">
        <v>-47.347137531111358</v>
      </c>
      <c r="R62" s="7">
        <v>60.084967252069731</v>
      </c>
      <c r="S62" s="4">
        <f t="shared" si="4"/>
        <v>2.2690306190651643</v>
      </c>
      <c r="T62" s="3">
        <v>2.7835984660332507</v>
      </c>
      <c r="U62" s="3">
        <v>25.953886127363656</v>
      </c>
      <c r="V62" s="7"/>
      <c r="W62">
        <v>48</v>
      </c>
      <c r="X62" s="21">
        <f t="shared" si="19"/>
        <v>103.78279458428418</v>
      </c>
      <c r="Y62" s="21">
        <f t="shared" si="20"/>
        <v>-111.75858096633546</v>
      </c>
      <c r="Z62" s="21">
        <f t="shared" si="22"/>
        <v>-7.9757863820512762</v>
      </c>
      <c r="AA62" s="224">
        <f t="shared" si="17"/>
        <v>111.75858096633546</v>
      </c>
      <c r="AB62" s="199">
        <f t="shared" si="18"/>
        <v>0.92863378978967359</v>
      </c>
      <c r="AD62" s="13">
        <f t="shared" si="15"/>
        <v>12.209936087570618</v>
      </c>
      <c r="AE62" s="3">
        <f t="shared" si="16"/>
        <v>2.7779842514124296</v>
      </c>
      <c r="AG62" s="334">
        <v>41435</v>
      </c>
      <c r="AH62" s="349">
        <v>3.1724600000000001</v>
      </c>
      <c r="AI62" s="349">
        <v>6.1269999999999998</v>
      </c>
      <c r="AK62" s="226">
        <v>60</v>
      </c>
      <c r="AL62" s="229">
        <v>60</v>
      </c>
      <c r="AM62" s="227">
        <v>2.564533</v>
      </c>
      <c r="AN62" s="227">
        <v>6.0810000000000004</v>
      </c>
      <c r="AQ62" s="247">
        <v>169.89294459999999</v>
      </c>
      <c r="AR62" s="247">
        <v>-103.041387</v>
      </c>
      <c r="AS62" s="244">
        <f t="shared" si="10"/>
        <v>137.16386939999998</v>
      </c>
      <c r="AT62" s="244">
        <f t="shared" si="11"/>
        <v>139.0451337142857</v>
      </c>
    </row>
    <row r="63" spans="1:46" ht="13.8" thickBot="1">
      <c r="A63" s="2">
        <v>41436</v>
      </c>
      <c r="B63" s="3">
        <v>27.9538480579096</v>
      </c>
      <c r="C63" s="3">
        <v>24.200134004237288</v>
      </c>
      <c r="D63" s="3">
        <v>14.355477642604264</v>
      </c>
      <c r="E63" s="7">
        <v>210.53252449682211</v>
      </c>
      <c r="F63" s="4">
        <v>0.98419609550023546</v>
      </c>
      <c r="G63" s="4">
        <v>0.98877383474576319</v>
      </c>
      <c r="H63" s="3">
        <v>12.126614583333334</v>
      </c>
      <c r="I63" s="4">
        <v>0.55246168785310734</v>
      </c>
      <c r="J63" s="3">
        <v>5.5060267857142602</v>
      </c>
      <c r="K63" s="3">
        <v>-4.9099999999999477</v>
      </c>
      <c r="L63" s="4">
        <v>-1.4596457334670646E-2</v>
      </c>
      <c r="M63" s="4">
        <v>2.4610628658868004E-2</v>
      </c>
      <c r="N63" s="4">
        <f t="shared" si="13"/>
        <v>-2.6509964267776706E-3</v>
      </c>
      <c r="O63" s="4">
        <f t="shared" si="14"/>
        <v>-5.0123479956961847E-3</v>
      </c>
      <c r="P63" s="7">
        <v>145.50200471459473</v>
      </c>
      <c r="Q63" s="7">
        <v>-118.4306550878116</v>
      </c>
      <c r="R63" s="7">
        <v>27.071349626783132</v>
      </c>
      <c r="S63" s="4">
        <f t="shared" si="4"/>
        <v>1.2285839726776044</v>
      </c>
      <c r="T63" s="3">
        <v>4.1302109121095532</v>
      </c>
      <c r="U63" s="3">
        <v>27.311921368186692</v>
      </c>
      <c r="V63" s="7"/>
      <c r="W63">
        <v>48</v>
      </c>
      <c r="X63" s="21">
        <f t="shared" si="19"/>
        <v>105.06312887380707</v>
      </c>
      <c r="Y63" s="21">
        <f t="shared" si="20"/>
        <v>-104.12874022108385</v>
      </c>
      <c r="Z63" s="21">
        <f t="shared" si="22"/>
        <v>0.93438865272323468</v>
      </c>
      <c r="AA63" s="224">
        <f t="shared" si="17"/>
        <v>104.12874022108385</v>
      </c>
      <c r="AB63" s="199">
        <f t="shared" si="18"/>
        <v>1.008973398225498</v>
      </c>
      <c r="AD63" s="13">
        <f t="shared" si="15"/>
        <v>12.126614583333334</v>
      </c>
      <c r="AE63" s="3">
        <f t="shared" si="16"/>
        <v>1.8083596398305097</v>
      </c>
      <c r="AG63" s="334">
        <v>41436</v>
      </c>
      <c r="AH63" s="349">
        <v>3.8299400000000001</v>
      </c>
      <c r="AI63" s="349">
        <v>6.56</v>
      </c>
      <c r="AK63" s="226">
        <v>61</v>
      </c>
      <c r="AL63" s="228">
        <v>61</v>
      </c>
      <c r="AM63" s="225">
        <v>4.3063979999999997</v>
      </c>
      <c r="AN63" s="225">
        <v>6.56</v>
      </c>
      <c r="AQ63" s="248">
        <v>150.8736553</v>
      </c>
      <c r="AR63" s="248">
        <v>-113.002081</v>
      </c>
      <c r="AS63" s="244">
        <f t="shared" si="10"/>
        <v>137.86191830000001</v>
      </c>
      <c r="AT63" s="244">
        <f t="shared" si="11"/>
        <v>136.95723957142857</v>
      </c>
    </row>
    <row r="64" spans="1:46" ht="13.8" thickBot="1">
      <c r="A64" s="2">
        <v>41437</v>
      </c>
      <c r="B64" s="3">
        <v>28.91715790960453</v>
      </c>
      <c r="C64" s="3">
        <v>24.295132415254244</v>
      </c>
      <c r="D64" s="3">
        <v>14.120801890963932</v>
      </c>
      <c r="E64" s="7">
        <v>210.51878089689265</v>
      </c>
      <c r="F64" s="4">
        <v>1.0004798802654167</v>
      </c>
      <c r="G64" s="4">
        <v>0.91407821327683558</v>
      </c>
      <c r="H64" s="3">
        <v>11.414127471751415</v>
      </c>
      <c r="I64" s="4">
        <v>0.46776641949152542</v>
      </c>
      <c r="J64" s="3">
        <v>2.8272321428570675</v>
      </c>
      <c r="K64" s="3">
        <v>-5.6281249999998799</v>
      </c>
      <c r="L64" s="4">
        <v>-3.5907544905235358E-2</v>
      </c>
      <c r="M64" s="4">
        <v>4.3441880932914871E-3</v>
      </c>
      <c r="N64" s="4">
        <f t="shared" si="13"/>
        <v>-1.2700600124384865E-2</v>
      </c>
      <c r="O64" s="4">
        <f t="shared" si="14"/>
        <v>-7.7187128809178538E-4</v>
      </c>
      <c r="P64" s="7">
        <v>118.23055685565149</v>
      </c>
      <c r="Q64" s="7">
        <v>-135.17926051423612</v>
      </c>
      <c r="R64" s="7">
        <v>-16.948703658584634</v>
      </c>
      <c r="S64" s="4">
        <f t="shared" si="4"/>
        <v>0.87462053280873131</v>
      </c>
      <c r="T64" s="3">
        <v>3.7004495668709825</v>
      </c>
      <c r="U64" s="3">
        <v>27.16419670148646</v>
      </c>
      <c r="V64" s="7"/>
      <c r="W64">
        <v>48</v>
      </c>
      <c r="X64" s="21">
        <f t="shared" si="19"/>
        <v>141.68082966314222</v>
      </c>
      <c r="Y64" s="21">
        <f t="shared" si="20"/>
        <v>-137.77682073760539</v>
      </c>
      <c r="Z64" s="21">
        <f t="shared" si="22"/>
        <v>3.9040089255368287</v>
      </c>
      <c r="AA64" s="224">
        <f t="shared" si="17"/>
        <v>137.77682073760539</v>
      </c>
      <c r="AB64" s="199">
        <f t="shared" si="18"/>
        <v>1.028335745480526</v>
      </c>
      <c r="AD64" s="13">
        <f t="shared" si="15"/>
        <v>11.414127471751415</v>
      </c>
      <c r="AE64" s="3">
        <f t="shared" si="16"/>
        <v>1.4647597810734432</v>
      </c>
      <c r="AG64" s="334">
        <v>41437</v>
      </c>
      <c r="AH64" s="349">
        <v>4.0007200000000003</v>
      </c>
      <c r="AI64" s="349">
        <v>6.8739999999999997</v>
      </c>
      <c r="AK64" s="226">
        <v>62</v>
      </c>
      <c r="AL64" s="229">
        <v>62</v>
      </c>
      <c r="AM64" s="227">
        <v>3.7154750000000001</v>
      </c>
      <c r="AN64" s="227">
        <v>6.8739999999999997</v>
      </c>
      <c r="AQ64" s="247">
        <v>164.91970190000001</v>
      </c>
      <c r="AR64" s="247">
        <v>-191.94782799999999</v>
      </c>
      <c r="AS64" s="244">
        <f t="shared" si="10"/>
        <v>140.5150031</v>
      </c>
      <c r="AT64" s="244">
        <f t="shared" si="11"/>
        <v>134.43629300000001</v>
      </c>
    </row>
    <row r="65" spans="1:46" ht="13.8" thickBot="1">
      <c r="A65" s="2">
        <v>41438</v>
      </c>
      <c r="B65" s="3">
        <v>29.134934427966101</v>
      </c>
      <c r="C65" s="3">
        <v>25.038702153954798</v>
      </c>
      <c r="D65" s="3">
        <v>14.607012076847424</v>
      </c>
      <c r="E65" s="7">
        <v>205.70204912605936</v>
      </c>
      <c r="F65" s="4">
        <v>0.98509481965627332</v>
      </c>
      <c r="G65" s="4">
        <v>0.94908403954802223</v>
      </c>
      <c r="H65" s="3">
        <v>11.148335805084747</v>
      </c>
      <c r="I65" s="4">
        <v>0.55498463983050839</v>
      </c>
      <c r="J65" s="3">
        <v>2.2316964285713712</v>
      </c>
      <c r="K65" s="3">
        <v>-7.4721875000000413</v>
      </c>
      <c r="L65" s="4">
        <v>-2.0543773608450479E-2</v>
      </c>
      <c r="M65" s="4">
        <v>6.1265993529218424E-2</v>
      </c>
      <c r="N65" s="4">
        <f t="shared" si="13"/>
        <v>-9.2054516669194345E-3</v>
      </c>
      <c r="O65" s="4">
        <f t="shared" si="14"/>
        <v>-8.1992045206598588E-3</v>
      </c>
      <c r="P65" s="7">
        <v>136.1842372652803</v>
      </c>
      <c r="Q65" s="7">
        <v>-180.80288384470225</v>
      </c>
      <c r="R65" s="7">
        <v>-44.618646579421949</v>
      </c>
      <c r="S65" s="4">
        <f t="shared" si="4"/>
        <v>0.75321938660145249</v>
      </c>
      <c r="T65" s="3">
        <v>5.9917657438394158</v>
      </c>
      <c r="U65" s="3">
        <v>28.009618627438968</v>
      </c>
      <c r="V65" s="7"/>
      <c r="W65">
        <v>48</v>
      </c>
      <c r="X65" s="21">
        <f t="shared" si="19"/>
        <v>149.39152870506589</v>
      </c>
      <c r="Y65" s="21">
        <f t="shared" si="20"/>
        <v>-141.15324115017054</v>
      </c>
      <c r="Z65" s="21">
        <f t="shared" si="22"/>
        <v>8.2382875548953756</v>
      </c>
      <c r="AA65" s="224">
        <f t="shared" si="17"/>
        <v>141.15324115017054</v>
      </c>
      <c r="AB65" s="199">
        <f t="shared" si="18"/>
        <v>1.0583641401909487</v>
      </c>
      <c r="AD65" s="13">
        <f t="shared" si="15"/>
        <v>11.148335805084747</v>
      </c>
      <c r="AE65" s="3">
        <f t="shared" si="16"/>
        <v>1.6257865819209014</v>
      </c>
      <c r="AG65" s="334">
        <v>41438</v>
      </c>
      <c r="AH65" s="349">
        <v>5.2652869999999998</v>
      </c>
      <c r="AI65" s="349">
        <v>10.225</v>
      </c>
      <c r="AK65" s="226">
        <v>63</v>
      </c>
      <c r="AL65" s="228">
        <v>63</v>
      </c>
      <c r="AM65" s="225">
        <v>6.03512</v>
      </c>
      <c r="AN65" s="225">
        <v>10.225</v>
      </c>
      <c r="AQ65" s="248">
        <v>151.5975095</v>
      </c>
      <c r="AR65" s="248">
        <v>-184.81204399999999</v>
      </c>
      <c r="AS65" s="244">
        <f t="shared" si="10"/>
        <v>144.42999660000001</v>
      </c>
      <c r="AT65" s="244">
        <f t="shared" si="11"/>
        <v>132.53048928571431</v>
      </c>
    </row>
    <row r="66" spans="1:46" ht="13.8" thickBot="1">
      <c r="A66" s="2">
        <v>41439</v>
      </c>
      <c r="B66" s="3">
        <v>29.3817543608757</v>
      </c>
      <c r="C66" s="3">
        <v>25.661233933615822</v>
      </c>
      <c r="D66" s="3">
        <v>14.991448017331592</v>
      </c>
      <c r="E66" s="7">
        <v>204.55602820444918</v>
      </c>
      <c r="F66" s="4">
        <v>0.98717360377798558</v>
      </c>
      <c r="G66" s="4">
        <v>0.94375035310734534</v>
      </c>
      <c r="H66" s="3">
        <v>10.674214159604517</v>
      </c>
      <c r="I66" s="4">
        <v>0.61886246468926553</v>
      </c>
      <c r="J66" s="3">
        <v>4.2292410714285946</v>
      </c>
      <c r="K66" s="3">
        <v>-3.9312499999999893</v>
      </c>
      <c r="L66" s="4">
        <v>-2.0069444804819685E-3</v>
      </c>
      <c r="M66" s="4">
        <v>2.5767852339478359E-2</v>
      </c>
      <c r="N66" s="4">
        <f t="shared" si="13"/>
        <v>-4.7454009988700955E-4</v>
      </c>
      <c r="O66" s="4">
        <f t="shared" si="14"/>
        <v>-6.5546206268943539E-3</v>
      </c>
      <c r="P66" s="7">
        <v>113.95336666645511</v>
      </c>
      <c r="Q66" s="7">
        <v>-94.968428456147194</v>
      </c>
      <c r="R66" s="7">
        <v>18.984938210307917</v>
      </c>
      <c r="S66" s="4">
        <f t="shared" si="4"/>
        <v>1.1999078906425669</v>
      </c>
      <c r="T66" s="3">
        <v>3.7975365771727483</v>
      </c>
      <c r="U66" s="3">
        <v>28.371493627438962</v>
      </c>
      <c r="V66" s="7"/>
      <c r="W66">
        <v>48</v>
      </c>
      <c r="X66" s="21">
        <f t="shared" si="19"/>
        <v>149.78032215272771</v>
      </c>
      <c r="Y66" s="21">
        <f t="shared" si="20"/>
        <v>-152.29336189641799</v>
      </c>
      <c r="Z66" s="21">
        <f t="shared" si="22"/>
        <v>-2.5130397436902814</v>
      </c>
      <c r="AA66" s="224">
        <f t="shared" si="17"/>
        <v>152.29336189641799</v>
      </c>
      <c r="AB66" s="199">
        <f t="shared" si="18"/>
        <v>0.98349869152274982</v>
      </c>
      <c r="AD66" s="13">
        <f t="shared" si="15"/>
        <v>10.674214159604517</v>
      </c>
      <c r="AE66" s="3">
        <f t="shared" si="16"/>
        <v>1.6012516242937878</v>
      </c>
      <c r="AG66" s="334">
        <v>41439</v>
      </c>
      <c r="AH66" s="349">
        <v>4.2456199999999997</v>
      </c>
      <c r="AI66" s="349">
        <v>8.3019999999999996</v>
      </c>
      <c r="AK66" s="226">
        <v>64</v>
      </c>
      <c r="AL66" s="229">
        <v>64</v>
      </c>
      <c r="AM66" s="227">
        <v>3.927324</v>
      </c>
      <c r="AN66" s="227">
        <v>6.0979999999999999</v>
      </c>
      <c r="AQ66" s="247">
        <v>141.37855880000001</v>
      </c>
      <c r="AR66" s="247">
        <v>-135.478431</v>
      </c>
      <c r="AS66" s="244">
        <f t="shared" si="10"/>
        <v>137.72021841428571</v>
      </c>
      <c r="AT66" s="244">
        <f t="shared" si="11"/>
        <v>137.36540185714284</v>
      </c>
    </row>
    <row r="67" spans="1:46" ht="13.8" thickBot="1">
      <c r="A67" s="2">
        <v>41440</v>
      </c>
      <c r="B67" s="3">
        <v>29.364823587570616</v>
      </c>
      <c r="C67" s="3">
        <v>24.636208686440682</v>
      </c>
      <c r="D67" s="3">
        <v>14.232420449916122</v>
      </c>
      <c r="E67" s="7">
        <v>208.75219036899716</v>
      </c>
      <c r="F67" s="4">
        <v>1.0012758051348849</v>
      </c>
      <c r="G67" s="4">
        <v>0.9381622528248591</v>
      </c>
      <c r="H67" s="3">
        <v>11.313085805084752</v>
      </c>
      <c r="I67" s="4">
        <v>0.7124454449152543</v>
      </c>
      <c r="J67" s="3">
        <v>11.487500000000001</v>
      </c>
      <c r="K67" s="3">
        <v>-12.900312500000112</v>
      </c>
      <c r="L67" s="4">
        <v>1.3998726316791657E-2</v>
      </c>
      <c r="M67" s="4">
        <v>-4.5863656669953064E-3</v>
      </c>
      <c r="N67" s="4">
        <f t="shared" ref="N67:N83" si="23">L67/J67</f>
        <v>1.2186051200689144E-3</v>
      </c>
      <c r="O67" s="4">
        <f t="shared" ref="O67:O83" si="24">M67/K67</f>
        <v>3.5552360975714864E-4</v>
      </c>
      <c r="P67" s="7">
        <v>339.13841476154988</v>
      </c>
      <c r="Q67" s="7">
        <v>-309.4974272239948</v>
      </c>
      <c r="R67" s="7">
        <v>29.640987537555077</v>
      </c>
      <c r="S67" s="4">
        <f t="shared" si="4"/>
        <v>1.0957713535890004</v>
      </c>
      <c r="T67" s="3">
        <v>3.02752679915548</v>
      </c>
      <c r="U67" s="3">
        <v>27.222311388156267</v>
      </c>
      <c r="V67" s="7"/>
      <c r="W67">
        <v>48</v>
      </c>
      <c r="X67" s="21">
        <f t="shared" si="19"/>
        <v>150.81818977669712</v>
      </c>
      <c r="Y67" s="21">
        <f t="shared" si="20"/>
        <v>-158.87821886169104</v>
      </c>
      <c r="Z67" s="21">
        <f t="shared" si="22"/>
        <v>-8.0600290849939018</v>
      </c>
      <c r="AA67" s="224">
        <f t="shared" si="17"/>
        <v>158.87821886169104</v>
      </c>
      <c r="AB67" s="199">
        <f t="shared" si="18"/>
        <v>0.94926913743909447</v>
      </c>
      <c r="AD67" s="13">
        <f t="shared" ref="AD67:AD83" si="25">H67</f>
        <v>11.313085805084752</v>
      </c>
      <c r="AE67" s="3">
        <f t="shared" ref="AE67:AE83" si="26">4.6*G67-2.74</f>
        <v>1.5755463629943511</v>
      </c>
      <c r="AG67" s="334">
        <v>41440</v>
      </c>
      <c r="AH67" s="349">
        <v>3.268281</v>
      </c>
      <c r="AI67" s="349">
        <v>5.4729999999999999</v>
      </c>
      <c r="AK67" s="226">
        <v>65</v>
      </c>
      <c r="AL67" s="228">
        <v>65</v>
      </c>
      <c r="AM67" s="225">
        <v>2.6197210000000002</v>
      </c>
      <c r="AN67" s="225">
        <v>5.4729999999999999</v>
      </c>
      <c r="AQ67" s="248">
        <v>136.1852978</v>
      </c>
      <c r="AR67" s="248">
        <v>-95.630292999999995</v>
      </c>
      <c r="AS67" s="244">
        <f t="shared" si="10"/>
        <v>132.41002681428569</v>
      </c>
      <c r="AT67" s="244">
        <f t="shared" si="11"/>
        <v>139.15463842857145</v>
      </c>
    </row>
    <row r="68" spans="1:46" ht="13.8" thickBot="1">
      <c r="A68" s="2">
        <v>41441</v>
      </c>
      <c r="B68" s="3">
        <v>29.779257856638413</v>
      </c>
      <c r="C68" s="3">
        <v>21.329462747175139</v>
      </c>
      <c r="D68" s="3">
        <v>11.632273203173417</v>
      </c>
      <c r="E68" s="7">
        <v>208.81118136475982</v>
      </c>
      <c r="F68" s="4">
        <v>0.99021136075776039</v>
      </c>
      <c r="G68" s="4">
        <v>1.1200850988700566</v>
      </c>
      <c r="H68" s="3">
        <v>14.428552789548029</v>
      </c>
      <c r="I68" s="4">
        <v>0.69962394067796596</v>
      </c>
      <c r="J68" s="3">
        <v>1.8805803571428525</v>
      </c>
      <c r="K68" s="3">
        <v>-4.2006249999998992</v>
      </c>
      <c r="L68" s="4">
        <v>-5.1414605461835589E-3</v>
      </c>
      <c r="M68" s="4">
        <v>4.2995641383035473E-2</v>
      </c>
      <c r="N68" s="4">
        <f t="shared" si="23"/>
        <v>-2.7339754595729852E-3</v>
      </c>
      <c r="O68" s="4">
        <f t="shared" si="24"/>
        <v>-1.0235534327162387E-2</v>
      </c>
      <c r="P68" s="7">
        <v>85.300015888748774</v>
      </c>
      <c r="Q68" s="7">
        <v>-101.84689539319042</v>
      </c>
      <c r="R68" s="7">
        <v>-16.546879504441648</v>
      </c>
      <c r="S68" s="4">
        <f t="shared" ref="S68:S131" si="27">P68/-Q68</f>
        <v>0.83753182224592393</v>
      </c>
      <c r="T68" s="3">
        <v>3.4650667156370658</v>
      </c>
      <c r="U68" s="3">
        <v>28.568473201624233</v>
      </c>
      <c r="V68" s="7"/>
      <c r="W68">
        <v>48</v>
      </c>
      <c r="X68" s="21">
        <f t="shared" si="19"/>
        <v>191.67707649313022</v>
      </c>
      <c r="Y68" s="21">
        <f t="shared" si="20"/>
        <v>-193.13317764159265</v>
      </c>
      <c r="Z68" s="21">
        <f t="shared" si="22"/>
        <v>-1.4561011484624413</v>
      </c>
      <c r="AA68" s="224">
        <f t="shared" si="17"/>
        <v>193.13317764159265</v>
      </c>
      <c r="AB68" s="199">
        <f t="shared" si="18"/>
        <v>0.99246063692295994</v>
      </c>
      <c r="AD68" s="13">
        <f t="shared" si="25"/>
        <v>14.428552789548029</v>
      </c>
      <c r="AE68" s="3">
        <f t="shared" si="26"/>
        <v>2.4123914548022594</v>
      </c>
      <c r="AG68" s="334">
        <v>41441</v>
      </c>
      <c r="AH68" s="349">
        <v>2.9359609999999998</v>
      </c>
      <c r="AI68" s="349">
        <v>5.0519999999999996</v>
      </c>
      <c r="AK68" s="226">
        <v>66</v>
      </c>
      <c r="AL68" s="229">
        <v>66</v>
      </c>
      <c r="AM68" s="227">
        <v>3.6746349999999999</v>
      </c>
      <c r="AN68" s="227">
        <v>6.2560000000000002</v>
      </c>
      <c r="AQ68" s="247">
        <v>96.162308300000007</v>
      </c>
      <c r="AR68" s="247">
        <v>-103.801361</v>
      </c>
      <c r="AS68" s="244">
        <f t="shared" si="10"/>
        <v>176.86327595714286</v>
      </c>
      <c r="AT68" s="244">
        <f t="shared" si="11"/>
        <v>176.82272771428572</v>
      </c>
    </row>
    <row r="69" spans="1:46" ht="13.8" thickBot="1">
      <c r="A69" s="2">
        <v>41442</v>
      </c>
      <c r="B69" s="3">
        <v>29.561699205508464</v>
      </c>
      <c r="C69" s="3">
        <v>24.242835628531068</v>
      </c>
      <c r="D69" s="3">
        <v>13.874936549462136</v>
      </c>
      <c r="E69" s="7">
        <v>205.33779683086152</v>
      </c>
      <c r="F69" s="4">
        <v>0.98595577373585941</v>
      </c>
      <c r="G69" s="4">
        <v>1.0477242231638422</v>
      </c>
      <c r="H69" s="3">
        <v>11.790251765536722</v>
      </c>
      <c r="I69" s="4">
        <v>0.56468591101694909</v>
      </c>
      <c r="J69" s="3">
        <v>2.6930803571428781</v>
      </c>
      <c r="K69" s="3">
        <v>-5.1462500000000677</v>
      </c>
      <c r="L69" s="4">
        <v>-1.5333746403744741E-4</v>
      </c>
      <c r="M69" s="4">
        <v>7.5749281451749056E-2</v>
      </c>
      <c r="N69" s="4">
        <f t="shared" si="23"/>
        <v>-5.6937574710962211E-5</v>
      </c>
      <c r="O69" s="4">
        <f t="shared" si="24"/>
        <v>-1.4719316288899307E-2</v>
      </c>
      <c r="P69" s="7">
        <v>110.15365891681374</v>
      </c>
      <c r="Q69" s="7">
        <v>-125.3279827548436</v>
      </c>
      <c r="R69" s="7">
        <v>-15.174323838029864</v>
      </c>
      <c r="S69" s="4">
        <f t="shared" si="27"/>
        <v>0.8789230983816867</v>
      </c>
      <c r="T69" s="3">
        <v>5.6774583333333313</v>
      </c>
      <c r="U69" s="3">
        <v>28.288125000000001</v>
      </c>
      <c r="V69" s="7">
        <v>488.97321428571428</v>
      </c>
      <c r="W69">
        <v>48</v>
      </c>
      <c r="X69" s="21">
        <f t="shared" si="19"/>
        <v>226.07437167898303</v>
      </c>
      <c r="Y69" s="21">
        <f t="shared" si="20"/>
        <v>-225.92416175191684</v>
      </c>
      <c r="Z69" s="21">
        <f t="shared" si="22"/>
        <v>0.15020992706621428</v>
      </c>
      <c r="AA69" s="224">
        <f t="shared" si="17"/>
        <v>225.92416175191684</v>
      </c>
      <c r="AB69" s="199">
        <f t="shared" si="18"/>
        <v>1.0006648688033248</v>
      </c>
      <c r="AD69" s="13">
        <f t="shared" si="25"/>
        <v>11.790251765536722</v>
      </c>
      <c r="AE69" s="3">
        <f t="shared" si="26"/>
        <v>2.0795314265536735</v>
      </c>
      <c r="AG69" s="334">
        <v>41442</v>
      </c>
      <c r="AH69" s="349">
        <v>5.0936459999999997</v>
      </c>
      <c r="AI69" s="349">
        <v>7.0090000000000003</v>
      </c>
      <c r="AK69" s="226">
        <v>67</v>
      </c>
      <c r="AL69" s="228">
        <v>67</v>
      </c>
      <c r="AM69" s="225">
        <v>6.4154999999999998</v>
      </c>
      <c r="AN69" s="225">
        <v>9.32</v>
      </c>
      <c r="AQ69" s="248">
        <v>122.9244973</v>
      </c>
      <c r="AR69" s="248">
        <v>-136.885775</v>
      </c>
      <c r="AS69" s="244">
        <f t="shared" si="10"/>
        <v>201.19809701428571</v>
      </c>
      <c r="AT69" s="244">
        <f t="shared" si="11"/>
        <v>189.94081399999999</v>
      </c>
    </row>
    <row r="70" spans="1:46" ht="13.8" thickBot="1">
      <c r="A70" s="2">
        <v>41443</v>
      </c>
      <c r="B70" s="3">
        <v>29.034083192090392</v>
      </c>
      <c r="C70" s="3">
        <v>25.798818149717516</v>
      </c>
      <c r="D70" s="3">
        <v>15.207851525916114</v>
      </c>
      <c r="E70" s="7">
        <v>202.78643626412429</v>
      </c>
      <c r="F70" s="4">
        <v>0.97367629609111495</v>
      </c>
      <c r="G70" s="4">
        <v>1.3407639477401121</v>
      </c>
      <c r="H70" s="3">
        <v>10.555831391242934</v>
      </c>
      <c r="I70" s="4">
        <v>0.72922334039548009</v>
      </c>
      <c r="J70" s="3">
        <v>4.173660714285746</v>
      </c>
      <c r="K70" s="3">
        <v>-6.8318750000000819</v>
      </c>
      <c r="L70" s="4">
        <v>5.1579552694342848E-2</v>
      </c>
      <c r="M70" s="4">
        <v>2.3318910196702743E-2</v>
      </c>
      <c r="N70" s="4">
        <f t="shared" si="23"/>
        <v>1.2358348276321221E-2</v>
      </c>
      <c r="O70" s="4">
        <f t="shared" si="24"/>
        <v>-3.4132518813213743E-3</v>
      </c>
      <c r="P70" s="7">
        <v>152.76707808238061</v>
      </c>
      <c r="Q70" s="7">
        <v>-164.52465384472282</v>
      </c>
      <c r="R70" s="7">
        <v>-11.757575762342213</v>
      </c>
      <c r="S70" s="4">
        <f t="shared" si="27"/>
        <v>0.92853608570154522</v>
      </c>
      <c r="T70" s="3">
        <v>5.2605448827283041</v>
      </c>
      <c r="U70" s="3">
        <v>27.047032143385469</v>
      </c>
      <c r="V70" s="7">
        <v>476.86964285714288</v>
      </c>
      <c r="W70">
        <v>48</v>
      </c>
      <c r="X70" s="21">
        <f t="shared" si="19"/>
        <v>243.86434693367758</v>
      </c>
      <c r="Y70" s="21">
        <f t="shared" si="20"/>
        <v>-239.05841704855604</v>
      </c>
      <c r="Z70" s="21">
        <f t="shared" si="22"/>
        <v>4.805929885121567</v>
      </c>
      <c r="AA70" s="224">
        <f t="shared" ref="AA70:AA80" si="28">-Y70</f>
        <v>239.05841704855604</v>
      </c>
      <c r="AB70" s="199">
        <f t="shared" ref="AB70:AB80" si="29">X70/-Y70</f>
        <v>1.0201035794700564</v>
      </c>
      <c r="AD70" s="13">
        <f t="shared" si="25"/>
        <v>10.555831391242934</v>
      </c>
      <c r="AE70" s="3">
        <f t="shared" si="26"/>
        <v>3.4275141596045149</v>
      </c>
      <c r="AG70" s="334">
        <v>41443</v>
      </c>
      <c r="AH70" s="349">
        <v>6.4315420000000003</v>
      </c>
      <c r="AI70" s="349">
        <v>9.32</v>
      </c>
      <c r="AK70" s="226">
        <v>68</v>
      </c>
      <c r="AL70" s="229">
        <v>68</v>
      </c>
      <c r="AM70" s="227">
        <v>4.5887659999999997</v>
      </c>
      <c r="AN70" s="227">
        <v>9.0980000000000008</v>
      </c>
      <c r="AQ70" s="246">
        <v>113.7023141</v>
      </c>
      <c r="AR70" s="246">
        <v>-125.526737</v>
      </c>
      <c r="AS70" s="244">
        <f t="shared" si="10"/>
        <v>201.18084732857142</v>
      </c>
      <c r="AT70" s="244">
        <f t="shared" si="11"/>
        <v>187.21607371428567</v>
      </c>
    </row>
    <row r="71" spans="1:46" ht="13.8" thickBot="1">
      <c r="A71" s="2">
        <v>41444</v>
      </c>
      <c r="B71" s="3">
        <v>29.262782874293787</v>
      </c>
      <c r="C71" s="3">
        <v>24.319707274011304</v>
      </c>
      <c r="D71" s="3">
        <v>14.0291741738982</v>
      </c>
      <c r="E71" s="7">
        <v>210.99991724046615</v>
      </c>
      <c r="F71" s="4">
        <v>1.0086826761830368</v>
      </c>
      <c r="G71" s="4">
        <v>1.4148022598870051</v>
      </c>
      <c r="H71" s="3">
        <v>10.926110169491528</v>
      </c>
      <c r="I71" s="4">
        <v>0.74620727401129916</v>
      </c>
      <c r="J71" s="3">
        <v>13.43125</v>
      </c>
      <c r="K71" s="3">
        <v>-15.622812499999878</v>
      </c>
      <c r="L71" s="4">
        <v>7.3646020014639605E-3</v>
      </c>
      <c r="M71" s="4">
        <v>6.863322312662028E-4</v>
      </c>
      <c r="N71" s="4">
        <f t="shared" si="23"/>
        <v>5.4831843659108122E-4</v>
      </c>
      <c r="O71" s="4">
        <f t="shared" si="24"/>
        <v>-4.3931413198885165E-5</v>
      </c>
      <c r="P71" s="7">
        <v>404.24276387068306</v>
      </c>
      <c r="Q71" s="7">
        <v>-374.96397197354747</v>
      </c>
      <c r="R71" s="7">
        <v>29.278791897135591</v>
      </c>
      <c r="S71" s="4">
        <f t="shared" si="27"/>
        <v>1.0780842803190731</v>
      </c>
      <c r="T71" s="3">
        <v>2.4476943097703727</v>
      </c>
      <c r="U71" s="3">
        <v>27.381466033681232</v>
      </c>
      <c r="V71" s="7"/>
      <c r="W71">
        <v>48</v>
      </c>
      <c r="X71" s="21">
        <f t="shared" ref="X71:X80" si="30">AVERAGE(P68:P74)</f>
        <v>225.02769944427669</v>
      </c>
      <c r="Y71" s="21">
        <f t="shared" ref="Y71:Y80" si="31">AVERAGE(Q68:Q74)</f>
        <v>-220.42270880736595</v>
      </c>
      <c r="Z71" s="21">
        <f t="shared" ref="Z71:Z80" si="32">AVERAGE(R68:R74)</f>
        <v>4.6049906369107338</v>
      </c>
      <c r="AA71" s="224">
        <f t="shared" si="28"/>
        <v>220.42270880736595</v>
      </c>
      <c r="AB71" s="199">
        <f t="shared" si="29"/>
        <v>1.0208916343593943</v>
      </c>
      <c r="AD71" s="13">
        <f t="shared" si="25"/>
        <v>10.926110169491528</v>
      </c>
      <c r="AE71" s="3">
        <f t="shared" si="26"/>
        <v>3.7680903954802227</v>
      </c>
      <c r="AG71" s="334">
        <v>41444</v>
      </c>
      <c r="AH71" s="349">
        <v>2.710423</v>
      </c>
      <c r="AI71" s="349">
        <v>5.7359999999999998</v>
      </c>
      <c r="AK71" s="226">
        <v>69</v>
      </c>
      <c r="AL71" s="228">
        <v>69</v>
      </c>
      <c r="AM71" s="225">
        <v>2.279385</v>
      </c>
      <c r="AN71" s="225">
        <v>5.7359999999999998</v>
      </c>
      <c r="AQ71" s="245">
        <v>476.09244589999997</v>
      </c>
      <c r="AR71" s="245">
        <v>-455.62445300000002</v>
      </c>
      <c r="AS71" s="244">
        <f t="shared" ref="AS71:AS81" si="33">AVERAGE(AQ68:AQ74)</f>
        <v>187.32417887142853</v>
      </c>
      <c r="AT71" s="244">
        <f t="shared" ref="AT71:AT81" si="34">-AVERAGE(AR68:AR74)</f>
        <v>179.25393500000001</v>
      </c>
    </row>
    <row r="72" spans="1:46" ht="13.8" thickBot="1">
      <c r="A72" s="2">
        <v>41445</v>
      </c>
      <c r="B72" s="3">
        <v>29.826120586158197</v>
      </c>
      <c r="C72" s="3">
        <v>22.477864936440668</v>
      </c>
      <c r="D72" s="3">
        <v>12.473422154579469</v>
      </c>
      <c r="E72" s="7">
        <v>213.30511784957625</v>
      </c>
      <c r="F72" s="4">
        <v>1.0186275358369088</v>
      </c>
      <c r="G72" s="4">
        <v>1.3265847457627122</v>
      </c>
      <c r="H72" s="3">
        <v>12.878724752824866</v>
      </c>
      <c r="I72" s="4">
        <v>0.80916949152542406</v>
      </c>
      <c r="J72" s="3">
        <v>9.9598214285713311</v>
      </c>
      <c r="K72" s="3">
        <v>-17.11499999999986</v>
      </c>
      <c r="L72" s="4">
        <v>-3.0015248087688243E-2</v>
      </c>
      <c r="M72" s="4">
        <v>-1.7509474292715366E-2</v>
      </c>
      <c r="N72" s="4">
        <f t="shared" si="23"/>
        <v>-3.0136331562717312E-3</v>
      </c>
      <c r="O72" s="4">
        <f t="shared" si="24"/>
        <v>1.0230484541463927E-3</v>
      </c>
      <c r="P72" s="7">
        <v>376.9653035662501</v>
      </c>
      <c r="Q72" s="7">
        <v>-410.33977261697146</v>
      </c>
      <c r="R72" s="7">
        <v>-33.374469050721359</v>
      </c>
      <c r="S72" s="4">
        <f t="shared" si="27"/>
        <v>0.91866625835981419</v>
      </c>
      <c r="T72" s="3">
        <v>2.9979925733607051</v>
      </c>
      <c r="U72" s="3">
        <v>27.083405383854309</v>
      </c>
      <c r="V72" s="7"/>
      <c r="W72">
        <v>48</v>
      </c>
      <c r="X72" s="21">
        <f t="shared" si="30"/>
        <v>216.79562092070654</v>
      </c>
      <c r="Y72" s="21">
        <f t="shared" si="31"/>
        <v>-215.95806605798589</v>
      </c>
      <c r="Z72" s="21">
        <f t="shared" si="32"/>
        <v>0.83755486272059243</v>
      </c>
      <c r="AA72" s="224">
        <f t="shared" si="28"/>
        <v>215.95806605798589</v>
      </c>
      <c r="AB72" s="199">
        <f t="shared" si="29"/>
        <v>1.0038783217409244</v>
      </c>
      <c r="AD72" s="13">
        <f t="shared" si="25"/>
        <v>12.878724752824866</v>
      </c>
      <c r="AE72" s="3">
        <f t="shared" si="26"/>
        <v>3.3622898305084759</v>
      </c>
      <c r="AG72" s="334">
        <v>41445</v>
      </c>
      <c r="AH72" s="349">
        <v>2.714826</v>
      </c>
      <c r="AI72" s="349">
        <v>4.8659999999999997</v>
      </c>
      <c r="AK72" s="226">
        <v>70</v>
      </c>
      <c r="AL72" s="229">
        <v>70</v>
      </c>
      <c r="AM72" s="227">
        <v>3.370927</v>
      </c>
      <c r="AN72" s="227">
        <v>6.016</v>
      </c>
      <c r="AQ72" s="246">
        <v>321.94125689999998</v>
      </c>
      <c r="AR72" s="246">
        <v>-276.63864799999999</v>
      </c>
      <c r="AS72" s="244">
        <f t="shared" si="33"/>
        <v>175.49854122857138</v>
      </c>
      <c r="AT72" s="244">
        <f t="shared" si="34"/>
        <v>171.04888814285715</v>
      </c>
    </row>
    <row r="73" spans="1:46" ht="13.8" thickBot="1">
      <c r="A73" s="2">
        <v>41446</v>
      </c>
      <c r="B73" s="3">
        <v>29.39187886652542</v>
      </c>
      <c r="C73" s="3">
        <v>23.778318679378533</v>
      </c>
      <c r="D73" s="3">
        <v>13.583998210693672</v>
      </c>
      <c r="E73" s="7">
        <v>213.06563934498581</v>
      </c>
      <c r="F73" s="4">
        <v>1.01758334031838</v>
      </c>
      <c r="G73" s="4">
        <v>1.4268020833333332</v>
      </c>
      <c r="H73" s="3">
        <v>13.085451271186434</v>
      </c>
      <c r="I73" s="4">
        <v>0.79299929378531087</v>
      </c>
      <c r="J73" s="3">
        <v>9.3424107142856521</v>
      </c>
      <c r="K73" s="3">
        <v>-7.8028125000000133</v>
      </c>
      <c r="L73" s="4">
        <v>-6.2638664173777642E-3</v>
      </c>
      <c r="M73" s="4">
        <v>-1.4970186140776959E-2</v>
      </c>
      <c r="N73" s="4">
        <f t="shared" si="23"/>
        <v>-6.7047645505453651E-4</v>
      </c>
      <c r="O73" s="4">
        <f t="shared" si="24"/>
        <v>1.9185628439459404E-3</v>
      </c>
      <c r="P73" s="7">
        <v>238.48319344931701</v>
      </c>
      <c r="Q73" s="7">
        <v>-186.90821553262163</v>
      </c>
      <c r="R73" s="7">
        <v>51.574977916695389</v>
      </c>
      <c r="S73" s="4">
        <f t="shared" si="27"/>
        <v>1.2759374582317056</v>
      </c>
      <c r="T73" s="3">
        <v>3.1531602624014763</v>
      </c>
      <c r="U73" s="3">
        <v>26.729989332175844</v>
      </c>
      <c r="V73" s="7"/>
      <c r="W73">
        <v>48</v>
      </c>
      <c r="X73" s="21">
        <f t="shared" si="30"/>
        <v>218.66745827362408</v>
      </c>
      <c r="Y73" s="21">
        <f t="shared" si="31"/>
        <v>-211.68227810266234</v>
      </c>
      <c r="Z73" s="21">
        <f t="shared" si="32"/>
        <v>6.9851801709617023</v>
      </c>
      <c r="AA73" s="224">
        <f t="shared" si="28"/>
        <v>211.68227810266234</v>
      </c>
      <c r="AB73" s="199">
        <f t="shared" si="29"/>
        <v>1.0329984174091986</v>
      </c>
      <c r="AD73" s="13">
        <f t="shared" si="25"/>
        <v>13.085451271186434</v>
      </c>
      <c r="AE73" s="3">
        <f t="shared" si="26"/>
        <v>3.8232895833333318</v>
      </c>
      <c r="AG73" s="334">
        <v>41446</v>
      </c>
      <c r="AH73" s="349">
        <v>3.1531600000000002</v>
      </c>
      <c r="AI73" s="349">
        <v>6.016</v>
      </c>
      <c r="AK73" s="226">
        <v>71</v>
      </c>
      <c r="AL73" s="228">
        <v>71</v>
      </c>
      <c r="AM73" s="225">
        <v>2.8792559999999998</v>
      </c>
      <c r="AN73" s="225">
        <v>5.79</v>
      </c>
      <c r="AQ73" s="245">
        <v>141.257811</v>
      </c>
      <c r="AR73" s="245">
        <v>-116.405249</v>
      </c>
      <c r="AS73" s="244">
        <f t="shared" si="33"/>
        <v>176.02835182857143</v>
      </c>
      <c r="AT73" s="244">
        <f t="shared" si="34"/>
        <v>169.46985799999999</v>
      </c>
    </row>
    <row r="74" spans="1:46" ht="13.8" thickBot="1">
      <c r="A74" s="2">
        <v>41447</v>
      </c>
      <c r="B74" s="3">
        <v>29.261304502118652</v>
      </c>
      <c r="C74" s="3">
        <v>24.410812499999995</v>
      </c>
      <c r="D74" s="3">
        <v>14.0987216310251</v>
      </c>
      <c r="E74" s="7">
        <v>211.59250860699157</v>
      </c>
      <c r="F74" s="4">
        <v>1.0118886510521101</v>
      </c>
      <c r="G74" s="4">
        <v>1.2656475988700564</v>
      </c>
      <c r="H74" s="3">
        <v>12.637158898305087</v>
      </c>
      <c r="I74" s="4">
        <v>0.69604625706214707</v>
      </c>
      <c r="J74" s="3">
        <v>7.3486607142857183</v>
      </c>
      <c r="K74" s="3">
        <v>-7.4653124999998983</v>
      </c>
      <c r="L74" s="4">
        <v>3.1232066706777944E-3</v>
      </c>
      <c r="M74" s="4">
        <v>-5.001269347217464E-3</v>
      </c>
      <c r="N74" s="4">
        <f t="shared" si="23"/>
        <v>4.2500351997559418E-4</v>
      </c>
      <c r="O74" s="4">
        <f t="shared" si="24"/>
        <v>6.6993435937444444E-4</v>
      </c>
      <c r="P74" s="7">
        <v>207.28188233574357</v>
      </c>
      <c r="Q74" s="7">
        <v>-179.04746953566433</v>
      </c>
      <c r="R74" s="7">
        <v>28.234412800079241</v>
      </c>
      <c r="S74" s="4">
        <f t="shared" si="27"/>
        <v>1.1576923308288098</v>
      </c>
      <c r="T74" s="3">
        <v>2.4789922660318564</v>
      </c>
      <c r="U74" s="3">
        <v>27.768955247746337</v>
      </c>
      <c r="V74" s="7"/>
      <c r="W74">
        <v>48</v>
      </c>
      <c r="X74" s="21">
        <f t="shared" si="30"/>
        <v>226.15665753367784</v>
      </c>
      <c r="Y74" s="21">
        <f t="shared" si="31"/>
        <v>-216.9905785768085</v>
      </c>
      <c r="Z74" s="21">
        <f t="shared" si="32"/>
        <v>9.1660789568693311</v>
      </c>
      <c r="AA74" s="224">
        <f t="shared" si="28"/>
        <v>216.9905785768085</v>
      </c>
      <c r="AB74" s="199">
        <f t="shared" si="29"/>
        <v>1.042241829193634</v>
      </c>
      <c r="AD74" s="13">
        <f t="shared" si="25"/>
        <v>12.637158898305087</v>
      </c>
      <c r="AE74" s="3">
        <f t="shared" si="26"/>
        <v>3.0819789548022589</v>
      </c>
      <c r="AG74" s="334">
        <v>41447</v>
      </c>
      <c r="AH74" s="349">
        <v>2.475117</v>
      </c>
      <c r="AI74" s="349">
        <v>4.5223139999999997</v>
      </c>
      <c r="AK74" s="226">
        <v>72</v>
      </c>
      <c r="AL74" s="229">
        <v>72</v>
      </c>
      <c r="AM74" s="227">
        <v>2.5707390000000001</v>
      </c>
      <c r="AN74" s="227">
        <v>5.8289999999999997</v>
      </c>
      <c r="AQ74" s="246">
        <v>39.188618599999998</v>
      </c>
      <c r="AR74" s="246">
        <v>-39.895322</v>
      </c>
      <c r="AS74" s="244">
        <f t="shared" si="33"/>
        <v>190.4759178857143</v>
      </c>
      <c r="AT74" s="244">
        <f t="shared" si="34"/>
        <v>180.63791457142858</v>
      </c>
    </row>
    <row r="75" spans="1:46" ht="13.8" thickBot="1">
      <c r="A75" s="2">
        <v>41448</v>
      </c>
      <c r="B75" s="3">
        <v>29.104384427966096</v>
      </c>
      <c r="C75" s="3">
        <v>24.07182680084745</v>
      </c>
      <c r="D75" s="3">
        <v>13.895923592431975</v>
      </c>
      <c r="E75" s="7">
        <v>209.14771473340397</v>
      </c>
      <c r="F75" s="4">
        <v>0.99575060805829441</v>
      </c>
      <c r="G75" s="4">
        <v>1.3433637005649715</v>
      </c>
      <c r="H75" s="3">
        <v>13.383877118644071</v>
      </c>
      <c r="I75" s="4">
        <v>0.64212040960451977</v>
      </c>
      <c r="J75" s="3">
        <v>-0.96316964285716344</v>
      </c>
      <c r="K75" s="3">
        <v>-2.9350000000000822</v>
      </c>
      <c r="L75" s="4">
        <v>1.4445139738734308E-3</v>
      </c>
      <c r="M75" s="4">
        <v>6.4331728136687609E-3</v>
      </c>
      <c r="N75" s="4">
        <f t="shared" si="23"/>
        <v>-1.4997503135464269E-3</v>
      </c>
      <c r="O75" s="4">
        <f t="shared" si="24"/>
        <v>-2.19188170823461E-3</v>
      </c>
      <c r="P75" s="7">
        <v>27.675466223757397</v>
      </c>
      <c r="Q75" s="7">
        <v>-70.594396147530034</v>
      </c>
      <c r="R75" s="7">
        <v>-42.918929923772637</v>
      </c>
      <c r="S75" s="4">
        <f t="shared" si="27"/>
        <v>0.39203488851891977</v>
      </c>
      <c r="T75" s="3">
        <v>2.6547538253208969</v>
      </c>
      <c r="U75" s="3">
        <v>27.421042238550086</v>
      </c>
      <c r="V75" s="7"/>
      <c r="W75">
        <v>48</v>
      </c>
      <c r="X75" s="21">
        <f t="shared" si="30"/>
        <v>194.05698894261249</v>
      </c>
      <c r="Y75" s="21">
        <f t="shared" si="31"/>
        <v>-192.67026135935836</v>
      </c>
      <c r="Z75" s="21">
        <f t="shared" si="32"/>
        <v>1.3867275832541341</v>
      </c>
      <c r="AA75" s="224">
        <f t="shared" si="28"/>
        <v>192.67026135935836</v>
      </c>
      <c r="AB75" s="199">
        <f t="shared" si="29"/>
        <v>1.0071974137236865</v>
      </c>
      <c r="AD75" s="13">
        <f t="shared" si="25"/>
        <v>13.383877118644071</v>
      </c>
      <c r="AE75" s="3">
        <f t="shared" si="26"/>
        <v>3.4394730225988681</v>
      </c>
      <c r="AG75" s="334">
        <v>41448</v>
      </c>
      <c r="AH75" s="349">
        <v>2.8045450000000001</v>
      </c>
      <c r="AI75" s="349">
        <v>5.8289999999999997</v>
      </c>
      <c r="AK75" s="226">
        <v>73</v>
      </c>
      <c r="AL75" s="228">
        <v>73</v>
      </c>
      <c r="AM75" s="225">
        <v>2.3672870000000001</v>
      </c>
      <c r="AN75" s="225">
        <v>5.3079999999999998</v>
      </c>
      <c r="AQ75" s="245">
        <v>13.382844800000001</v>
      </c>
      <c r="AR75" s="245">
        <v>-46.366033000000002</v>
      </c>
      <c r="AS75" s="244">
        <f t="shared" si="33"/>
        <v>152.06970577142857</v>
      </c>
      <c r="AT75" s="244">
        <f t="shared" si="34"/>
        <v>148.32179585714286</v>
      </c>
    </row>
    <row r="76" spans="1:46" ht="13.8" thickBot="1">
      <c r="A76" s="2">
        <v>41449</v>
      </c>
      <c r="B76" s="3">
        <v>29.496274346751406</v>
      </c>
      <c r="C76" s="3">
        <v>24.720947033898298</v>
      </c>
      <c r="D76" s="3">
        <v>14.252662437719637</v>
      </c>
      <c r="E76" s="7">
        <v>210.39947475282489</v>
      </c>
      <c r="F76" s="4">
        <v>1.0120554924173832</v>
      </c>
      <c r="G76" s="4">
        <v>1.3517111581920902</v>
      </c>
      <c r="H76" s="3">
        <v>11.305588629943502</v>
      </c>
      <c r="I76" s="4">
        <v>0.67083774717514133</v>
      </c>
      <c r="J76" s="3">
        <v>4.8209821428571553</v>
      </c>
      <c r="K76" s="3">
        <v>-3.9856249999999198</v>
      </c>
      <c r="L76" s="4">
        <v>-8.1605665108212579E-3</v>
      </c>
      <c r="M76" s="4">
        <v>-1.073053885081067E-2</v>
      </c>
      <c r="N76" s="4">
        <f t="shared" si="23"/>
        <v>-1.6927186761959043E-3</v>
      </c>
      <c r="O76" s="4">
        <f t="shared" si="24"/>
        <v>2.6923102024929303E-3</v>
      </c>
      <c r="P76" s="7">
        <v>123.25652038723655</v>
      </c>
      <c r="Q76" s="7">
        <v>-95.397467067578646</v>
      </c>
      <c r="R76" s="7">
        <v>27.859053319657903</v>
      </c>
      <c r="S76" s="4">
        <f t="shared" si="27"/>
        <v>1.2920313733269544</v>
      </c>
      <c r="T76" s="3">
        <v>2.3557890343313019</v>
      </c>
      <c r="U76" s="3">
        <v>27.523124078764539</v>
      </c>
      <c r="V76" s="7"/>
      <c r="W76">
        <v>48</v>
      </c>
      <c r="X76" s="21">
        <f t="shared" si="30"/>
        <v>156.62377127782159</v>
      </c>
      <c r="Y76" s="21">
        <f t="shared" si="31"/>
        <v>-157.91324928195496</v>
      </c>
      <c r="Z76" s="21">
        <f t="shared" si="32"/>
        <v>-1.2894780041334042</v>
      </c>
      <c r="AA76" s="224">
        <f t="shared" si="28"/>
        <v>157.91324928195496</v>
      </c>
      <c r="AB76" s="199">
        <f t="shared" si="29"/>
        <v>0.99183426336930725</v>
      </c>
      <c r="AD76" s="13">
        <f t="shared" si="25"/>
        <v>11.305588629943502</v>
      </c>
      <c r="AE76" s="3">
        <f t="shared" si="26"/>
        <v>3.477871327683614</v>
      </c>
      <c r="AG76" s="334">
        <v>41449</v>
      </c>
      <c r="AH76" s="349">
        <v>2.2098719999999998</v>
      </c>
      <c r="AI76" s="349">
        <v>3.9761009999999999</v>
      </c>
      <c r="AK76" s="226">
        <v>74</v>
      </c>
      <c r="AL76" s="229">
        <v>74</v>
      </c>
      <c r="AM76" s="227">
        <v>2.4271799999999999</v>
      </c>
      <c r="AN76" s="227">
        <v>3.9761009999999999</v>
      </c>
      <c r="AQ76" s="246">
        <v>126.6331715</v>
      </c>
      <c r="AR76" s="246">
        <v>-125.832564</v>
      </c>
      <c r="AS76" s="244">
        <f t="shared" si="33"/>
        <v>126.47924394285714</v>
      </c>
      <c r="AT76" s="244">
        <f t="shared" si="34"/>
        <v>134.57984157142857</v>
      </c>
    </row>
    <row r="77" spans="1:46" ht="13.8" thickBot="1">
      <c r="A77" s="2">
        <v>41450</v>
      </c>
      <c r="B77" s="3">
        <v>29.953375494350283</v>
      </c>
      <c r="C77" s="3">
        <v>23.897001765536725</v>
      </c>
      <c r="D77" s="3">
        <v>13.488353195026006</v>
      </c>
      <c r="E77" s="7">
        <v>214.65763484286728</v>
      </c>
      <c r="F77" s="4">
        <v>1.0355597377183872</v>
      </c>
      <c r="G77" s="4">
        <v>1.3226237641242944</v>
      </c>
      <c r="H77" s="3">
        <v>11.792236228813557</v>
      </c>
      <c r="I77" s="4">
        <v>0.70008262711864389</v>
      </c>
      <c r="J77" s="3">
        <v>6.2343749999999476</v>
      </c>
      <c r="K77" s="3">
        <v>-8.4140625000000178</v>
      </c>
      <c r="L77" s="4">
        <v>-1.8710563612654378E-2</v>
      </c>
      <c r="M77" s="4">
        <v>-1.0614284843940825E-2</v>
      </c>
      <c r="N77" s="4">
        <f t="shared" si="23"/>
        <v>-3.0011931609270435E-3</v>
      </c>
      <c r="O77" s="4">
        <f t="shared" si="24"/>
        <v>1.261493463346725E-3</v>
      </c>
      <c r="P77" s="7">
        <v>205.19147290275706</v>
      </c>
      <c r="Q77" s="7">
        <v>-201.68275716374586</v>
      </c>
      <c r="R77" s="7">
        <v>3.508715739011194</v>
      </c>
      <c r="S77" s="4">
        <f t="shared" si="27"/>
        <v>1.0173972023605493</v>
      </c>
      <c r="T77" s="3">
        <v>2.2268446586542305</v>
      </c>
      <c r="U77" s="3">
        <v>28.417758358078686</v>
      </c>
      <c r="V77" s="7"/>
      <c r="W77">
        <v>48</v>
      </c>
      <c r="X77" s="21">
        <f t="shared" si="30"/>
        <v>141.49738812502741</v>
      </c>
      <c r="Y77" s="21">
        <f t="shared" si="31"/>
        <v>-151.48160643294185</v>
      </c>
      <c r="Z77" s="21">
        <f t="shared" si="32"/>
        <v>-9.9842183079144231</v>
      </c>
      <c r="AA77" s="224">
        <f t="shared" si="28"/>
        <v>151.48160643294185</v>
      </c>
      <c r="AB77" s="199">
        <f t="shared" si="29"/>
        <v>0.93408956675981469</v>
      </c>
      <c r="AD77" s="13">
        <f t="shared" si="25"/>
        <v>11.792236228813557</v>
      </c>
      <c r="AE77" s="3">
        <f t="shared" si="26"/>
        <v>3.3440693149717537</v>
      </c>
      <c r="AG77" s="334">
        <v>41450</v>
      </c>
      <c r="AH77" s="349">
        <v>2.2411569999999998</v>
      </c>
      <c r="AI77" s="349">
        <v>3.64236</v>
      </c>
      <c r="AK77" s="226">
        <v>75</v>
      </c>
      <c r="AL77" s="228">
        <v>75</v>
      </c>
      <c r="AM77" s="225">
        <v>2.0432450000000002</v>
      </c>
      <c r="AN77" s="225">
        <v>3.0609999999999999</v>
      </c>
      <c r="AQ77" s="245">
        <v>214.83527649999999</v>
      </c>
      <c r="AR77" s="245">
        <v>-203.70313300000001</v>
      </c>
      <c r="AS77" s="244">
        <f t="shared" si="33"/>
        <v>124.33362841428571</v>
      </c>
      <c r="AT77" s="244">
        <f t="shared" si="34"/>
        <v>137.47925014285713</v>
      </c>
    </row>
    <row r="78" spans="1:46" ht="13.8" thickBot="1">
      <c r="A78" s="2">
        <v>41451</v>
      </c>
      <c r="B78" s="3">
        <v>30.118736882062151</v>
      </c>
      <c r="C78" s="3">
        <v>23.696185911016954</v>
      </c>
      <c r="D78" s="3">
        <v>13.284005768797984</v>
      </c>
      <c r="E78" s="7">
        <v>211.57925604696334</v>
      </c>
      <c r="F78" s="4">
        <v>1.0223250280991298</v>
      </c>
      <c r="G78" s="4">
        <v>1.131833333333333</v>
      </c>
      <c r="H78" s="3">
        <v>12.65905896892655</v>
      </c>
      <c r="I78" s="4">
        <v>0.65007750706214695</v>
      </c>
      <c r="J78" s="3">
        <v>4.2526785714285911</v>
      </c>
      <c r="K78" s="3">
        <v>-8.5371874999999058</v>
      </c>
      <c r="L78" s="4">
        <v>-4.1897289517720961E-2</v>
      </c>
      <c r="M78" s="4">
        <v>-7.1145228583832194E-3</v>
      </c>
      <c r="N78" s="4">
        <f t="shared" si="23"/>
        <v>-9.8519765399637336E-3</v>
      </c>
      <c r="O78" s="4">
        <f t="shared" si="24"/>
        <v>8.3335675342532869E-4</v>
      </c>
      <c r="P78" s="7">
        <v>179.54508373322582</v>
      </c>
      <c r="Q78" s="7">
        <v>-204.72175145139661</v>
      </c>
      <c r="R78" s="7">
        <v>-25.176667718170791</v>
      </c>
      <c r="S78" s="4">
        <f t="shared" si="27"/>
        <v>0.87702006484568384</v>
      </c>
      <c r="T78" s="3">
        <v>2.7704669949991003</v>
      </c>
      <c r="U78" s="3">
        <v>27.603013209006338</v>
      </c>
      <c r="V78" s="7"/>
      <c r="W78">
        <v>48</v>
      </c>
      <c r="X78" s="21">
        <f t="shared" si="30"/>
        <v>148.73281136459704</v>
      </c>
      <c r="Y78" s="21">
        <f t="shared" si="31"/>
        <v>-169.22437485077347</v>
      </c>
      <c r="Z78" s="21">
        <f t="shared" si="32"/>
        <v>-20.491563486176432</v>
      </c>
      <c r="AA78" s="224">
        <f t="shared" si="28"/>
        <v>169.22437485077347</v>
      </c>
      <c r="AB78" s="199">
        <f t="shared" si="29"/>
        <v>0.87890891306736141</v>
      </c>
      <c r="AD78" s="13">
        <f t="shared" si="25"/>
        <v>12.65905896892655</v>
      </c>
      <c r="AE78" s="3">
        <f t="shared" si="26"/>
        <v>2.466433333333331</v>
      </c>
      <c r="AG78" s="334">
        <v>41451</v>
      </c>
      <c r="AH78" s="349">
        <v>2.756154</v>
      </c>
      <c r="AI78" s="349">
        <v>5.0068479999999997</v>
      </c>
      <c r="AK78" s="226">
        <v>76</v>
      </c>
      <c r="AL78" s="229">
        <v>76</v>
      </c>
      <c r="AM78" s="227">
        <v>3.0527129999999998</v>
      </c>
      <c r="AN78" s="227">
        <v>5.0068479999999997</v>
      </c>
      <c r="AQ78" s="246">
        <v>207.2489611</v>
      </c>
      <c r="AR78" s="246">
        <v>-229.41162199999999</v>
      </c>
      <c r="AS78" s="244">
        <f t="shared" si="33"/>
        <v>147.90396179999999</v>
      </c>
      <c r="AT78" s="244">
        <f t="shared" si="34"/>
        <v>165.36118985714285</v>
      </c>
    </row>
    <row r="79" spans="1:46" ht="13.8" thickBot="1">
      <c r="A79" s="2">
        <v>41452</v>
      </c>
      <c r="B79" s="3">
        <v>30.08386117584746</v>
      </c>
      <c r="C79" s="3">
        <v>25.808277718926551</v>
      </c>
      <c r="D79" s="3">
        <v>14.870685433618396</v>
      </c>
      <c r="E79" s="7">
        <v>206.11347435557911</v>
      </c>
      <c r="F79" s="4">
        <v>1.0067947246757967</v>
      </c>
      <c r="G79" s="4">
        <v>1.0253606991525421</v>
      </c>
      <c r="H79" s="3">
        <v>10.875216278248587</v>
      </c>
      <c r="I79" s="4">
        <v>0.54027312853107357</v>
      </c>
      <c r="J79" s="3">
        <v>1.2223214285713713</v>
      </c>
      <c r="K79" s="3">
        <v>-6.957812499999946</v>
      </c>
      <c r="L79" s="4">
        <v>-2.7134181110529787E-2</v>
      </c>
      <c r="M79" s="4">
        <v>2.216169797876668E-3</v>
      </c>
      <c r="N79" s="4">
        <f t="shared" si="23"/>
        <v>-2.2198891777790202E-2</v>
      </c>
      <c r="O79" s="4">
        <f t="shared" si="24"/>
        <v>-3.1851530892456286E-4</v>
      </c>
      <c r="P79" s="7">
        <v>114.93277991271366</v>
      </c>
      <c r="Q79" s="7">
        <v>-167.04068807514778</v>
      </c>
      <c r="R79" s="7">
        <v>-52.107908162434128</v>
      </c>
      <c r="S79" s="4">
        <f t="shared" si="27"/>
        <v>0.68805260105853983</v>
      </c>
      <c r="T79" s="3">
        <v>3.2746962279378526</v>
      </c>
      <c r="U79" s="3">
        <v>27.343456025784548</v>
      </c>
      <c r="V79" s="7"/>
      <c r="W79">
        <v>48</v>
      </c>
      <c r="X79" s="21">
        <f t="shared" si="30"/>
        <v>179.97971042369724</v>
      </c>
      <c r="Y79" s="21">
        <f t="shared" si="31"/>
        <v>-179.96856836109646</v>
      </c>
      <c r="Z79" s="21">
        <f t="shared" si="32"/>
        <v>1.1142062600764493E-2</v>
      </c>
      <c r="AA79" s="224">
        <f t="shared" si="28"/>
        <v>179.96856836109646</v>
      </c>
      <c r="AB79" s="199">
        <f t="shared" si="29"/>
        <v>1.0000619111587221</v>
      </c>
      <c r="AD79" s="13">
        <f t="shared" si="25"/>
        <v>10.875216278248587</v>
      </c>
      <c r="AE79" s="3">
        <f t="shared" si="26"/>
        <v>1.9766592161016936</v>
      </c>
      <c r="AG79" s="334">
        <v>41452</v>
      </c>
      <c r="AH79" s="349">
        <v>3.2746960000000001</v>
      </c>
      <c r="AI79" s="349">
        <v>5.0068479999999997</v>
      </c>
      <c r="AK79" s="226">
        <v>77</v>
      </c>
      <c r="AL79" s="228">
        <v>77</v>
      </c>
      <c r="AM79" s="225">
        <v>3.4336259999999998</v>
      </c>
      <c r="AN79" s="225">
        <v>5.9649999999999999</v>
      </c>
      <c r="AQ79" s="245">
        <v>142.80802410000001</v>
      </c>
      <c r="AR79" s="245">
        <v>-180.44496799999999</v>
      </c>
      <c r="AS79" s="244">
        <f t="shared" si="33"/>
        <v>158.28020561428571</v>
      </c>
      <c r="AT79" s="244">
        <f t="shared" si="34"/>
        <v>159.75790471428573</v>
      </c>
    </row>
    <row r="80" spans="1:46" ht="13.8" thickBot="1">
      <c r="A80" s="2">
        <v>41453</v>
      </c>
      <c r="B80" s="3">
        <v>30.07716627824858</v>
      </c>
      <c r="C80" s="3">
        <v>27.86769844632768</v>
      </c>
      <c r="D80" s="3">
        <v>16.409899646294132</v>
      </c>
      <c r="E80" s="7">
        <v>201.35539702507063</v>
      </c>
      <c r="F80" s="4">
        <v>0.99466236918971385</v>
      </c>
      <c r="G80" s="4">
        <v>1.1916543079096047</v>
      </c>
      <c r="H80" s="3">
        <v>9.4406599576271173</v>
      </c>
      <c r="I80" s="4">
        <v>0.54268644067796601</v>
      </c>
      <c r="J80" s="3">
        <v>3.5348214285713353</v>
      </c>
      <c r="K80" s="3">
        <v>-5.8659374999999745</v>
      </c>
      <c r="L80" s="4">
        <v>-2.4554329943084759E-2</v>
      </c>
      <c r="M80" s="4">
        <v>4.6008982897098497E-2</v>
      </c>
      <c r="N80" s="4">
        <f t="shared" si="23"/>
        <v>-6.9464131185288346E-3</v>
      </c>
      <c r="O80" s="4">
        <f t="shared" si="24"/>
        <v>-7.8434151228339369E-3</v>
      </c>
      <c r="P80" s="7">
        <v>132.59851137975801</v>
      </c>
      <c r="Q80" s="7">
        <v>-141.88671558952976</v>
      </c>
      <c r="R80" s="7">
        <v>-9.2882042097717488</v>
      </c>
      <c r="S80" s="4">
        <f t="shared" si="27"/>
        <v>0.93453788699541118</v>
      </c>
      <c r="T80" s="3">
        <v>5.7801776925925941</v>
      </c>
      <c r="U80" s="3">
        <v>29.213280928497948</v>
      </c>
      <c r="V80" s="7"/>
      <c r="W80">
        <v>48</v>
      </c>
      <c r="X80" s="21">
        <f t="shared" si="30"/>
        <v>184.46679898890156</v>
      </c>
      <c r="Y80" s="21">
        <f t="shared" si="31"/>
        <v>-190.53706157063218</v>
      </c>
      <c r="Z80" s="21">
        <f t="shared" si="32"/>
        <v>-6.0702625817306046</v>
      </c>
      <c r="AA80" s="224">
        <f t="shared" si="28"/>
        <v>190.53706157063218</v>
      </c>
      <c r="AB80" s="199">
        <f t="shared" si="29"/>
        <v>0.96814130263323928</v>
      </c>
      <c r="AD80" s="13">
        <f t="shared" si="25"/>
        <v>9.4406599576271173</v>
      </c>
      <c r="AE80" s="3">
        <f t="shared" si="26"/>
        <v>2.7416098163841811</v>
      </c>
      <c r="AG80" s="334">
        <v>41453</v>
      </c>
      <c r="AH80" s="349">
        <v>4.790483</v>
      </c>
      <c r="AI80" s="349">
        <v>8.9830000000000005</v>
      </c>
      <c r="AK80" s="226">
        <v>78</v>
      </c>
      <c r="AL80" s="229">
        <v>78</v>
      </c>
      <c r="AM80" s="227">
        <v>5.7430620000000001</v>
      </c>
      <c r="AN80" s="227">
        <v>10.183</v>
      </c>
      <c r="AQ80" s="246">
        <v>126.23850229999999</v>
      </c>
      <c r="AR80" s="246">
        <v>-136.701109</v>
      </c>
      <c r="AS80" s="244">
        <f t="shared" si="33"/>
        <v>161.97880658571427</v>
      </c>
      <c r="AT80" s="244">
        <f t="shared" si="34"/>
        <v>163.51543699999999</v>
      </c>
    </row>
    <row r="81" spans="1:46" ht="13.8" thickBot="1">
      <c r="A81" s="2">
        <v>41454</v>
      </c>
      <c r="B81" s="3">
        <v>29.486704078389838</v>
      </c>
      <c r="C81" s="3">
        <v>27.468782485875703</v>
      </c>
      <c r="D81" s="3">
        <v>16.307705151121315</v>
      </c>
      <c r="E81" s="7">
        <v>199.50613524011305</v>
      </c>
      <c r="F81" s="4">
        <v>0.97393869527796439</v>
      </c>
      <c r="G81" s="4">
        <v>1.4388396892655371</v>
      </c>
      <c r="H81" s="3">
        <v>10.461516419491524</v>
      </c>
      <c r="I81" s="4">
        <v>0.57061317090395469</v>
      </c>
      <c r="J81" s="3">
        <v>5.8232142857143732</v>
      </c>
      <c r="K81" s="3">
        <v>-12.633125000000085</v>
      </c>
      <c r="L81" s="4">
        <v>3.4939280182008266E-2</v>
      </c>
      <c r="M81" s="4">
        <v>2.1603525201514054E-3</v>
      </c>
      <c r="N81" s="4">
        <f t="shared" si="23"/>
        <v>5.9999990499614644E-3</v>
      </c>
      <c r="O81" s="4">
        <f t="shared" si="24"/>
        <v>-1.7100697730382554E-4</v>
      </c>
      <c r="P81" s="7">
        <v>257.92984501273088</v>
      </c>
      <c r="Q81" s="7">
        <v>-303.24684846048569</v>
      </c>
      <c r="R81" s="7">
        <v>-45.317003447754814</v>
      </c>
      <c r="S81" s="4">
        <f t="shared" si="27"/>
        <v>0.85056067794993162</v>
      </c>
      <c r="T81" s="3">
        <v>3.9260833333333331</v>
      </c>
      <c r="U81" s="3">
        <v>27.072812500000001</v>
      </c>
      <c r="V81" s="7"/>
      <c r="W81">
        <v>48</v>
      </c>
      <c r="X81" s="21"/>
      <c r="Y81" s="21"/>
      <c r="Z81" s="21"/>
      <c r="AA81" s="224"/>
      <c r="AB81" s="199"/>
      <c r="AD81" s="13">
        <f t="shared" si="25"/>
        <v>10.461516419491524</v>
      </c>
      <c r="AE81" s="3">
        <f t="shared" si="26"/>
        <v>3.8786625706214695</v>
      </c>
      <c r="AG81" s="334">
        <v>41454</v>
      </c>
      <c r="AH81" s="349">
        <v>5.0547079999999998</v>
      </c>
      <c r="AI81" s="349">
        <v>10.183</v>
      </c>
      <c r="AK81" s="226">
        <v>79</v>
      </c>
      <c r="AL81" s="228">
        <v>79</v>
      </c>
      <c r="AM81" s="225">
        <v>3.5576249999999998</v>
      </c>
      <c r="AN81" s="225">
        <v>7.5919999999999996</v>
      </c>
      <c r="AQ81" s="245">
        <v>204.1809523</v>
      </c>
      <c r="AR81" s="245">
        <v>-235.06890000000001</v>
      </c>
      <c r="AS81" s="244">
        <f t="shared" si="33"/>
        <v>153.16939493333334</v>
      </c>
      <c r="AT81" s="244">
        <f t="shared" si="34"/>
        <v>156.81748766666666</v>
      </c>
    </row>
    <row r="82" spans="1:46" ht="13.8" thickBot="1">
      <c r="A82" s="2">
        <v>41455</v>
      </c>
      <c r="B82" s="3">
        <v>29.18293052612994</v>
      </c>
      <c r="C82" s="3">
        <v>26.755257768361584</v>
      </c>
      <c r="D82" s="3">
        <v>15.874308784475561</v>
      </c>
      <c r="E82" s="7">
        <v>200.25465660310729</v>
      </c>
      <c r="F82" s="4">
        <v>0.96868730477697185</v>
      </c>
      <c r="G82" s="4">
        <v>1.410135593220339</v>
      </c>
      <c r="H82" s="3">
        <v>10.890973870056493</v>
      </c>
      <c r="I82" s="4">
        <v>0.48244050141242911</v>
      </c>
      <c r="J82" s="3">
        <v>11.539732142857114</v>
      </c>
      <c r="K82" s="3">
        <v>-6.0681249999998847</v>
      </c>
      <c r="L82" s="4">
        <v>1.4619877315262294E-2</v>
      </c>
      <c r="M82" s="4">
        <v>7.0312799914022143E-3</v>
      </c>
      <c r="N82" s="4">
        <f t="shared" si="23"/>
        <v>1.2669165223485482E-3</v>
      </c>
      <c r="O82" s="4">
        <f t="shared" si="24"/>
        <v>-1.1587236570443668E-3</v>
      </c>
      <c r="P82" s="7">
        <v>246.40375963745862</v>
      </c>
      <c r="Q82" s="7">
        <v>-145.80375071979088</v>
      </c>
      <c r="R82" s="7">
        <v>100.60000891766774</v>
      </c>
      <c r="S82" s="4">
        <f t="shared" si="27"/>
        <v>1.6899685942304956</v>
      </c>
      <c r="T82" s="3">
        <v>2.361196791769824</v>
      </c>
      <c r="U82" s="3">
        <v>26.533392101162622</v>
      </c>
      <c r="V82" s="7"/>
      <c r="W82">
        <v>48</v>
      </c>
      <c r="X82" s="21"/>
      <c r="Y82" s="21"/>
      <c r="Z82" s="21"/>
      <c r="AA82" s="224"/>
      <c r="AB82" s="199"/>
      <c r="AD82" s="13">
        <f t="shared" si="25"/>
        <v>10.890973870056493</v>
      </c>
      <c r="AE82" s="3">
        <f t="shared" si="26"/>
        <v>3.7466237288135584</v>
      </c>
      <c r="AG82" s="334">
        <v>41455</v>
      </c>
      <c r="AH82" s="349">
        <v>2.323769</v>
      </c>
      <c r="AI82" s="349">
        <v>5.3019999999999996</v>
      </c>
      <c r="AK82" s="226">
        <v>80</v>
      </c>
      <c r="AL82" s="229">
        <v>80</v>
      </c>
      <c r="AM82" s="227">
        <v>2.5306310000000001</v>
      </c>
      <c r="AN82" s="227">
        <v>4.2998190000000003</v>
      </c>
      <c r="AQ82" s="246">
        <v>86.016551500000006</v>
      </c>
      <c r="AR82" s="246">
        <v>-7.1430369999999996</v>
      </c>
      <c r="AS82" s="244"/>
      <c r="AT82" s="244"/>
    </row>
    <row r="83" spans="1:46" ht="13.8" thickBot="1">
      <c r="A83" s="2">
        <v>41456</v>
      </c>
      <c r="B83" s="3">
        <v>29.408458509887001</v>
      </c>
      <c r="C83" s="3">
        <v>22.586832803672319</v>
      </c>
      <c r="D83" s="3">
        <v>12.689421761149335</v>
      </c>
      <c r="E83" s="7">
        <v>208.42900335451978</v>
      </c>
      <c r="F83" s="4">
        <v>0.98919433424410241</v>
      </c>
      <c r="G83" s="4">
        <v>1.0529454449152544</v>
      </c>
      <c r="H83" s="3">
        <v>15.118158015536727</v>
      </c>
      <c r="I83" s="4">
        <v>0.58917337570621453</v>
      </c>
      <c r="J83" s="3">
        <v>4.0386160714285344</v>
      </c>
      <c r="K83" s="3">
        <v>-7.0578124999999599</v>
      </c>
      <c r="L83" s="4">
        <v>-1.7746916780663587E-2</v>
      </c>
      <c r="M83" s="4">
        <v>-4.4085273627011935E-4</v>
      </c>
      <c r="N83" s="4">
        <f t="shared" si="23"/>
        <v>-4.3943064819197261E-3</v>
      </c>
      <c r="O83" s="4">
        <f t="shared" si="24"/>
        <v>6.2463084173760899E-5</v>
      </c>
      <c r="P83" s="7">
        <v>154.66614034366688</v>
      </c>
      <c r="Q83" s="7">
        <v>-169.37691953432858</v>
      </c>
      <c r="R83" s="7">
        <v>-14.710779190661697</v>
      </c>
      <c r="S83" s="4">
        <f t="shared" si="27"/>
        <v>0.91314767542646103</v>
      </c>
      <c r="T83" s="3">
        <v>3.8509657555986592</v>
      </c>
      <c r="U83" s="3">
        <v>27.433831926090917</v>
      </c>
      <c r="V83" s="7"/>
      <c r="W83">
        <v>48</v>
      </c>
      <c r="X83" s="21"/>
      <c r="Y83" s="21"/>
      <c r="Z83" s="21"/>
      <c r="AA83" s="224"/>
      <c r="AB83" s="199"/>
      <c r="AD83" s="13">
        <f t="shared" si="25"/>
        <v>15.118158015536727</v>
      </c>
      <c r="AE83" s="3">
        <f t="shared" si="26"/>
        <v>2.1035490466101701</v>
      </c>
      <c r="AG83" s="334">
        <v>41456</v>
      </c>
      <c r="AH83" s="349">
        <v>3.911924</v>
      </c>
      <c r="AI83" s="349">
        <v>7.2060000000000004</v>
      </c>
      <c r="AK83" s="226">
        <v>81</v>
      </c>
      <c r="AL83" s="228">
        <v>81</v>
      </c>
      <c r="AM83" s="225">
        <v>3.7094170000000002</v>
      </c>
      <c r="AN83" s="225">
        <v>7.2060000000000004</v>
      </c>
      <c r="AQ83" s="245">
        <v>152.52337829999999</v>
      </c>
      <c r="AR83" s="245">
        <v>-152.13529</v>
      </c>
      <c r="AS83" s="244"/>
      <c r="AT83" s="244"/>
    </row>
    <row r="84" spans="1:46" ht="13.8" thickBot="1">
      <c r="A84" s="2">
        <v>41457</v>
      </c>
      <c r="B84" s="3"/>
      <c r="C84" s="3"/>
      <c r="D84" s="3"/>
      <c r="E84" s="7"/>
      <c r="H84" s="3"/>
      <c r="J84" s="3"/>
      <c r="K84" s="3"/>
      <c r="L84" s="3"/>
      <c r="P84" s="7"/>
      <c r="Q84" s="7"/>
      <c r="R84" s="7"/>
      <c r="T84" s="3">
        <v>2.2753541666666668</v>
      </c>
      <c r="U84" s="3">
        <v>28.041875000000001</v>
      </c>
      <c r="V84" s="7"/>
      <c r="W84">
        <v>48</v>
      </c>
      <c r="X84" s="21"/>
      <c r="Y84" s="21"/>
      <c r="Z84" s="21"/>
      <c r="AA84" s="224"/>
      <c r="AB84" s="199"/>
      <c r="AD84" s="3"/>
      <c r="AE84" s="3"/>
      <c r="AG84" s="334">
        <v>41457</v>
      </c>
      <c r="AH84" s="349">
        <v>1.952083</v>
      </c>
      <c r="AI84" s="349">
        <v>3.7130000000000001</v>
      </c>
      <c r="AK84" s="226">
        <v>82</v>
      </c>
      <c r="AL84" s="229">
        <v>82</v>
      </c>
      <c r="AM84" s="227">
        <v>2.6498539999999999</v>
      </c>
      <c r="AN84" s="227">
        <v>5.7530000000000001</v>
      </c>
      <c r="AQ84" s="246" t="s">
        <v>214</v>
      </c>
      <c r="AR84" s="246" t="s">
        <v>214</v>
      </c>
      <c r="AS84" s="244"/>
      <c r="AT84" s="244"/>
    </row>
    <row r="85" spans="1:46" ht="13.8" thickBot="1">
      <c r="A85" s="2">
        <v>41458</v>
      </c>
      <c r="B85" s="3"/>
      <c r="C85" s="3"/>
      <c r="D85" s="3"/>
      <c r="E85" s="7"/>
      <c r="H85" s="3"/>
      <c r="J85" s="3"/>
      <c r="K85" s="3"/>
      <c r="L85" s="3"/>
      <c r="P85" s="7"/>
      <c r="Q85" s="7"/>
      <c r="R85" s="7"/>
      <c r="T85" s="3">
        <v>4.6640000000000006</v>
      </c>
      <c r="U85" s="3">
        <v>25.272500000000001</v>
      </c>
      <c r="V85" s="7"/>
      <c r="W85">
        <v>48</v>
      </c>
      <c r="X85" s="21"/>
      <c r="Y85" s="21"/>
      <c r="Z85" s="21"/>
      <c r="AA85" s="224"/>
      <c r="AB85" s="199"/>
      <c r="AD85" s="3"/>
      <c r="AE85" s="3"/>
      <c r="AG85" s="334">
        <v>41458</v>
      </c>
      <c r="AH85" s="349">
        <v>4.3449169999999997</v>
      </c>
      <c r="AI85" s="349">
        <v>7.8979999999999997</v>
      </c>
      <c r="AK85" s="226">
        <v>83</v>
      </c>
      <c r="AL85" s="228">
        <v>83</v>
      </c>
      <c r="AM85" s="225">
        <v>4.837771</v>
      </c>
      <c r="AN85" s="225">
        <v>7.8979999999999997</v>
      </c>
      <c r="AQ85" s="245" t="s">
        <v>214</v>
      </c>
      <c r="AR85" s="245" t="s">
        <v>214</v>
      </c>
      <c r="AS85" s="244"/>
      <c r="AT85" s="244"/>
    </row>
    <row r="86" spans="1:46" ht="13.8" thickBot="1">
      <c r="A86" s="2">
        <v>41459</v>
      </c>
      <c r="B86" s="3"/>
      <c r="C86" s="3"/>
      <c r="D86" s="3"/>
      <c r="E86" s="7"/>
      <c r="H86" s="3"/>
      <c r="J86" s="3"/>
      <c r="K86" s="3"/>
      <c r="L86" s="3"/>
      <c r="P86" s="7"/>
      <c r="Q86" s="7"/>
      <c r="R86" s="7"/>
      <c r="T86" s="3">
        <v>4.0002500000000003</v>
      </c>
      <c r="U86" s="3">
        <v>25.936354166666664</v>
      </c>
      <c r="V86" s="7"/>
      <c r="W86">
        <v>48</v>
      </c>
      <c r="X86" s="21"/>
      <c r="Y86" s="21"/>
      <c r="Z86" s="21"/>
      <c r="AA86" s="224"/>
      <c r="AB86" s="199"/>
      <c r="AD86" s="3"/>
      <c r="AE86" s="3"/>
      <c r="AG86" s="334">
        <v>41459</v>
      </c>
      <c r="AH86" s="349">
        <v>3.9589370000000002</v>
      </c>
      <c r="AI86" s="349">
        <v>7.1289999999999996</v>
      </c>
      <c r="AK86" s="226">
        <v>84</v>
      </c>
      <c r="AL86" s="229">
        <v>84</v>
      </c>
      <c r="AM86" s="227">
        <v>3.5930620000000002</v>
      </c>
      <c r="AN86" s="227">
        <v>7.1289999999999996</v>
      </c>
      <c r="AQ86" s="246" t="s">
        <v>214</v>
      </c>
      <c r="AR86" s="246" t="s">
        <v>214</v>
      </c>
      <c r="AS86" s="244"/>
      <c r="AT86" s="244"/>
    </row>
    <row r="87" spans="1:46" ht="13.8" thickBot="1">
      <c r="A87" s="2">
        <v>41460</v>
      </c>
      <c r="B87" s="3"/>
      <c r="C87" s="3"/>
      <c r="D87" s="3"/>
      <c r="E87" s="7"/>
      <c r="H87" s="3"/>
      <c r="J87" s="3"/>
      <c r="K87" s="3"/>
      <c r="L87" s="3"/>
      <c r="P87" s="7"/>
      <c r="Q87" s="7"/>
      <c r="R87" s="7"/>
      <c r="T87" s="3">
        <v>3.0530312500000001</v>
      </c>
      <c r="U87" s="3">
        <v>25.220729166666668</v>
      </c>
      <c r="V87" s="7"/>
      <c r="W87">
        <v>48</v>
      </c>
      <c r="X87" s="21"/>
      <c r="Y87" s="21"/>
      <c r="Z87" s="21"/>
      <c r="AA87" s="224"/>
      <c r="AB87" s="199"/>
      <c r="AD87" s="3"/>
      <c r="AE87" s="3"/>
      <c r="AG87" s="334">
        <v>41460</v>
      </c>
      <c r="AH87" s="349">
        <v>3.5373749999999999</v>
      </c>
      <c r="AI87" s="349">
        <v>9.4879999999999995</v>
      </c>
      <c r="AK87" s="226">
        <v>85</v>
      </c>
      <c r="AL87" s="228">
        <v>85</v>
      </c>
      <c r="AM87" s="225">
        <v>3.4047499999999999</v>
      </c>
      <c r="AN87" s="225">
        <v>10.215</v>
      </c>
      <c r="AQ87" s="245" t="s">
        <v>214</v>
      </c>
      <c r="AR87" s="245" t="s">
        <v>214</v>
      </c>
      <c r="AS87" s="244"/>
      <c r="AT87" s="244"/>
    </row>
    <row r="88" spans="1:46" ht="13.8" thickBot="1">
      <c r="A88" s="2">
        <v>41461</v>
      </c>
      <c r="B88" s="3"/>
      <c r="C88" s="3"/>
      <c r="D88" s="3"/>
      <c r="E88" s="7"/>
      <c r="H88" s="3"/>
      <c r="J88" s="3"/>
      <c r="K88" s="3"/>
      <c r="L88" s="3"/>
      <c r="P88" s="7"/>
      <c r="Q88" s="7"/>
      <c r="R88" s="7"/>
      <c r="T88" s="3">
        <v>2.9843541666666655</v>
      </c>
      <c r="U88" s="3">
        <v>25.153124999999999</v>
      </c>
      <c r="V88" s="7"/>
      <c r="W88">
        <v>48</v>
      </c>
      <c r="X88" s="21"/>
      <c r="Y88" s="21"/>
      <c r="Z88" s="21"/>
      <c r="AA88" s="224"/>
      <c r="AB88" s="199"/>
      <c r="AD88" s="3"/>
      <c r="AE88" s="3"/>
      <c r="AG88" s="334">
        <v>41461</v>
      </c>
      <c r="AH88" s="349">
        <v>3.2100209999999998</v>
      </c>
      <c r="AI88" s="349">
        <v>10.215</v>
      </c>
      <c r="AK88" s="226">
        <v>86</v>
      </c>
      <c r="AL88" s="229">
        <v>86</v>
      </c>
      <c r="AM88" s="227">
        <v>2.484146</v>
      </c>
      <c r="AN88" s="227">
        <v>6.7530000000000001</v>
      </c>
      <c r="AQ88" s="246" t="s">
        <v>214</v>
      </c>
      <c r="AR88" s="246" t="s">
        <v>214</v>
      </c>
      <c r="AS88" s="244"/>
      <c r="AT88" s="244"/>
    </row>
    <row r="89" spans="1:46" ht="13.8" thickBot="1">
      <c r="A89" s="2">
        <v>41462</v>
      </c>
      <c r="B89" s="3"/>
      <c r="C89" s="3"/>
      <c r="D89" s="3"/>
      <c r="E89" s="7"/>
      <c r="H89" s="3"/>
      <c r="J89" s="3"/>
      <c r="K89" s="3"/>
      <c r="L89" s="3"/>
      <c r="P89" s="7"/>
      <c r="Q89" s="7"/>
      <c r="R89" s="7"/>
      <c r="T89" s="3">
        <v>2.1256145833333333</v>
      </c>
      <c r="U89" s="3">
        <v>26.970104166666658</v>
      </c>
      <c r="V89" s="7"/>
      <c r="W89">
        <v>48</v>
      </c>
      <c r="X89" s="21"/>
      <c r="Y89" s="21"/>
      <c r="Z89" s="21"/>
      <c r="AA89" s="224"/>
      <c r="AB89" s="199"/>
      <c r="AD89" s="3"/>
      <c r="AE89" s="3"/>
      <c r="AG89" s="334">
        <v>41462</v>
      </c>
      <c r="AH89" s="349">
        <v>1.8146880000000001</v>
      </c>
      <c r="AI89" s="349">
        <v>3.391</v>
      </c>
      <c r="AK89" s="226">
        <v>87</v>
      </c>
      <c r="AL89" s="228">
        <v>87</v>
      </c>
      <c r="AM89" s="225">
        <v>2.4095</v>
      </c>
      <c r="AN89" s="225">
        <v>4.351</v>
      </c>
      <c r="AQ89" s="245" t="s">
        <v>214</v>
      </c>
      <c r="AR89" s="245" t="s">
        <v>214</v>
      </c>
      <c r="AS89" s="244"/>
      <c r="AT89" s="244"/>
    </row>
    <row r="90" spans="1:46" ht="13.8" thickBot="1">
      <c r="A90" s="2">
        <v>41463</v>
      </c>
      <c r="B90" s="3"/>
      <c r="C90" s="3"/>
      <c r="D90" s="3"/>
      <c r="E90" s="7"/>
      <c r="H90" s="3"/>
      <c r="J90" s="3"/>
      <c r="K90" s="3"/>
      <c r="L90" s="3"/>
      <c r="P90" s="7"/>
      <c r="Q90" s="7"/>
      <c r="R90" s="7"/>
      <c r="T90" s="3">
        <v>1.782906249999999</v>
      </c>
      <c r="U90" s="3">
        <v>26.575833333333332</v>
      </c>
      <c r="V90" s="7"/>
      <c r="W90">
        <v>48</v>
      </c>
      <c r="X90" s="21"/>
      <c r="Y90" s="21"/>
      <c r="Z90" s="21"/>
      <c r="AA90" s="224"/>
      <c r="AB90" s="199"/>
      <c r="AD90" s="3"/>
      <c r="AE90" s="3"/>
      <c r="AG90" s="334">
        <v>41463</v>
      </c>
      <c r="AH90" s="349">
        <v>2.2746879999999998</v>
      </c>
      <c r="AI90" s="349">
        <v>4.351</v>
      </c>
      <c r="AK90" s="226">
        <v>88</v>
      </c>
      <c r="AL90" s="229">
        <v>88</v>
      </c>
      <c r="AM90" s="227">
        <v>1.494958</v>
      </c>
      <c r="AN90" s="227">
        <v>2.89</v>
      </c>
      <c r="AQ90" s="246" t="s">
        <v>214</v>
      </c>
      <c r="AR90" s="246" t="s">
        <v>214</v>
      </c>
      <c r="AS90" s="244"/>
      <c r="AT90" s="244"/>
    </row>
    <row r="91" spans="1:46" ht="13.8" thickBot="1">
      <c r="A91" s="2">
        <v>41464</v>
      </c>
      <c r="B91" s="3"/>
      <c r="C91" s="3"/>
      <c r="D91" s="3"/>
      <c r="E91" s="7"/>
      <c r="H91" s="3"/>
      <c r="J91" s="3"/>
      <c r="K91" s="3"/>
      <c r="L91" s="3"/>
      <c r="P91" s="7"/>
      <c r="Q91" s="7"/>
      <c r="R91" s="7"/>
      <c r="T91" s="3">
        <v>2.9096041666666661</v>
      </c>
      <c r="U91" s="3">
        <v>27.5628125</v>
      </c>
      <c r="V91" s="7"/>
      <c r="W91">
        <v>48</v>
      </c>
      <c r="X91" s="21"/>
      <c r="Y91" s="21"/>
      <c r="Z91" s="21"/>
      <c r="AA91" s="224"/>
      <c r="AB91" s="199"/>
      <c r="AD91" s="3"/>
      <c r="AE91" s="3"/>
      <c r="AG91" s="334">
        <v>41464</v>
      </c>
      <c r="AH91" s="349">
        <v>2.4886460000000001</v>
      </c>
      <c r="AI91" s="349">
        <v>4.8780000000000001</v>
      </c>
      <c r="AK91" s="226">
        <v>89</v>
      </c>
      <c r="AL91" s="228">
        <v>89</v>
      </c>
      <c r="AM91" s="225">
        <v>3.1043539999999998</v>
      </c>
      <c r="AN91" s="225">
        <v>4.8780000000000001</v>
      </c>
      <c r="AQ91" s="245" t="s">
        <v>214</v>
      </c>
      <c r="AR91" s="245" t="s">
        <v>214</v>
      </c>
      <c r="AS91" s="244"/>
      <c r="AT91" s="244"/>
    </row>
    <row r="92" spans="1:46" ht="13.8" thickBot="1">
      <c r="A92" s="2">
        <v>41465</v>
      </c>
      <c r="B92" s="3"/>
      <c r="C92" s="3"/>
      <c r="D92" s="3"/>
      <c r="E92" s="7"/>
      <c r="H92" s="3"/>
      <c r="J92" s="3"/>
      <c r="K92" s="3">
        <v>-5.5637499999998692</v>
      </c>
      <c r="L92" s="3"/>
      <c r="M92" s="3">
        <v>-3.2316539384158086E-2</v>
      </c>
      <c r="N92" s="4"/>
      <c r="O92" s="4">
        <f t="shared" ref="O92:O123" si="35">M92/K92</f>
        <v>5.8084096848634182E-3</v>
      </c>
      <c r="P92" s="7"/>
      <c r="Q92" s="7">
        <v>-132.75440305477707</v>
      </c>
      <c r="R92" s="7"/>
      <c r="T92" s="3">
        <v>3.32859375</v>
      </c>
      <c r="U92" s="3">
        <v>27.258749999999999</v>
      </c>
      <c r="V92" s="7"/>
      <c r="W92">
        <v>48</v>
      </c>
      <c r="X92" s="21"/>
      <c r="Y92" s="21"/>
      <c r="Z92" s="21"/>
      <c r="AA92" s="224"/>
      <c r="AB92" s="199"/>
      <c r="AD92" s="3"/>
      <c r="AE92" s="3"/>
      <c r="AG92" s="334">
        <v>41465</v>
      </c>
      <c r="AH92" s="349">
        <v>3.1290209999999998</v>
      </c>
      <c r="AI92" s="349">
        <v>6.4340000000000002</v>
      </c>
      <c r="AK92" s="226">
        <v>90</v>
      </c>
      <c r="AL92" s="229">
        <v>90</v>
      </c>
      <c r="AM92" s="227">
        <v>4.0423749999999998</v>
      </c>
      <c r="AN92" s="227">
        <v>8.3000000000000007</v>
      </c>
      <c r="AQ92" s="246">
        <v>240.4410049</v>
      </c>
      <c r="AR92" s="246">
        <v>-146.987662</v>
      </c>
      <c r="AS92" s="244"/>
      <c r="AT92" s="244"/>
    </row>
    <row r="93" spans="1:46" ht="13.8" thickBot="1">
      <c r="A93" s="2">
        <v>41466</v>
      </c>
      <c r="B93" s="3">
        <v>27.917702771892646</v>
      </c>
      <c r="C93" s="3">
        <v>18.240906073446329</v>
      </c>
      <c r="D93" s="3">
        <v>9.9172703548050531</v>
      </c>
      <c r="E93" s="7">
        <v>223.52333818855934</v>
      </c>
      <c r="F93" s="4">
        <v>1.0099193848215755</v>
      </c>
      <c r="G93" s="4">
        <v>2.5318220338983051</v>
      </c>
      <c r="H93" s="3">
        <v>29.798218396892661</v>
      </c>
      <c r="I93" s="4">
        <v>1.1599406779661019</v>
      </c>
      <c r="J93" s="3">
        <v>3.7752232142856657</v>
      </c>
      <c r="K93" s="3">
        <v>-9.5803125000000797</v>
      </c>
      <c r="L93" s="4">
        <v>-2.570891254987161E-2</v>
      </c>
      <c r="M93" s="4">
        <v>3.6878412097455086E-3</v>
      </c>
      <c r="N93" s="4">
        <f t="shared" ref="N93:N124" si="36">L93/J93</f>
        <v>-6.8099052931724887E-3</v>
      </c>
      <c r="O93" s="4">
        <f t="shared" si="35"/>
        <v>-3.8493955283248622E-4</v>
      </c>
      <c r="P93" s="7">
        <v>185.15823247462853</v>
      </c>
      <c r="Q93" s="7">
        <v>-230.01600818903583</v>
      </c>
      <c r="R93" s="7">
        <v>-44.857775714407296</v>
      </c>
      <c r="S93" s="4">
        <f t="shared" si="27"/>
        <v>0.80497976611461974</v>
      </c>
      <c r="T93" s="3">
        <v>3.8336145833333326</v>
      </c>
      <c r="U93" s="3">
        <v>25.549583333333334</v>
      </c>
      <c r="V93" s="7"/>
      <c r="W93">
        <v>48</v>
      </c>
      <c r="X93" s="21"/>
      <c r="Y93" s="21"/>
      <c r="Z93" s="21"/>
      <c r="AA93" s="224"/>
      <c r="AB93" s="199"/>
      <c r="AD93" s="13">
        <f t="shared" ref="AD93:AD124" si="37">((H93/0.0893+34)-41)*0.0777</f>
        <v>25.383553185202238</v>
      </c>
      <c r="AE93" s="3">
        <f t="shared" ref="AE93:AE124" si="38">4.6*G93-2.74</f>
        <v>8.9063813559322025</v>
      </c>
      <c r="AG93" s="334">
        <v>41466</v>
      </c>
      <c r="AH93" s="349">
        <v>4.1867710000000002</v>
      </c>
      <c r="AI93" s="349">
        <v>8.6460000000000008</v>
      </c>
      <c r="AK93" s="226">
        <v>91</v>
      </c>
      <c r="AL93" s="228">
        <v>91</v>
      </c>
      <c r="AM93" s="225">
        <v>3.2504369999999998</v>
      </c>
      <c r="AN93" s="225">
        <v>8.6460000000000008</v>
      </c>
      <c r="AQ93" s="245">
        <v>157.1400538</v>
      </c>
      <c r="AR93" s="245">
        <v>-187.817362</v>
      </c>
      <c r="AS93" s="244"/>
      <c r="AT93" s="244"/>
    </row>
    <row r="94" spans="1:46" ht="13.8" thickBot="1">
      <c r="A94" s="2">
        <v>41467</v>
      </c>
      <c r="B94" s="3">
        <v>28.804793255649709</v>
      </c>
      <c r="C94" s="3">
        <v>18.265793961864397</v>
      </c>
      <c r="D94" s="3">
        <v>9.6598161537059202</v>
      </c>
      <c r="E94" s="7">
        <v>227.358376368291</v>
      </c>
      <c r="F94" s="4">
        <v>1.0433002467216932</v>
      </c>
      <c r="G94" s="4">
        <v>2.0453848870056492</v>
      </c>
      <c r="H94" s="3">
        <v>27.237100812146902</v>
      </c>
      <c r="I94" s="4">
        <v>1.0804509180790958</v>
      </c>
      <c r="J94" s="3">
        <v>8.5566964285714171</v>
      </c>
      <c r="K94" s="3">
        <v>-8.2171874999999268</v>
      </c>
      <c r="L94" s="4">
        <v>-5.6435629268355936E-2</v>
      </c>
      <c r="M94" s="4">
        <v>-4.010263556463077E-2</v>
      </c>
      <c r="N94" s="4">
        <f t="shared" si="36"/>
        <v>-6.5954927511408913E-3</v>
      </c>
      <c r="O94" s="4">
        <f t="shared" si="35"/>
        <v>4.8803359500596919E-3</v>
      </c>
      <c r="P94" s="7">
        <v>230.86548268128089</v>
      </c>
      <c r="Q94" s="7">
        <v>-196.25003674644714</v>
      </c>
      <c r="R94" s="7">
        <v>34.615445934833758</v>
      </c>
      <c r="S94" s="4">
        <f t="shared" si="27"/>
        <v>1.1763844048577505</v>
      </c>
      <c r="T94" s="3">
        <v>3.1514166666666665</v>
      </c>
      <c r="U94" s="3">
        <v>28.207708333333329</v>
      </c>
      <c r="V94" s="7">
        <v>505.04642857142863</v>
      </c>
      <c r="W94">
        <v>48</v>
      </c>
      <c r="X94" s="21"/>
      <c r="Y94" s="21"/>
      <c r="Z94" s="21"/>
      <c r="AA94" s="224"/>
      <c r="AB94" s="199"/>
      <c r="AD94" s="13">
        <f t="shared" si="37"/>
        <v>23.15512276711998</v>
      </c>
      <c r="AE94" s="3">
        <f t="shared" si="38"/>
        <v>6.6687704802259855</v>
      </c>
      <c r="AG94" s="334">
        <v>41467</v>
      </c>
      <c r="AH94" s="349">
        <v>2.9640209999999998</v>
      </c>
      <c r="AI94" s="349">
        <v>6.0720000000000001</v>
      </c>
      <c r="AK94" s="226">
        <v>92</v>
      </c>
      <c r="AL94" s="229">
        <v>92</v>
      </c>
      <c r="AM94" s="227">
        <v>2.7481040000000001</v>
      </c>
      <c r="AN94" s="227">
        <v>6.0720000000000001</v>
      </c>
      <c r="AQ94" s="246">
        <v>225.43613579999999</v>
      </c>
      <c r="AR94" s="246">
        <v>-184.62528800000001</v>
      </c>
      <c r="AS94" s="244"/>
      <c r="AT94" s="244"/>
    </row>
    <row r="95" spans="1:46" ht="13.8" thickBot="1">
      <c r="A95" s="2">
        <v>41468</v>
      </c>
      <c r="B95" s="3">
        <v>28.983020727401126</v>
      </c>
      <c r="C95" s="3">
        <v>15.601225635593217</v>
      </c>
      <c r="D95" s="3">
        <v>7.620407704119855</v>
      </c>
      <c r="E95" s="7">
        <v>226.05950410487284</v>
      </c>
      <c r="F95" s="4">
        <v>1.0249291781848229</v>
      </c>
      <c r="G95" s="4">
        <v>1.9618331567796599</v>
      </c>
      <c r="H95" s="3">
        <v>38.014381532485878</v>
      </c>
      <c r="I95" s="4">
        <v>1.1602369350282487</v>
      </c>
      <c r="J95" s="3">
        <v>2.6676339285714588</v>
      </c>
      <c r="K95" s="3">
        <v>-4.5375000000001062</v>
      </c>
      <c r="L95" s="4">
        <v>-1.9868121893738627E-2</v>
      </c>
      <c r="M95" s="4">
        <v>-1.3535568516438373E-2</v>
      </c>
      <c r="N95" s="4">
        <f t="shared" si="36"/>
        <v>-7.447844204162668E-3</v>
      </c>
      <c r="O95" s="4">
        <f t="shared" si="35"/>
        <v>2.983045403071748E-3</v>
      </c>
      <c r="P95" s="7">
        <v>99.157664126796334</v>
      </c>
      <c r="Q95" s="7">
        <v>-108.57514635560803</v>
      </c>
      <c r="R95" s="7">
        <v>-9.4174822288116928</v>
      </c>
      <c r="S95" s="4">
        <f t="shared" si="27"/>
        <v>0.91326300221629619</v>
      </c>
      <c r="T95" s="3">
        <v>2.9256041666666661</v>
      </c>
      <c r="U95" s="3">
        <v>26.500833333333333</v>
      </c>
      <c r="V95" s="7">
        <v>334.93035714285719</v>
      </c>
      <c r="W95">
        <v>48</v>
      </c>
      <c r="X95" s="21"/>
      <c r="Y95" s="21"/>
      <c r="Z95" s="21"/>
      <c r="AA95" s="224"/>
      <c r="AB95" s="199"/>
      <c r="AD95" s="13">
        <f t="shared" si="37"/>
        <v>32.532443169923326</v>
      </c>
      <c r="AE95" s="3">
        <f t="shared" si="38"/>
        <v>6.2844325211864351</v>
      </c>
      <c r="AG95" s="334">
        <v>41468</v>
      </c>
      <c r="AH95" s="349">
        <v>2.5702919999999998</v>
      </c>
      <c r="AI95" s="349">
        <v>8.157</v>
      </c>
      <c r="AK95" s="226">
        <v>93</v>
      </c>
      <c r="AL95" s="228">
        <v>93</v>
      </c>
      <c r="AM95" s="225">
        <v>3.515625</v>
      </c>
      <c r="AN95" s="225">
        <v>8.157</v>
      </c>
      <c r="AQ95" s="245">
        <v>94.484545100000005</v>
      </c>
      <c r="AR95" s="245">
        <v>-110.684229</v>
      </c>
      <c r="AS95" s="244"/>
      <c r="AT95" s="244"/>
    </row>
    <row r="96" spans="1:46" ht="13.8" thickBot="1">
      <c r="A96" s="2">
        <v>41469</v>
      </c>
      <c r="B96" s="3">
        <v>28.900838418079108</v>
      </c>
      <c r="C96" s="3">
        <v>13.586754237288128</v>
      </c>
      <c r="D96" s="3">
        <v>6.1473405218650159</v>
      </c>
      <c r="E96" s="7">
        <v>230.02045815677965</v>
      </c>
      <c r="F96" s="4">
        <v>1.029841600400317</v>
      </c>
      <c r="G96" s="4">
        <v>2.1875566737288135</v>
      </c>
      <c r="H96" s="3">
        <v>48.17168449858756</v>
      </c>
      <c r="I96" s="4">
        <v>1.2563149717514128</v>
      </c>
      <c r="J96" s="3">
        <v>8.0926339285714413</v>
      </c>
      <c r="K96" s="3">
        <v>-7.9703125000000057</v>
      </c>
      <c r="L96" s="4">
        <v>-1.8603432366645245E-2</v>
      </c>
      <c r="M96" s="4">
        <v>-5.3963690719612311E-3</v>
      </c>
      <c r="N96" s="4">
        <f t="shared" si="36"/>
        <v>-2.2988105641310319E-3</v>
      </c>
      <c r="O96" s="4">
        <f t="shared" si="35"/>
        <v>6.7705865635271233E-4</v>
      </c>
      <c r="P96" s="7">
        <v>221.04711051315806</v>
      </c>
      <c r="Q96" s="7">
        <v>-191.15798714227304</v>
      </c>
      <c r="R96" s="7">
        <v>29.889123370885017</v>
      </c>
      <c r="S96" s="4">
        <f t="shared" si="27"/>
        <v>1.1563582239890371</v>
      </c>
      <c r="T96" s="3">
        <v>2.5588854166666661</v>
      </c>
      <c r="U96" s="3">
        <v>26.459479166666668</v>
      </c>
      <c r="V96" s="7">
        <v>411.53571428571422</v>
      </c>
      <c r="W96">
        <v>48</v>
      </c>
      <c r="X96" s="21">
        <f t="shared" ref="X96:X127" si="39">AVERAGE(P93:P99)</f>
        <v>216.27285732493829</v>
      </c>
      <c r="Y96" s="21">
        <f t="shared" ref="Y96:Y127" si="40">AVERAGE(Q93:Q99)</f>
        <v>-217.94051340726486</v>
      </c>
      <c r="Z96" s="21">
        <f t="shared" ref="Z96:Z111" si="41">AVERAGE(R93:R99)</f>
        <v>-1.6676560823265834</v>
      </c>
      <c r="AA96" s="224">
        <f t="shared" ref="AA96:AA127" si="42">-Y96</f>
        <v>217.94051340726486</v>
      </c>
      <c r="AB96" s="199">
        <f t="shared" ref="AB96:AB127" si="43">X96/-Y96</f>
        <v>0.99234811345419638</v>
      </c>
      <c r="AD96" s="13">
        <f t="shared" si="37"/>
        <v>41.370320442779992</v>
      </c>
      <c r="AE96" s="3">
        <f t="shared" si="38"/>
        <v>7.3227606991525409</v>
      </c>
      <c r="AG96" s="334">
        <v>41469</v>
      </c>
      <c r="AH96" s="349">
        <v>3.1874380000000002</v>
      </c>
      <c r="AI96" s="349">
        <v>6.0529999999999999</v>
      </c>
      <c r="AK96" s="226">
        <v>94</v>
      </c>
      <c r="AL96" s="229">
        <v>94</v>
      </c>
      <c r="AM96" s="227">
        <v>2.8946670000000001</v>
      </c>
      <c r="AN96" s="227">
        <v>8.2810000000000006</v>
      </c>
      <c r="AQ96" s="246">
        <v>226.35029180000001</v>
      </c>
      <c r="AR96" s="246">
        <v>-195.294151</v>
      </c>
      <c r="AS96" s="244">
        <f t="shared" ref="AS96:AS159" si="44">AVERAGE(AQ93:AQ99)</f>
        <v>209.6510075857143</v>
      </c>
      <c r="AT96" s="244">
        <f>-AVERAGE(AR93:AR99)</f>
        <v>206.95649514285716</v>
      </c>
    </row>
    <row r="97" spans="1:46" ht="13.8" thickBot="1">
      <c r="A97" s="2">
        <v>41470</v>
      </c>
      <c r="B97" s="3">
        <v>28.681478142655376</v>
      </c>
      <c r="C97" s="3">
        <v>14.02803831214689</v>
      </c>
      <c r="D97" s="3">
        <v>6.5433329105263036</v>
      </c>
      <c r="E97" s="7">
        <v>226.80489715748584</v>
      </c>
      <c r="F97" s="4">
        <v>1.0141989728137211</v>
      </c>
      <c r="G97" s="4">
        <v>2.8490017655367219</v>
      </c>
      <c r="H97" s="3">
        <v>48.980359286723164</v>
      </c>
      <c r="I97" s="4">
        <v>1.4091105225988703</v>
      </c>
      <c r="J97" s="3">
        <v>5.1667410714286399</v>
      </c>
      <c r="K97" s="3">
        <v>-12.047187500000057</v>
      </c>
      <c r="L97" s="4">
        <v>4.9007042606595136E-3</v>
      </c>
      <c r="M97" s="4">
        <v>2.0276490668802279E-2</v>
      </c>
      <c r="N97" s="4">
        <f t="shared" si="36"/>
        <v>9.4850974587438238E-4</v>
      </c>
      <c r="O97" s="4">
        <f t="shared" si="35"/>
        <v>-1.6830891582622237E-3</v>
      </c>
      <c r="P97" s="7">
        <v>236.90293492025521</v>
      </c>
      <c r="Q97" s="7">
        <v>-289.61913577605264</v>
      </c>
      <c r="R97" s="7">
        <v>-52.716200855797439</v>
      </c>
      <c r="S97" s="4">
        <f t="shared" si="27"/>
        <v>0.81798094689240386</v>
      </c>
      <c r="T97" s="3">
        <v>5.5065729166666655</v>
      </c>
      <c r="U97" s="3">
        <v>26.761145833333341</v>
      </c>
      <c r="V97" s="7">
        <v>344.10357142857134</v>
      </c>
      <c r="W97">
        <v>48</v>
      </c>
      <c r="X97" s="21">
        <f t="shared" si="39"/>
        <v>230.14149189452183</v>
      </c>
      <c r="Y97" s="21">
        <f t="shared" si="40"/>
        <v>-226.23354688040757</v>
      </c>
      <c r="Z97" s="21">
        <f t="shared" si="41"/>
        <v>3.9079450141142353</v>
      </c>
      <c r="AA97" s="224">
        <f t="shared" si="42"/>
        <v>226.23354688040757</v>
      </c>
      <c r="AB97" s="199">
        <f t="shared" si="43"/>
        <v>1.0172739413230352</v>
      </c>
      <c r="AD97" s="13">
        <f t="shared" si="37"/>
        <v>42.07394900983639</v>
      </c>
      <c r="AE97" s="3">
        <f t="shared" si="38"/>
        <v>10.365408121468919</v>
      </c>
      <c r="AG97" s="334">
        <v>41470</v>
      </c>
      <c r="AH97" s="349">
        <v>3.9957289999999999</v>
      </c>
      <c r="AI97" s="349">
        <v>8.2810000000000006</v>
      </c>
      <c r="AK97" s="226">
        <v>95</v>
      </c>
      <c r="AL97" s="228">
        <v>95</v>
      </c>
      <c r="AM97" s="225">
        <v>6.0271879999999998</v>
      </c>
      <c r="AN97" s="225">
        <v>10.340999999999999</v>
      </c>
      <c r="AQ97" s="245">
        <v>197.46026169999999</v>
      </c>
      <c r="AR97" s="245">
        <v>-245.28567899999999</v>
      </c>
      <c r="AS97" s="244">
        <f t="shared" si="44"/>
        <v>231.64924587142858</v>
      </c>
      <c r="AT97" s="244">
        <f t="shared" ref="AT97:AT160" si="45">-AVERAGE(AR94:AR100)</f>
        <v>226.84814914285712</v>
      </c>
    </row>
    <row r="98" spans="1:46" ht="13.8" thickBot="1">
      <c r="A98" s="2">
        <v>41471</v>
      </c>
      <c r="B98" s="3">
        <v>28.476218555790968</v>
      </c>
      <c r="C98" s="3">
        <v>15.337312500000003</v>
      </c>
      <c r="D98" s="3">
        <v>7.5814498070405412</v>
      </c>
      <c r="E98" s="7">
        <v>222.16994394420908</v>
      </c>
      <c r="F98" s="4">
        <v>0.99717372691286232</v>
      </c>
      <c r="G98" s="4">
        <v>2.6280949858757063</v>
      </c>
      <c r="H98" s="3">
        <v>47.092242408192085</v>
      </c>
      <c r="I98" s="4">
        <v>1.3270407838983056</v>
      </c>
      <c r="J98" s="3">
        <v>4.6772321428571377</v>
      </c>
      <c r="K98" s="3">
        <v>-7.4043749999999502</v>
      </c>
      <c r="L98" s="4">
        <v>6.9233855533719302E-2</v>
      </c>
      <c r="M98" s="4">
        <v>1.2107165396069897E-2</v>
      </c>
      <c r="N98" s="4">
        <f t="shared" si="36"/>
        <v>1.4802313295364265E-2</v>
      </c>
      <c r="O98" s="4">
        <f t="shared" si="35"/>
        <v>-1.6351367125611517E-3</v>
      </c>
      <c r="P98" s="7">
        <v>165.33660622489137</v>
      </c>
      <c r="Q98" s="7">
        <v>-177.99557196950451</v>
      </c>
      <c r="R98" s="7">
        <v>-12.658965744613141</v>
      </c>
      <c r="S98" s="4">
        <f t="shared" si="27"/>
        <v>0.92888044570691919</v>
      </c>
      <c r="T98" s="3">
        <v>5.7390833333333333</v>
      </c>
      <c r="U98" s="3">
        <v>27.196145833333343</v>
      </c>
      <c r="V98" s="7">
        <v>447.16250000000002</v>
      </c>
      <c r="W98">
        <v>48</v>
      </c>
      <c r="X98" s="21">
        <f t="shared" si="39"/>
        <v>200.16141294632311</v>
      </c>
      <c r="Y98" s="21">
        <f t="shared" si="40"/>
        <v>-213.58319056669006</v>
      </c>
      <c r="Z98" s="21">
        <f t="shared" si="41"/>
        <v>-13.421777620367022</v>
      </c>
      <c r="AA98" s="224">
        <f t="shared" si="42"/>
        <v>213.58319056669006</v>
      </c>
      <c r="AB98" s="199">
        <f t="shared" si="43"/>
        <v>0.93715901712697713</v>
      </c>
      <c r="AD98" s="13">
        <f t="shared" si="37"/>
        <v>40.431097033779672</v>
      </c>
      <c r="AE98" s="3">
        <f t="shared" si="38"/>
        <v>9.349236935028248</v>
      </c>
      <c r="AG98" s="334">
        <v>41471</v>
      </c>
      <c r="AH98" s="349">
        <v>6.3804379999999998</v>
      </c>
      <c r="AI98" s="349">
        <v>10.340999999999999</v>
      </c>
      <c r="AK98" s="226">
        <v>96</v>
      </c>
      <c r="AL98" s="229">
        <v>96</v>
      </c>
      <c r="AM98" s="227">
        <v>5.1182499999999997</v>
      </c>
      <c r="AN98" s="227">
        <v>9.6359999999999992</v>
      </c>
      <c r="AQ98" s="246">
        <v>176.0765074</v>
      </c>
      <c r="AR98" s="246">
        <v>-187.81980999999999</v>
      </c>
      <c r="AS98" s="244">
        <f t="shared" si="44"/>
        <v>202.73485328571428</v>
      </c>
      <c r="AT98" s="244">
        <f t="shared" si="45"/>
        <v>214.53136642857143</v>
      </c>
    </row>
    <row r="99" spans="1:46" ht="13.8" thickBot="1">
      <c r="A99" s="2">
        <v>41472</v>
      </c>
      <c r="B99" s="3">
        <v>29.174818273305089</v>
      </c>
      <c r="C99" s="3">
        <v>14.606302789548026</v>
      </c>
      <c r="D99" s="3">
        <v>6.8201714950828318</v>
      </c>
      <c r="E99" s="7">
        <v>233.19591388594631</v>
      </c>
      <c r="F99" s="4">
        <v>1.0550649152049274</v>
      </c>
      <c r="G99" s="4">
        <v>2.6386649011299443</v>
      </c>
      <c r="H99" s="3">
        <v>48.719382591807907</v>
      </c>
      <c r="I99" s="4">
        <v>1.3307851341807917</v>
      </c>
      <c r="J99" s="3">
        <v>13.464062500000001</v>
      </c>
      <c r="K99" s="3">
        <v>-13.89</v>
      </c>
      <c r="L99" s="4">
        <v>-8.7369167162369733E-3</v>
      </c>
      <c r="M99" s="4">
        <v>-5.7928847002799766E-2</v>
      </c>
      <c r="N99" s="4">
        <f t="shared" si="36"/>
        <v>-6.4890642896502993E-4</v>
      </c>
      <c r="O99" s="4">
        <f t="shared" si="35"/>
        <v>4.1705433407343241E-3</v>
      </c>
      <c r="P99" s="7">
        <v>375.44197033355766</v>
      </c>
      <c r="Q99" s="7">
        <v>-331.96970767193295</v>
      </c>
      <c r="R99" s="7">
        <v>43.472262661624711</v>
      </c>
      <c r="S99" s="4">
        <f t="shared" si="27"/>
        <v>1.1309524985472046</v>
      </c>
      <c r="T99" s="3">
        <v>3.428947916666667</v>
      </c>
      <c r="U99" s="3">
        <v>28.168958333333332</v>
      </c>
      <c r="V99" s="7">
        <v>537.72142857142865</v>
      </c>
      <c r="W99">
        <v>48</v>
      </c>
      <c r="X99" s="21">
        <f t="shared" si="39"/>
        <v>211.57931673390922</v>
      </c>
      <c r="Y99" s="21">
        <f t="shared" si="40"/>
        <v>-231.92010521341837</v>
      </c>
      <c r="Z99" s="21">
        <f t="shared" si="41"/>
        <v>-20.340788479509172</v>
      </c>
      <c r="AA99" s="224">
        <f t="shared" si="42"/>
        <v>231.92010521341837</v>
      </c>
      <c r="AB99" s="199">
        <f t="shared" si="43"/>
        <v>0.91229398390971295</v>
      </c>
      <c r="AD99" s="13">
        <f t="shared" si="37"/>
        <v>41.846872983017633</v>
      </c>
      <c r="AE99" s="3">
        <f t="shared" si="38"/>
        <v>9.3978585451977423</v>
      </c>
      <c r="AG99" s="334">
        <v>41472</v>
      </c>
      <c r="AH99" s="349">
        <v>3.8943539999999999</v>
      </c>
      <c r="AI99" s="349">
        <v>6.18</v>
      </c>
      <c r="AK99" s="226">
        <v>97</v>
      </c>
      <c r="AL99" s="228">
        <v>97</v>
      </c>
      <c r="AM99" s="225">
        <v>3.1252710000000001</v>
      </c>
      <c r="AN99" s="225">
        <v>5.5129999999999999</v>
      </c>
      <c r="AQ99" s="245">
        <v>390.60925750000001</v>
      </c>
      <c r="AR99" s="245">
        <v>-337.168947</v>
      </c>
      <c r="AS99" s="244">
        <f t="shared" si="44"/>
        <v>214.10116918571427</v>
      </c>
      <c r="AT99" s="244">
        <f t="shared" si="45"/>
        <v>231.36433942857144</v>
      </c>
    </row>
    <row r="100" spans="1:46" ht="13.8" thickBot="1">
      <c r="A100" s="2">
        <v>41473</v>
      </c>
      <c r="B100" s="3">
        <v>29.728270709745754</v>
      </c>
      <c r="C100" s="3">
        <v>15.209230579096037</v>
      </c>
      <c r="D100" s="3">
        <v>7.0940048621103804</v>
      </c>
      <c r="E100" s="7">
        <v>232.91865841278249</v>
      </c>
      <c r="F100" s="4">
        <v>1.067288643369998</v>
      </c>
      <c r="G100" s="4">
        <v>2.7186433615819219</v>
      </c>
      <c r="H100" s="3">
        <v>44.390630649717529</v>
      </c>
      <c r="I100" s="4">
        <v>1.4087023305084745</v>
      </c>
      <c r="J100" s="3">
        <v>8.4651785714285968</v>
      </c>
      <c r="K100" s="3">
        <v>-12.018437499999999</v>
      </c>
      <c r="L100" s="4">
        <v>-5.8468709456031047E-2</v>
      </c>
      <c r="M100" s="4">
        <v>-1.5635729123576508E-2</v>
      </c>
      <c r="N100" s="4">
        <f t="shared" si="36"/>
        <v>-6.9069670489140993E-3</v>
      </c>
      <c r="O100" s="4">
        <f t="shared" si="35"/>
        <v>1.3009785276643913E-3</v>
      </c>
      <c r="P100" s="7">
        <v>282.23867446171334</v>
      </c>
      <c r="Q100" s="7">
        <v>-288.06724250103491</v>
      </c>
      <c r="R100" s="7">
        <v>-5.8285680393215671</v>
      </c>
      <c r="S100" s="4">
        <f t="shared" si="27"/>
        <v>0.97976664063321739</v>
      </c>
      <c r="T100" s="3">
        <v>2.6367083333333343</v>
      </c>
      <c r="U100" s="3">
        <v>27.644583333333333</v>
      </c>
      <c r="V100" s="7">
        <v>509.34642857142853</v>
      </c>
      <c r="W100">
        <v>48</v>
      </c>
      <c r="X100" s="21">
        <f t="shared" si="39"/>
        <v>205.98405507457375</v>
      </c>
      <c r="Y100" s="21">
        <f t="shared" si="40"/>
        <v>-236.49451339896314</v>
      </c>
      <c r="Z100" s="21">
        <f t="shared" si="41"/>
        <v>-30.510458324389386</v>
      </c>
      <c r="AA100" s="224">
        <f t="shared" si="42"/>
        <v>236.49451339896314</v>
      </c>
      <c r="AB100" s="199">
        <f t="shared" si="43"/>
        <v>0.87098872660559934</v>
      </c>
      <c r="AD100" s="13">
        <f t="shared" si="37"/>
        <v>38.080422525006185</v>
      </c>
      <c r="AE100" s="3">
        <f t="shared" si="38"/>
        <v>9.7657594632768401</v>
      </c>
      <c r="AG100" s="334">
        <v>41473</v>
      </c>
      <c r="AH100" s="349">
        <v>2.7886869999999999</v>
      </c>
      <c r="AI100" s="349">
        <v>5.5860000000000003</v>
      </c>
      <c r="AK100" s="226">
        <v>98</v>
      </c>
      <c r="AL100" s="229">
        <v>98</v>
      </c>
      <c r="AM100" s="227">
        <v>2.8897080000000002</v>
      </c>
      <c r="AN100" s="227">
        <v>6.9279999999999999</v>
      </c>
      <c r="AQ100" s="246">
        <v>311.12772180000002</v>
      </c>
      <c r="AR100" s="246">
        <v>-327.05894000000001</v>
      </c>
      <c r="AS100" s="244">
        <f t="shared" si="44"/>
        <v>200.82830032857143</v>
      </c>
      <c r="AT100" s="244">
        <f t="shared" si="45"/>
        <v>228.14571414285714</v>
      </c>
    </row>
    <row r="101" spans="1:46" ht="13.8" thickBot="1">
      <c r="A101" s="2">
        <v>41474</v>
      </c>
      <c r="B101" s="3">
        <v>29.364201182909596</v>
      </c>
      <c r="C101" s="3">
        <v>16.855722281073447</v>
      </c>
      <c r="D101" s="3">
        <v>8.4344321060351053</v>
      </c>
      <c r="E101" s="7">
        <v>218.00721111405366</v>
      </c>
      <c r="F101" s="4">
        <v>1.001774041783692</v>
      </c>
      <c r="G101" s="4">
        <v>2.6823748234463278</v>
      </c>
      <c r="H101" s="3">
        <v>44.774193855932218</v>
      </c>
      <c r="I101" s="4">
        <v>1.4142125706214694</v>
      </c>
      <c r="J101" s="3">
        <v>-2.9953124999999834</v>
      </c>
      <c r="K101" s="3">
        <v>-4.4693750000000536</v>
      </c>
      <c r="L101" s="4">
        <v>-3.5546169651544932E-2</v>
      </c>
      <c r="M101" s="4">
        <v>1.8022606267643213E-2</v>
      </c>
      <c r="N101" s="4">
        <f t="shared" si="36"/>
        <v>1.1867265820025499E-2</v>
      </c>
      <c r="O101" s="4">
        <f t="shared" si="35"/>
        <v>-4.0324667918093682E-3</v>
      </c>
      <c r="P101" s="7">
        <v>21.004930043889683</v>
      </c>
      <c r="Q101" s="7">
        <v>-107.69754255042473</v>
      </c>
      <c r="R101" s="7">
        <v>-86.692612506535042</v>
      </c>
      <c r="S101" s="4">
        <f t="shared" si="27"/>
        <v>0.19503629838215697</v>
      </c>
      <c r="T101" s="3">
        <v>3.2115937499999991</v>
      </c>
      <c r="U101" s="3">
        <v>26.71125</v>
      </c>
      <c r="V101" s="7">
        <v>306.79464285714295</v>
      </c>
      <c r="W101">
        <v>48</v>
      </c>
      <c r="X101" s="21">
        <f t="shared" si="39"/>
        <v>175.3081396885878</v>
      </c>
      <c r="Y101" s="21">
        <f t="shared" si="40"/>
        <v>-194.60652096866059</v>
      </c>
      <c r="Z101" s="21">
        <f t="shared" si="41"/>
        <v>-19.298381280072821</v>
      </c>
      <c r="AA101" s="224">
        <f t="shared" si="42"/>
        <v>194.60652096866059</v>
      </c>
      <c r="AB101" s="199">
        <f t="shared" si="43"/>
        <v>0.9008338405927282</v>
      </c>
      <c r="AD101" s="13">
        <f t="shared" si="37"/>
        <v>38.41416117139903</v>
      </c>
      <c r="AE101" s="3">
        <f t="shared" si="38"/>
        <v>9.5989241878531075</v>
      </c>
      <c r="AG101" s="334">
        <v>41474</v>
      </c>
      <c r="AH101" s="349">
        <v>3.3527079999999998</v>
      </c>
      <c r="AI101" s="349">
        <v>6.9279999999999999</v>
      </c>
      <c r="AK101" s="226">
        <v>99</v>
      </c>
      <c r="AL101" s="228">
        <v>99</v>
      </c>
      <c r="AM101" s="225">
        <v>2.657143</v>
      </c>
      <c r="AN101" s="225">
        <v>6.8929999999999998</v>
      </c>
      <c r="AQ101" s="245">
        <v>23.035387700000001</v>
      </c>
      <c r="AR101" s="245">
        <v>-98.407809</v>
      </c>
      <c r="AS101" s="244">
        <f t="shared" si="44"/>
        <v>186.10034824285717</v>
      </c>
      <c r="AT101" s="244">
        <f t="shared" si="45"/>
        <v>210.43792285714287</v>
      </c>
    </row>
    <row r="102" spans="1:46" ht="13.8" thickBot="1">
      <c r="A102" s="2">
        <v>41475</v>
      </c>
      <c r="B102" s="3">
        <v>28.969193326271199</v>
      </c>
      <c r="C102" s="3">
        <v>18.719408898305076</v>
      </c>
      <c r="D102" s="3">
        <v>9.9471536781680516</v>
      </c>
      <c r="E102" s="7">
        <v>211.44140624999997</v>
      </c>
      <c r="F102" s="4">
        <v>0.97517674924746045</v>
      </c>
      <c r="G102" s="4">
        <v>2.565995939265536</v>
      </c>
      <c r="H102" s="3">
        <v>38.918150776836164</v>
      </c>
      <c r="I102" s="4">
        <v>1.3767983757062146</v>
      </c>
      <c r="J102" s="3">
        <v>3.1774553571428865</v>
      </c>
      <c r="K102" s="3">
        <v>-9.804687500000016</v>
      </c>
      <c r="L102" s="4">
        <v>2.5469059505321686E-2</v>
      </c>
      <c r="M102" s="4">
        <v>6.7543703446055509E-2</v>
      </c>
      <c r="N102" s="4">
        <f t="shared" si="36"/>
        <v>8.0155522714323926E-3</v>
      </c>
      <c r="O102" s="4">
        <f t="shared" si="35"/>
        <v>-6.8889195546574427E-3</v>
      </c>
      <c r="P102" s="7">
        <v>179.08299063989901</v>
      </c>
      <c r="Q102" s="7">
        <v>-236.93354888270574</v>
      </c>
      <c r="R102" s="7">
        <v>-57.850558242806727</v>
      </c>
      <c r="S102" s="4">
        <f t="shared" si="27"/>
        <v>0.75583635784966141</v>
      </c>
      <c r="T102" s="3">
        <v>5.4990520833333356</v>
      </c>
      <c r="U102" s="3">
        <v>27.633749999999999</v>
      </c>
      <c r="V102" s="7">
        <v>335.06428571428563</v>
      </c>
      <c r="W102">
        <v>48</v>
      </c>
      <c r="X102" s="21">
        <f t="shared" si="39"/>
        <v>181.69852966103943</v>
      </c>
      <c r="Y102" s="21">
        <f t="shared" si="40"/>
        <v>-198.39757520978631</v>
      </c>
      <c r="Z102" s="21">
        <f t="shared" si="41"/>
        <v>-16.69904554874693</v>
      </c>
      <c r="AA102" s="224">
        <f t="shared" si="42"/>
        <v>198.39757520978631</v>
      </c>
      <c r="AB102" s="199">
        <f t="shared" si="43"/>
        <v>0.91583039494767393</v>
      </c>
      <c r="AD102" s="13">
        <f t="shared" si="37"/>
        <v>33.318813497874245</v>
      </c>
      <c r="AE102" s="3">
        <f t="shared" si="38"/>
        <v>9.0635813206214646</v>
      </c>
      <c r="AG102" s="334">
        <v>41475</v>
      </c>
      <c r="AH102" s="349">
        <v>4.6639379999999999</v>
      </c>
      <c r="AI102" s="349">
        <v>9.0670000000000002</v>
      </c>
      <c r="AK102" s="226">
        <v>100</v>
      </c>
      <c r="AL102" s="229">
        <v>100</v>
      </c>
      <c r="AM102" s="227">
        <v>6.0629379999999999</v>
      </c>
      <c r="AN102" s="227">
        <v>9.0670000000000002</v>
      </c>
      <c r="AQ102" s="246">
        <v>174.0487564</v>
      </c>
      <c r="AR102" s="246">
        <v>-228.51504</v>
      </c>
      <c r="AS102" s="244">
        <f t="shared" si="44"/>
        <v>218.8796097</v>
      </c>
      <c r="AT102" s="244">
        <f t="shared" si="45"/>
        <v>239.30395042857143</v>
      </c>
    </row>
    <row r="103" spans="1:46" ht="13.8" thickBot="1">
      <c r="A103" s="2">
        <v>41476</v>
      </c>
      <c r="B103" s="3">
        <v>28.496781744350276</v>
      </c>
      <c r="C103" s="3">
        <v>19.70760734463278</v>
      </c>
      <c r="D103" s="3">
        <v>10.832138547661716</v>
      </c>
      <c r="E103" s="7">
        <v>205.32376633121461</v>
      </c>
      <c r="F103" s="4">
        <v>0.94460622322984023</v>
      </c>
      <c r="G103" s="4">
        <v>2.3746223516949159</v>
      </c>
      <c r="H103" s="3">
        <v>37.405539901129949</v>
      </c>
      <c r="I103" s="4">
        <v>1.4277870762711864</v>
      </c>
      <c r="J103" s="3">
        <v>4.1281249999999456</v>
      </c>
      <c r="K103" s="3">
        <v>-9.1374999999999549</v>
      </c>
      <c r="L103" s="4">
        <v>0.11893042829466578</v>
      </c>
      <c r="M103" s="4">
        <v>0.16161851837865823</v>
      </c>
      <c r="N103" s="4">
        <f t="shared" si="36"/>
        <v>2.8809793379480357E-2</v>
      </c>
      <c r="O103" s="4">
        <f t="shared" si="35"/>
        <v>-1.7687389152247227E-2</v>
      </c>
      <c r="P103" s="7">
        <v>181.88027889781011</v>
      </c>
      <c r="Q103" s="7">
        <v>-223.17884444108662</v>
      </c>
      <c r="R103" s="7">
        <v>-41.29856554327651</v>
      </c>
      <c r="S103" s="4">
        <f t="shared" si="27"/>
        <v>0.81495304518355349</v>
      </c>
      <c r="T103" s="3">
        <v>5.6922500000000014</v>
      </c>
      <c r="U103" s="3">
        <v>27.225937500000001</v>
      </c>
      <c r="V103" s="7">
        <v>228.90892857142859</v>
      </c>
      <c r="W103">
        <v>48</v>
      </c>
      <c r="X103" s="21">
        <f t="shared" si="39"/>
        <v>179.51357484686579</v>
      </c>
      <c r="Y103" s="21">
        <f t="shared" si="40"/>
        <v>-188.50516145598846</v>
      </c>
      <c r="Z103" s="21">
        <f t="shared" si="41"/>
        <v>-8.9915866091226544</v>
      </c>
      <c r="AA103" s="224">
        <f t="shared" si="42"/>
        <v>188.50516145598846</v>
      </c>
      <c r="AB103" s="199">
        <f t="shared" si="43"/>
        <v>0.95230058137574136</v>
      </c>
      <c r="AD103" s="13">
        <f t="shared" si="37"/>
        <v>32.002689589225049</v>
      </c>
      <c r="AE103" s="3">
        <f t="shared" si="38"/>
        <v>8.1832628177966118</v>
      </c>
      <c r="AG103" s="334">
        <v>41476</v>
      </c>
      <c r="AH103" s="349">
        <v>5.7056040000000001</v>
      </c>
      <c r="AI103" s="349">
        <v>13.016</v>
      </c>
      <c r="AK103" s="226">
        <v>101</v>
      </c>
      <c r="AL103" s="228">
        <v>101</v>
      </c>
      <c r="AM103" s="225">
        <v>6.0412080000000001</v>
      </c>
      <c r="AN103" s="225">
        <v>13.016</v>
      </c>
      <c r="AQ103" s="245">
        <v>133.44020979999999</v>
      </c>
      <c r="AR103" s="245">
        <v>-172.76377400000001</v>
      </c>
      <c r="AS103" s="244">
        <f t="shared" si="44"/>
        <v>223.23681664285715</v>
      </c>
      <c r="AT103" s="244">
        <f t="shared" si="45"/>
        <v>237.34528671428572</v>
      </c>
    </row>
    <row r="104" spans="1:46" ht="13.8" thickBot="1">
      <c r="A104" s="2">
        <v>41477</v>
      </c>
      <c r="B104" s="3">
        <v>28.076736475988699</v>
      </c>
      <c r="C104" s="3">
        <v>20.170167725988708</v>
      </c>
      <c r="D104" s="3">
        <v>11.307833485006441</v>
      </c>
      <c r="E104" s="7">
        <v>200.89021671963272</v>
      </c>
      <c r="F104" s="4">
        <v>0.91994771458178903</v>
      </c>
      <c r="G104" s="4">
        <v>2.4762245762711861</v>
      </c>
      <c r="H104" s="3">
        <v>36.265793255649697</v>
      </c>
      <c r="I104" s="4">
        <v>1.6924786370056497</v>
      </c>
      <c r="J104" s="3">
        <v>2.0160714285714114</v>
      </c>
      <c r="K104" s="3">
        <v>0.45062499999997652</v>
      </c>
      <c r="L104" s="4">
        <v>0.24389742409972359</v>
      </c>
      <c r="M104" s="4">
        <v>0.30075786516392905</v>
      </c>
      <c r="N104" s="4">
        <f t="shared" si="36"/>
        <v>0.1209765788271447</v>
      </c>
      <c r="O104" s="4">
        <f t="shared" si="35"/>
        <v>0.66742383392831006</v>
      </c>
      <c r="P104" s="7">
        <v>22.171527218353411</v>
      </c>
      <c r="Q104" s="7">
        <v>3.5968112360650926</v>
      </c>
      <c r="R104" s="7">
        <v>25.768338454418505</v>
      </c>
      <c r="S104" s="4">
        <f t="shared" si="27"/>
        <v>-6.1642176258904922</v>
      </c>
      <c r="T104" s="3">
        <v>6.1766666666666667</v>
      </c>
      <c r="U104" s="3">
        <v>26.170729166666675</v>
      </c>
      <c r="V104" s="7">
        <v>172.13571428571427</v>
      </c>
      <c r="W104">
        <v>48</v>
      </c>
      <c r="X104" s="21">
        <f t="shared" si="39"/>
        <v>193.47553342772443</v>
      </c>
      <c r="Y104" s="21">
        <f t="shared" si="40"/>
        <v>-200.94628415754161</v>
      </c>
      <c r="Z104" s="21">
        <f t="shared" si="41"/>
        <v>-7.4707507298171913</v>
      </c>
      <c r="AA104" s="224">
        <f t="shared" si="42"/>
        <v>200.94628415754161</v>
      </c>
      <c r="AB104" s="199">
        <f t="shared" si="43"/>
        <v>0.96282215040134744</v>
      </c>
      <c r="AD104" s="13">
        <f t="shared" si="37"/>
        <v>31.010995139574259</v>
      </c>
      <c r="AE104" s="3">
        <f t="shared" si="38"/>
        <v>8.6506330508474552</v>
      </c>
      <c r="AG104" s="334">
        <v>41477</v>
      </c>
      <c r="AH104" s="349">
        <v>5.998875</v>
      </c>
      <c r="AI104" s="349">
        <v>10.92</v>
      </c>
      <c r="AK104" s="226">
        <v>102</v>
      </c>
      <c r="AL104" s="229">
        <v>102</v>
      </c>
      <c r="AM104" s="227">
        <v>5.787979</v>
      </c>
      <c r="AN104" s="227">
        <v>10.92</v>
      </c>
      <c r="AQ104" s="246">
        <v>94.364597099999997</v>
      </c>
      <c r="AR104" s="246">
        <v>-121.33114</v>
      </c>
      <c r="AS104" s="244">
        <f t="shared" si="44"/>
        <v>230.2140958</v>
      </c>
      <c r="AT104" s="244">
        <f t="shared" si="45"/>
        <v>234.22196914285718</v>
      </c>
    </row>
    <row r="105" spans="1:46" ht="13.8" thickBot="1">
      <c r="A105" s="2">
        <v>41478</v>
      </c>
      <c r="B105" s="3">
        <v>28.441084887005655</v>
      </c>
      <c r="C105" s="3">
        <v>19.845690854519777</v>
      </c>
      <c r="D105" s="3">
        <v>10.952252572313091</v>
      </c>
      <c r="E105" s="7">
        <v>211.80510681497174</v>
      </c>
      <c r="F105" s="4">
        <v>0.97433965092577923</v>
      </c>
      <c r="G105" s="4">
        <v>2.164038488700565</v>
      </c>
      <c r="H105" s="3">
        <v>36.202909074858766</v>
      </c>
      <c r="I105" s="4">
        <v>1.7480550847457623</v>
      </c>
      <c r="J105" s="3">
        <v>6.7397321428571697</v>
      </c>
      <c r="K105" s="3">
        <v>-8.3156249999999474</v>
      </c>
      <c r="L105" s="4">
        <v>-0.10898856482095003</v>
      </c>
      <c r="M105" s="4">
        <v>0.20658131905774174</v>
      </c>
      <c r="N105" s="4">
        <f t="shared" si="36"/>
        <v>-1.6171052871360343E-2</v>
      </c>
      <c r="O105" s="4">
        <f t="shared" si="35"/>
        <v>-2.4842548702922875E-2</v>
      </c>
      <c r="P105" s="7">
        <v>210.06933603205258</v>
      </c>
      <c r="Q105" s="7">
        <v>-204.53295165738444</v>
      </c>
      <c r="R105" s="7">
        <v>5.5363843746681312</v>
      </c>
      <c r="S105" s="4">
        <f t="shared" si="27"/>
        <v>1.0270684226175066</v>
      </c>
      <c r="T105" s="3">
        <v>6.106343749999998</v>
      </c>
      <c r="U105" s="3">
        <v>27.732395833333328</v>
      </c>
      <c r="V105" s="7">
        <v>455.27499999999998</v>
      </c>
      <c r="W105">
        <v>48</v>
      </c>
      <c r="X105" s="21">
        <f t="shared" si="39"/>
        <v>236.03255624732711</v>
      </c>
      <c r="Y105" s="21">
        <f t="shared" si="40"/>
        <v>-221.12209533523446</v>
      </c>
      <c r="Z105" s="21">
        <f t="shared" si="41"/>
        <v>14.910460912092649</v>
      </c>
      <c r="AA105" s="224">
        <f t="shared" si="42"/>
        <v>221.12209533523446</v>
      </c>
      <c r="AB105" s="199">
        <f t="shared" si="43"/>
        <v>1.0674308955398033</v>
      </c>
      <c r="AD105" s="13">
        <f t="shared" si="37"/>
        <v>30.956279564574761</v>
      </c>
      <c r="AE105" s="3">
        <f t="shared" si="38"/>
        <v>7.2145770480225977</v>
      </c>
      <c r="AG105" s="334">
        <v>41478</v>
      </c>
      <c r="AH105" s="349">
        <v>5.9307080000000001</v>
      </c>
      <c r="AI105" s="349">
        <v>11.068</v>
      </c>
      <c r="AK105" s="226">
        <v>103</v>
      </c>
      <c r="AL105" s="228">
        <v>103</v>
      </c>
      <c r="AM105" s="225">
        <v>6.6478539999999997</v>
      </c>
      <c r="AN105" s="225">
        <v>11.068</v>
      </c>
      <c r="AQ105" s="245">
        <v>405.53133759999997</v>
      </c>
      <c r="AR105" s="245">
        <v>-389.882003</v>
      </c>
      <c r="AS105" s="244">
        <f t="shared" si="44"/>
        <v>268.08006515714288</v>
      </c>
      <c r="AT105" s="244">
        <f t="shared" si="45"/>
        <v>257.69640714285714</v>
      </c>
    </row>
    <row r="106" spans="1:46" ht="13.8" thickBot="1">
      <c r="A106" s="2">
        <v>41479</v>
      </c>
      <c r="B106" s="3">
        <v>28.669546557203393</v>
      </c>
      <c r="C106" s="3">
        <v>18.311039194915249</v>
      </c>
      <c r="D106" s="3">
        <v>9.737157592862328</v>
      </c>
      <c r="E106" s="7">
        <v>222.2675064000706</v>
      </c>
      <c r="F106" s="4">
        <v>1.0176062840011051</v>
      </c>
      <c r="G106" s="4">
        <v>2.2975349576271182</v>
      </c>
      <c r="H106" s="3">
        <v>40.472458686440667</v>
      </c>
      <c r="I106" s="4">
        <v>1.6224011299435031</v>
      </c>
      <c r="J106" s="3">
        <v>15.478240740740679</v>
      </c>
      <c r="K106" s="3">
        <v>-10.938392857142848</v>
      </c>
      <c r="L106" s="4">
        <v>-8.888612358616596E-2</v>
      </c>
      <c r="M106" s="4">
        <v>8.3909509966503502E-3</v>
      </c>
      <c r="N106" s="4">
        <f t="shared" si="36"/>
        <v>-5.7426502840343145E-3</v>
      </c>
      <c r="O106" s="4">
        <f t="shared" si="35"/>
        <v>-7.671100413230267E-4</v>
      </c>
      <c r="P106" s="7">
        <v>360.14728663434255</v>
      </c>
      <c r="Q106" s="7">
        <v>-262.72281139534795</v>
      </c>
      <c r="R106" s="7">
        <v>97.424475238994603</v>
      </c>
      <c r="S106" s="4">
        <f t="shared" si="27"/>
        <v>1.3708260988894081</v>
      </c>
      <c r="T106" s="3">
        <v>5.5727812500000011</v>
      </c>
      <c r="U106" s="3">
        <v>27.225000000000001</v>
      </c>
      <c r="V106" s="7">
        <v>318.89999999999998</v>
      </c>
      <c r="W106">
        <v>48</v>
      </c>
      <c r="X106" s="21">
        <f t="shared" si="39"/>
        <v>228.41208469018065</v>
      </c>
      <c r="Y106" s="21">
        <f t="shared" si="40"/>
        <v>-214.6583760174006</v>
      </c>
      <c r="Z106" s="21">
        <f t="shared" si="41"/>
        <v>13.753708672780109</v>
      </c>
      <c r="AA106" s="224">
        <f t="shared" si="42"/>
        <v>214.6583760174006</v>
      </c>
      <c r="AB106" s="199">
        <f t="shared" si="43"/>
        <v>1.0640725460052169</v>
      </c>
      <c r="AD106" s="13">
        <f t="shared" si="37"/>
        <v>34.67121802840358</v>
      </c>
      <c r="AE106" s="3">
        <f t="shared" si="38"/>
        <v>7.828660805084743</v>
      </c>
      <c r="AG106" s="334">
        <v>41479</v>
      </c>
      <c r="AH106" s="349">
        <v>6.2224170000000001</v>
      </c>
      <c r="AI106" s="349">
        <v>10.067</v>
      </c>
      <c r="AK106" s="226">
        <v>104</v>
      </c>
      <c r="AL106" s="229">
        <v>104</v>
      </c>
      <c r="AM106" s="227">
        <v>4.7720209999999996</v>
      </c>
      <c r="AN106" s="227">
        <v>10.067</v>
      </c>
      <c r="AQ106" s="246">
        <v>421.10970609999998</v>
      </c>
      <c r="AR106" s="246">
        <v>-323.45830100000001</v>
      </c>
      <c r="AS106" s="244">
        <f t="shared" si="44"/>
        <v>268.65295427142854</v>
      </c>
      <c r="AT106" s="244">
        <f t="shared" si="45"/>
        <v>262.08434728571427</v>
      </c>
    </row>
    <row r="107" spans="1:46" ht="13.8" thickBot="1">
      <c r="A107" s="2">
        <v>41480</v>
      </c>
      <c r="B107" s="3">
        <v>29.232839971751417</v>
      </c>
      <c r="C107" s="3">
        <v>16.091157662429385</v>
      </c>
      <c r="D107" s="3">
        <v>7.906425758340883</v>
      </c>
      <c r="E107" s="7">
        <v>233.34283412782486</v>
      </c>
      <c r="F107" s="4">
        <v>1.0655614621484741</v>
      </c>
      <c r="G107" s="4">
        <v>2.0220647951977395</v>
      </c>
      <c r="H107" s="3">
        <v>45.440462217514131</v>
      </c>
      <c r="I107" s="4">
        <v>1.4778319209039557</v>
      </c>
      <c r="J107" s="3">
        <v>12.118518518518597</v>
      </c>
      <c r="K107" s="3">
        <v>-15.729761904761888</v>
      </c>
      <c r="L107" s="4">
        <v>-0.22344600444693341</v>
      </c>
      <c r="M107" s="4">
        <v>-9.8299345932430685E-2</v>
      </c>
      <c r="N107" s="4">
        <f t="shared" si="36"/>
        <v>-1.843839278749133E-2</v>
      </c>
      <c r="O107" s="4">
        <f t="shared" si="35"/>
        <v>6.2492583503550945E-3</v>
      </c>
      <c r="P107" s="7">
        <v>379.97238452772359</v>
      </c>
      <c r="Q107" s="7">
        <v>-375.15510141190691</v>
      </c>
      <c r="R107" s="7">
        <v>4.8172831158166787</v>
      </c>
      <c r="S107" s="4">
        <f t="shared" si="27"/>
        <v>1.0128407773150003</v>
      </c>
      <c r="T107" s="3">
        <v>4.3622187500000011</v>
      </c>
      <c r="U107" s="3">
        <v>27.969374999999999</v>
      </c>
      <c r="V107" s="7">
        <v>454.5</v>
      </c>
      <c r="W107">
        <v>48</v>
      </c>
      <c r="X107" s="21">
        <f t="shared" si="39"/>
        <v>238.57174677344983</v>
      </c>
      <c r="Y107" s="21">
        <f t="shared" si="40"/>
        <v>-217.18018003162391</v>
      </c>
      <c r="Z107" s="21">
        <f t="shared" si="41"/>
        <v>21.391566741825933</v>
      </c>
      <c r="AA107" s="224">
        <f t="shared" si="42"/>
        <v>217.18018003162391</v>
      </c>
      <c r="AB107" s="199">
        <f t="shared" si="43"/>
        <v>1.0984968643948589</v>
      </c>
      <c r="AD107" s="13">
        <f t="shared" si="37"/>
        <v>38.993881795082288</v>
      </c>
      <c r="AE107" s="3">
        <f t="shared" si="38"/>
        <v>6.5614980579096009</v>
      </c>
      <c r="AG107" s="334">
        <v>41480</v>
      </c>
      <c r="AH107" s="349">
        <v>4.6510829999999999</v>
      </c>
      <c r="AI107" s="349">
        <v>8.8350000000000009</v>
      </c>
      <c r="AK107" s="226">
        <v>105</v>
      </c>
      <c r="AL107" s="228">
        <v>105</v>
      </c>
      <c r="AM107" s="225">
        <v>3.9849380000000001</v>
      </c>
      <c r="AN107" s="225">
        <v>8.8350000000000009</v>
      </c>
      <c r="AQ107" s="245">
        <v>359.96867589999999</v>
      </c>
      <c r="AR107" s="245">
        <v>-305.195717</v>
      </c>
      <c r="AS107" s="244">
        <f t="shared" si="44"/>
        <v>287.77720227142856</v>
      </c>
      <c r="AT107" s="244">
        <f t="shared" si="45"/>
        <v>271.18698499999999</v>
      </c>
    </row>
    <row r="108" spans="1:46" ht="13.8" thickBot="1">
      <c r="A108" s="2">
        <v>41481</v>
      </c>
      <c r="B108" s="3">
        <v>29.91510653248589</v>
      </c>
      <c r="C108" s="3">
        <v>13.96373481638417</v>
      </c>
      <c r="D108" s="3">
        <v>6.1097339404908242</v>
      </c>
      <c r="E108" s="7">
        <v>238.71452374646893</v>
      </c>
      <c r="F108" s="4">
        <v>1.0897007768881219</v>
      </c>
      <c r="G108" s="4">
        <v>2.0190715042372891</v>
      </c>
      <c r="H108" s="3">
        <v>50.155808086158196</v>
      </c>
      <c r="I108" s="4">
        <v>1.4493230932203387</v>
      </c>
      <c r="J108" s="3">
        <v>12.937037037036966</v>
      </c>
      <c r="K108" s="3">
        <v>-10.529761904761871</v>
      </c>
      <c r="L108" s="4">
        <v>-0.1685554648777717</v>
      </c>
      <c r="M108" s="4">
        <v>-0.15775270500042698</v>
      </c>
      <c r="N108" s="4">
        <f t="shared" si="36"/>
        <v>-1.3028907963641171E-2</v>
      </c>
      <c r="O108" s="4">
        <f t="shared" si="35"/>
        <v>1.4981602283816743E-2</v>
      </c>
      <c r="P108" s="7">
        <v>318.90408978110855</v>
      </c>
      <c r="Q108" s="7">
        <v>-248.92822079427469</v>
      </c>
      <c r="R108" s="7">
        <v>69.975868986833859</v>
      </c>
      <c r="S108" s="4">
        <f t="shared" si="27"/>
        <v>1.2811086214474052</v>
      </c>
      <c r="T108" s="3">
        <v>4.0750000000000002</v>
      </c>
      <c r="U108" s="3">
        <v>28.782291666666669</v>
      </c>
      <c r="V108" s="7">
        <v>476.63333333333327</v>
      </c>
      <c r="W108">
        <v>48</v>
      </c>
      <c r="X108" s="21">
        <f t="shared" si="39"/>
        <v>282.53637929162034</v>
      </c>
      <c r="Y108" s="21">
        <f t="shared" si="40"/>
        <v>-255.35236175677042</v>
      </c>
      <c r="Z108" s="21">
        <f t="shared" si="41"/>
        <v>27.184017534849982</v>
      </c>
      <c r="AA108" s="224">
        <f t="shared" si="42"/>
        <v>255.35236175677042</v>
      </c>
      <c r="AB108" s="199">
        <f t="shared" si="43"/>
        <v>1.1064568870553209</v>
      </c>
      <c r="AD108" s="13">
        <f t="shared" si="37"/>
        <v>43.096707931629247</v>
      </c>
      <c r="AE108" s="3">
        <f t="shared" si="38"/>
        <v>6.5477289194915294</v>
      </c>
      <c r="AG108" s="334">
        <v>41481</v>
      </c>
      <c r="AH108" s="349">
        <v>3.6501869999999998</v>
      </c>
      <c r="AI108" s="349">
        <v>5.9550000000000001</v>
      </c>
      <c r="AK108" s="226">
        <v>106</v>
      </c>
      <c r="AL108" s="229">
        <v>106</v>
      </c>
      <c r="AM108" s="227">
        <v>4.5355420000000004</v>
      </c>
      <c r="AN108" s="227">
        <v>5.9550000000000001</v>
      </c>
      <c r="AQ108" s="246">
        <v>288.09717319999999</v>
      </c>
      <c r="AR108" s="246">
        <v>-262.72887500000002</v>
      </c>
      <c r="AS108" s="244">
        <f t="shared" si="44"/>
        <v>303.39691740000001</v>
      </c>
      <c r="AT108" s="244">
        <f t="shared" si="45"/>
        <v>274.70860885714285</v>
      </c>
    </row>
    <row r="109" spans="1:46" ht="13.8" thickBot="1">
      <c r="A109" s="2">
        <v>41482</v>
      </c>
      <c r="B109" s="3">
        <v>29.290113930084754</v>
      </c>
      <c r="C109" s="3">
        <v>13.495283015536716</v>
      </c>
      <c r="D109" s="3">
        <v>5.9586532244711519</v>
      </c>
      <c r="E109" s="7">
        <v>226.22103416313556</v>
      </c>
      <c r="F109" s="4">
        <v>1.0190518421601147</v>
      </c>
      <c r="G109" s="4">
        <v>2.0143767655367228</v>
      </c>
      <c r="H109" s="3">
        <v>51.303126588983048</v>
      </c>
      <c r="I109" s="4">
        <v>1.3991304731638412</v>
      </c>
      <c r="J109" s="3">
        <v>1.2374999999999341</v>
      </c>
      <c r="K109" s="3">
        <v>-7.9672619047618678</v>
      </c>
      <c r="L109" s="4">
        <v>-3.2429938356493555E-2</v>
      </c>
      <c r="M109" s="4">
        <v>1.9717830982655778E-2</v>
      </c>
      <c r="N109" s="4">
        <f t="shared" si="36"/>
        <v>-2.62060107931275E-2</v>
      </c>
      <c r="O109" s="4">
        <f t="shared" si="35"/>
        <v>-2.474856634356508E-3</v>
      </c>
      <c r="P109" s="7">
        <v>125.73968973987404</v>
      </c>
      <c r="Q109" s="7">
        <v>-191.68751365786855</v>
      </c>
      <c r="R109" s="7">
        <v>-65.947823917994512</v>
      </c>
      <c r="S109" s="4">
        <f t="shared" si="27"/>
        <v>0.6559618169199023</v>
      </c>
      <c r="T109" s="3">
        <v>3.1487708333333333</v>
      </c>
      <c r="U109" s="3">
        <v>26.631354166666668</v>
      </c>
      <c r="V109" s="7">
        <v>180.44444444444446</v>
      </c>
      <c r="W109">
        <v>48</v>
      </c>
      <c r="X109" s="21">
        <f t="shared" si="39"/>
        <v>280.38813821411412</v>
      </c>
      <c r="Y109" s="21">
        <f t="shared" si="40"/>
        <v>-253.08591258869268</v>
      </c>
      <c r="Z109" s="21">
        <f t="shared" si="41"/>
        <v>27.302225625421528</v>
      </c>
      <c r="AA109" s="224">
        <f t="shared" si="42"/>
        <v>253.08591258869268</v>
      </c>
      <c r="AB109" s="199">
        <f t="shared" si="43"/>
        <v>1.1078773027947715</v>
      </c>
      <c r="AD109" s="13">
        <f t="shared" si="37"/>
        <v>44.094990660290968</v>
      </c>
      <c r="AE109" s="3">
        <f t="shared" si="38"/>
        <v>6.5261331214689235</v>
      </c>
      <c r="AG109" s="334">
        <v>41482</v>
      </c>
      <c r="AH109" s="349">
        <v>3.3814790000000001</v>
      </c>
      <c r="AI109" s="349">
        <v>8.0470000000000006</v>
      </c>
      <c r="AK109" s="226">
        <v>107</v>
      </c>
      <c r="AL109" s="228">
        <v>107</v>
      </c>
      <c r="AM109" s="225">
        <v>2.978583</v>
      </c>
      <c r="AN109" s="225">
        <v>8.8140000000000001</v>
      </c>
      <c r="AQ109" s="245">
        <v>178.05898020000001</v>
      </c>
      <c r="AR109" s="245">
        <v>-259.23062099999999</v>
      </c>
      <c r="AS109" s="244">
        <f t="shared" si="44"/>
        <v>274.29594638571427</v>
      </c>
      <c r="AT109" s="244">
        <f t="shared" si="45"/>
        <v>246.19429457142857</v>
      </c>
    </row>
    <row r="110" spans="1:46" ht="13.8" thickBot="1">
      <c r="A110" s="2">
        <v>41483</v>
      </c>
      <c r="B110" s="3">
        <v>28.951728213276827</v>
      </c>
      <c r="C110" s="3">
        <v>13.724346045197743</v>
      </c>
      <c r="D110" s="3">
        <v>6.2336671646620614</v>
      </c>
      <c r="E110" s="7">
        <v>225.98281360346047</v>
      </c>
      <c r="F110" s="4">
        <v>1.0135530739680405</v>
      </c>
      <c r="G110" s="4">
        <v>2.0282432909604515</v>
      </c>
      <c r="H110" s="3">
        <v>48.094688206214677</v>
      </c>
      <c r="I110" s="4">
        <v>1.3171251765536731</v>
      </c>
      <c r="J110" s="3">
        <v>8.5622685185185112</v>
      </c>
      <c r="K110" s="3">
        <v>-10.057142857142788</v>
      </c>
      <c r="L110" s="4">
        <v>-2.8700054669720806E-2</v>
      </c>
      <c r="M110" s="4">
        <v>-2.2498167949042715E-2</v>
      </c>
      <c r="N110" s="4">
        <f t="shared" si="36"/>
        <v>-3.3519218192758385E-3</v>
      </c>
      <c r="O110" s="4">
        <f t="shared" si="35"/>
        <v>2.2370337449332399E-3</v>
      </c>
      <c r="P110" s="7">
        <v>252.99791348069414</v>
      </c>
      <c r="Q110" s="7">
        <v>-240.83147254064986</v>
      </c>
      <c r="R110" s="7">
        <v>12.166440940044282</v>
      </c>
      <c r="S110" s="4">
        <f t="shared" si="27"/>
        <v>1.0505184841984916</v>
      </c>
      <c r="T110" s="3">
        <v>3.5264479166666676</v>
      </c>
      <c r="U110" s="3">
        <v>27.441354166666674</v>
      </c>
      <c r="V110" s="7">
        <v>393.08703703703719</v>
      </c>
      <c r="W110">
        <v>48</v>
      </c>
      <c r="X110" s="21">
        <f t="shared" si="39"/>
        <v>264.14720069789325</v>
      </c>
      <c r="Y110" s="21">
        <f t="shared" si="40"/>
        <v>-257.644058403023</v>
      </c>
      <c r="Z110" s="21">
        <f t="shared" si="41"/>
        <v>6.5031422948702033</v>
      </c>
      <c r="AA110" s="224">
        <f t="shared" si="42"/>
        <v>257.644058403023</v>
      </c>
      <c r="AB110" s="199">
        <f t="shared" si="43"/>
        <v>1.0252408005648539</v>
      </c>
      <c r="AD110" s="13">
        <f t="shared" si="37"/>
        <v>41.303325908430914</v>
      </c>
      <c r="AE110" s="3">
        <f t="shared" si="38"/>
        <v>6.5899191384180753</v>
      </c>
      <c r="AG110" s="334">
        <v>41483</v>
      </c>
      <c r="AH110" s="349">
        <v>3.7816040000000002</v>
      </c>
      <c r="AI110" s="349">
        <v>8.8140000000000001</v>
      </c>
      <c r="AK110" s="226">
        <v>108</v>
      </c>
      <c r="AL110" s="229">
        <v>108</v>
      </c>
      <c r="AM110" s="227">
        <v>3.023479</v>
      </c>
      <c r="AN110" s="227">
        <v>6.0529999999999999</v>
      </c>
      <c r="AQ110" s="246">
        <v>267.30994579999998</v>
      </c>
      <c r="AR110" s="246">
        <v>-236.482238</v>
      </c>
      <c r="AS110" s="244">
        <f t="shared" si="44"/>
        <v>247.64867165714281</v>
      </c>
      <c r="AT110" s="244">
        <f t="shared" si="45"/>
        <v>241.32223771428571</v>
      </c>
    </row>
    <row r="111" spans="1:46" ht="13.8" thickBot="1">
      <c r="A111" s="2">
        <v>41484</v>
      </c>
      <c r="B111" s="3">
        <v>29.75676502471752</v>
      </c>
      <c r="C111" s="3">
        <v>13.081683615819209</v>
      </c>
      <c r="D111" s="3">
        <v>5.502491379327072</v>
      </c>
      <c r="E111" s="7">
        <v>232.64461952683618</v>
      </c>
      <c r="F111" s="4">
        <v>1.0542360521625072</v>
      </c>
      <c r="G111" s="4">
        <v>2.2088862994350285</v>
      </c>
      <c r="H111" s="3">
        <v>47.470031779661007</v>
      </c>
      <c r="I111" s="4">
        <v>1.3472681850282486</v>
      </c>
      <c r="J111" s="3">
        <v>13.427083333333362</v>
      </c>
      <c r="K111" s="3">
        <v>-10.997916666666757</v>
      </c>
      <c r="L111" s="4">
        <v>-2.8042268375220818E-2</v>
      </c>
      <c r="M111" s="4">
        <v>-1.4230798335073394E-2</v>
      </c>
      <c r="N111" s="4">
        <f t="shared" si="36"/>
        <v>-2.0884854647177601E-3</v>
      </c>
      <c r="O111" s="4">
        <f t="shared" si="35"/>
        <v>1.2939540065988204E-3</v>
      </c>
      <c r="P111" s="7">
        <v>329.92395484554726</v>
      </c>
      <c r="Q111" s="7">
        <v>-263.6084608399604</v>
      </c>
      <c r="R111" s="7">
        <v>66.315494005586856</v>
      </c>
      <c r="S111" s="4">
        <f t="shared" si="27"/>
        <v>1.2515681545056618</v>
      </c>
      <c r="T111" s="3">
        <v>1.5905833333333337</v>
      </c>
      <c r="U111" s="3">
        <v>29.227916666666669</v>
      </c>
      <c r="V111" s="7">
        <v>499.53518518518507</v>
      </c>
      <c r="W111">
        <v>48</v>
      </c>
      <c r="X111" s="21">
        <f t="shared" si="39"/>
        <v>238.17300082474216</v>
      </c>
      <c r="Y111" s="21">
        <f t="shared" si="40"/>
        <v>-237.12355039388802</v>
      </c>
      <c r="Z111" s="21">
        <f t="shared" si="41"/>
        <v>1.0494504308541508</v>
      </c>
      <c r="AA111" s="224">
        <f t="shared" si="42"/>
        <v>237.12355039388802</v>
      </c>
      <c r="AB111" s="199">
        <f t="shared" si="43"/>
        <v>1.0044257537014392</v>
      </c>
      <c r="AD111" s="13">
        <f t="shared" si="37"/>
        <v>40.759811862034276</v>
      </c>
      <c r="AE111" s="3">
        <f t="shared" si="38"/>
        <v>7.4208769774011305</v>
      </c>
      <c r="AG111" s="334">
        <v>41484</v>
      </c>
      <c r="AH111" s="349">
        <v>1.9661040000000001</v>
      </c>
      <c r="AI111" s="349">
        <v>4.01</v>
      </c>
      <c r="AK111" s="226">
        <v>109</v>
      </c>
      <c r="AL111" s="228">
        <v>109</v>
      </c>
      <c r="AM111" s="225">
        <v>1.565625</v>
      </c>
      <c r="AN111" s="225">
        <v>2.8940000000000001</v>
      </c>
      <c r="AQ111" s="245">
        <v>203.70260300000001</v>
      </c>
      <c r="AR111" s="245">
        <v>-145.982507</v>
      </c>
      <c r="AS111" s="244">
        <f t="shared" si="44"/>
        <v>227.44586069999997</v>
      </c>
      <c r="AT111" s="244">
        <f t="shared" si="45"/>
        <v>235.58153542857144</v>
      </c>
    </row>
    <row r="112" spans="1:46" ht="13.8" thickBot="1">
      <c r="A112" s="2">
        <v>41485</v>
      </c>
      <c r="B112" s="3">
        <v>30.638260540254233</v>
      </c>
      <c r="C112" s="3">
        <v>12.419164548022593</v>
      </c>
      <c r="D112" s="3">
        <v>4.7300668767723586</v>
      </c>
      <c r="E112" s="7">
        <v>239.12467999646887</v>
      </c>
      <c r="F112" s="4">
        <v>1.0956602722018289</v>
      </c>
      <c r="G112" s="4">
        <v>2.3184173728813562</v>
      </c>
      <c r="H112" s="3">
        <v>49.135542372881353</v>
      </c>
      <c r="I112" s="4">
        <v>1.4287171610169491</v>
      </c>
      <c r="J112" s="3">
        <v>6.492129629629634</v>
      </c>
      <c r="K112" s="3">
        <v>-7.9946428571428454</v>
      </c>
      <c r="L112" s="4">
        <v>-9.3500502335874799E-2</v>
      </c>
      <c r="M112" s="4">
        <v>-0.13348421210783618</v>
      </c>
      <c r="N112" s="4">
        <f t="shared" si="36"/>
        <v>-1.4402131144939701E-2</v>
      </c>
      <c r="O112" s="4">
        <f t="shared" si="35"/>
        <v>1.6696707344290455E-2</v>
      </c>
      <c r="P112" s="7">
        <v>195.03164848950914</v>
      </c>
      <c r="Q112" s="7">
        <v>-188.66780748084022</v>
      </c>
      <c r="R112" s="7">
        <v>6.3638410086689134</v>
      </c>
      <c r="S112" s="4">
        <f t="shared" si="27"/>
        <v>1.033730402094778</v>
      </c>
      <c r="T112" s="3">
        <v>3.0849479166666658</v>
      </c>
      <c r="U112" s="3">
        <v>29.614479166666669</v>
      </c>
      <c r="V112" s="7">
        <v>548.24444444444453</v>
      </c>
      <c r="W112">
        <v>48</v>
      </c>
      <c r="X112" s="21">
        <f t="shared" si="39"/>
        <v>229.04575661883342</v>
      </c>
      <c r="Y112" s="21">
        <f t="shared" si="40"/>
        <v>-233.38971578071087</v>
      </c>
      <c r="Z112" s="21">
        <f t="shared" ref="Z112:Z127" si="46">AVERAGE(R109:R115)</f>
        <v>-4.3439591618774687</v>
      </c>
      <c r="AA112" s="224">
        <f t="shared" si="42"/>
        <v>233.38971578071087</v>
      </c>
      <c r="AB112" s="199">
        <f t="shared" si="43"/>
        <v>0.98138752966322229</v>
      </c>
      <c r="AD112" s="13">
        <f t="shared" si="37"/>
        <v>42.208973934746709</v>
      </c>
      <c r="AE112" s="3">
        <f t="shared" si="38"/>
        <v>7.9247199152542382</v>
      </c>
      <c r="AG112" s="334">
        <v>41485</v>
      </c>
      <c r="AH112" s="349">
        <v>2.4223750000000002</v>
      </c>
      <c r="AI112" s="349">
        <v>4.7</v>
      </c>
      <c r="AK112" s="226">
        <v>110</v>
      </c>
      <c r="AL112" s="229">
        <v>110</v>
      </c>
      <c r="AM112" s="227">
        <v>3.6949580000000002</v>
      </c>
      <c r="AN112" s="227">
        <v>5.077</v>
      </c>
      <c r="AQ112" s="246">
        <v>201.82454050000001</v>
      </c>
      <c r="AR112" s="246">
        <v>-190.281803</v>
      </c>
      <c r="AS112" s="244">
        <f t="shared" si="44"/>
        <v>225.64309950000001</v>
      </c>
      <c r="AT112" s="244">
        <f t="shared" si="45"/>
        <v>230.41352699999996</v>
      </c>
    </row>
    <row r="113" spans="1:46" ht="13.8" thickBot="1">
      <c r="A113" s="2">
        <v>41486</v>
      </c>
      <c r="B113" s="3">
        <v>30.199753495762707</v>
      </c>
      <c r="C113" s="3">
        <v>12.578972104519771</v>
      </c>
      <c r="D113" s="3">
        <v>4.9915491797530605</v>
      </c>
      <c r="E113" s="7">
        <v>233.06203654661024</v>
      </c>
      <c r="F113" s="4">
        <v>1.0608038244978475</v>
      </c>
      <c r="G113" s="4">
        <v>2.6738112641242928</v>
      </c>
      <c r="H113" s="3">
        <v>49.306208686440669</v>
      </c>
      <c r="I113" s="4">
        <v>1.5294613347457624</v>
      </c>
      <c r="J113" s="3">
        <v>5.8976851851852246</v>
      </c>
      <c r="K113" s="3">
        <v>-12.345833333333299</v>
      </c>
      <c r="L113" s="4">
        <v>-8.2421738295085881E-2</v>
      </c>
      <c r="M113" s="4">
        <v>-6.9590329347433963E-2</v>
      </c>
      <c r="N113" s="4">
        <f t="shared" si="36"/>
        <v>-1.3975269229718527E-2</v>
      </c>
      <c r="O113" s="4">
        <f t="shared" si="35"/>
        <v>5.6367462178144442E-3</v>
      </c>
      <c r="P113" s="7">
        <v>246.46072402079608</v>
      </c>
      <c r="Q113" s="7">
        <v>-294.62983209566073</v>
      </c>
      <c r="R113" s="7">
        <v>-48.169108074864653</v>
      </c>
      <c r="S113" s="4">
        <f t="shared" si="27"/>
        <v>0.83650973924722916</v>
      </c>
      <c r="T113" s="3">
        <v>3.8891458333333326</v>
      </c>
      <c r="U113" s="3">
        <v>28.699583333333333</v>
      </c>
      <c r="V113" s="7">
        <v>298.3518518518519</v>
      </c>
      <c r="W113">
        <v>48</v>
      </c>
      <c r="X113" s="21">
        <f t="shared" si="39"/>
        <v>246.54455853752629</v>
      </c>
      <c r="Y113" s="21">
        <f t="shared" si="40"/>
        <v>-252.01639673032909</v>
      </c>
      <c r="Z113" s="21">
        <f t="shared" si="46"/>
        <v>-5.4718381928027782</v>
      </c>
      <c r="AA113" s="224">
        <f t="shared" si="42"/>
        <v>252.01639673032909</v>
      </c>
      <c r="AB113" s="199">
        <f t="shared" si="43"/>
        <v>0.97828776911425341</v>
      </c>
      <c r="AD113" s="13">
        <f t="shared" si="37"/>
        <v>42.357470827955652</v>
      </c>
      <c r="AE113" s="3">
        <f t="shared" si="38"/>
        <v>9.559531814971745</v>
      </c>
      <c r="AG113" s="334">
        <v>41486</v>
      </c>
      <c r="AH113" s="349">
        <v>3.5685829999999998</v>
      </c>
      <c r="AI113" s="349">
        <v>5.077</v>
      </c>
      <c r="AK113" s="226">
        <v>111</v>
      </c>
      <c r="AL113" s="228">
        <v>111</v>
      </c>
      <c r="AM113" s="225">
        <v>4.0510419999999998</v>
      </c>
      <c r="AN113" s="225">
        <v>8.7609999999999992</v>
      </c>
      <c r="AQ113" s="245">
        <v>234.57878299999999</v>
      </c>
      <c r="AR113" s="245">
        <v>-289.353903</v>
      </c>
      <c r="AS113" s="244">
        <f t="shared" si="44"/>
        <v>235.14350322857143</v>
      </c>
      <c r="AT113" s="244">
        <f t="shared" si="45"/>
        <v>238.36446171428571</v>
      </c>
    </row>
    <row r="114" spans="1:46" ht="13.8" thickBot="1">
      <c r="A114" s="2">
        <v>41487</v>
      </c>
      <c r="B114" s="3">
        <v>29.364632556497174</v>
      </c>
      <c r="C114" s="3">
        <v>12.864394244350281</v>
      </c>
      <c r="D114" s="3">
        <v>5.4663473531096827</v>
      </c>
      <c r="E114" s="7">
        <v>225.9736383298023</v>
      </c>
      <c r="F114" s="4">
        <v>1.0156657463394854</v>
      </c>
      <c r="G114" s="4">
        <v>2.8914198446327695</v>
      </c>
      <c r="H114" s="3">
        <v>47.323609816384185</v>
      </c>
      <c r="I114" s="4">
        <v>1.5968474576271185</v>
      </c>
      <c r="J114" s="3">
        <v>5.0891203703702752</v>
      </c>
      <c r="K114" s="3">
        <v>-9.6455357142856837</v>
      </c>
      <c r="L114" s="4">
        <v>-3.3731854963573393E-2</v>
      </c>
      <c r="M114" s="4">
        <v>7.7867521272541004E-4</v>
      </c>
      <c r="N114" s="4">
        <f t="shared" si="36"/>
        <v>-6.6282289489488187E-3</v>
      </c>
      <c r="O114" s="4">
        <f t="shared" si="35"/>
        <v>-8.072907879778414E-5</v>
      </c>
      <c r="P114" s="7">
        <v>198.15298541566614</v>
      </c>
      <c r="Q114" s="7">
        <v>-231.51154534796183</v>
      </c>
      <c r="R114" s="7">
        <v>-33.358559932295691</v>
      </c>
      <c r="S114" s="4">
        <f t="shared" si="27"/>
        <v>0.85590973494579814</v>
      </c>
      <c r="T114" s="3">
        <v>3.0672187499999999</v>
      </c>
      <c r="U114" s="3">
        <v>27.200937499999998</v>
      </c>
      <c r="V114" s="7">
        <v>209.09259259259258</v>
      </c>
      <c r="W114">
        <v>48</v>
      </c>
      <c r="X114" s="21">
        <f t="shared" si="39"/>
        <v>247.54517007828443</v>
      </c>
      <c r="Y114" s="21">
        <f t="shared" si="40"/>
        <v>-253.56038862274292</v>
      </c>
      <c r="Z114" s="21">
        <f t="shared" si="46"/>
        <v>-6.0152185444584303</v>
      </c>
      <c r="AA114" s="224">
        <f t="shared" si="42"/>
        <v>253.56038862274292</v>
      </c>
      <c r="AB114" s="199">
        <f t="shared" si="43"/>
        <v>0.97627697852519002</v>
      </c>
      <c r="AD114" s="13">
        <f t="shared" si="37"/>
        <v>40.632409997010647</v>
      </c>
      <c r="AE114" s="3">
        <f t="shared" si="38"/>
        <v>10.560531285310738</v>
      </c>
      <c r="AG114" s="334">
        <v>41487</v>
      </c>
      <c r="AH114" s="349">
        <v>3.9798960000000001</v>
      </c>
      <c r="AI114" s="349">
        <v>8.7609999999999992</v>
      </c>
      <c r="AK114" s="226">
        <v>112</v>
      </c>
      <c r="AL114" s="229">
        <v>112</v>
      </c>
      <c r="AM114" s="227">
        <v>2.5950000000000002</v>
      </c>
      <c r="AN114" s="227">
        <v>7.6589999999999998</v>
      </c>
      <c r="AQ114" s="246">
        <v>218.5489992</v>
      </c>
      <c r="AR114" s="246">
        <v>-265.01080100000001</v>
      </c>
      <c r="AS114" s="244">
        <f t="shared" si="44"/>
        <v>233.39812400000002</v>
      </c>
      <c r="AT114" s="244">
        <f t="shared" si="45"/>
        <v>239.73068985714286</v>
      </c>
    </row>
    <row r="115" spans="1:46" ht="13.8" thickBot="1">
      <c r="A115" s="2">
        <v>41488</v>
      </c>
      <c r="B115" s="3">
        <v>30.133132044491518</v>
      </c>
      <c r="C115" s="3">
        <v>12.141502471751414</v>
      </c>
      <c r="D115" s="3">
        <v>4.6856794388807197</v>
      </c>
      <c r="E115" s="7">
        <v>229.43934277895482</v>
      </c>
      <c r="F115" s="4">
        <v>1.0409137302051878</v>
      </c>
      <c r="G115" s="4">
        <v>2.5027328742937858</v>
      </c>
      <c r="H115" s="3">
        <v>49.148176377118638</v>
      </c>
      <c r="I115" s="4">
        <v>1.6183698799435033</v>
      </c>
      <c r="J115" s="3">
        <v>9.675231481481493</v>
      </c>
      <c r="K115" s="3">
        <v>-9.3133928571427713</v>
      </c>
      <c r="L115" s="4">
        <v>-4.9002886794801921E-2</v>
      </c>
      <c r="M115" s="4">
        <v>-3.0418752891329753E-2</v>
      </c>
      <c r="N115" s="4">
        <f t="shared" si="36"/>
        <v>-5.0647766814255583E-3</v>
      </c>
      <c r="O115" s="4">
        <f t="shared" si="35"/>
        <v>3.2661301158364141E-3</v>
      </c>
      <c r="P115" s="7">
        <v>255.01338033974713</v>
      </c>
      <c r="Q115" s="7">
        <v>-222.7913785020346</v>
      </c>
      <c r="R115" s="7">
        <v>32.222001837712526</v>
      </c>
      <c r="S115" s="4">
        <f t="shared" si="27"/>
        <v>1.1446285850662676</v>
      </c>
      <c r="T115" s="3">
        <v>3.0409375000000001</v>
      </c>
      <c r="U115" s="3">
        <v>28.985729166666673</v>
      </c>
      <c r="V115" s="7">
        <v>534.21851851851852</v>
      </c>
      <c r="W115">
        <v>48</v>
      </c>
      <c r="X115" s="21">
        <f t="shared" si="39"/>
        <v>237.17134261489863</v>
      </c>
      <c r="Y115" s="21">
        <f t="shared" si="40"/>
        <v>-253.20702021312738</v>
      </c>
      <c r="Z115" s="21">
        <f t="shared" si="46"/>
        <v>-16.035677598228691</v>
      </c>
      <c r="AA115" s="224">
        <f t="shared" si="42"/>
        <v>253.20702021312738</v>
      </c>
      <c r="AB115" s="199">
        <f t="shared" si="43"/>
        <v>0.93666969586889293</v>
      </c>
      <c r="AD115" s="13">
        <f t="shared" si="37"/>
        <v>42.219966791737043</v>
      </c>
      <c r="AE115" s="3">
        <f t="shared" si="38"/>
        <v>8.7725712217514129</v>
      </c>
      <c r="AG115" s="334">
        <v>41488</v>
      </c>
      <c r="AH115" s="349">
        <v>2.4691459999999998</v>
      </c>
      <c r="AI115" s="349">
        <v>4.4720000000000004</v>
      </c>
      <c r="AK115" s="226">
        <v>113</v>
      </c>
      <c r="AL115" s="228">
        <v>113</v>
      </c>
      <c r="AM115" s="225">
        <v>2.971708</v>
      </c>
      <c r="AN115" s="225">
        <v>4.5659999999999998</v>
      </c>
      <c r="AQ115" s="245">
        <v>275.47784480000001</v>
      </c>
      <c r="AR115" s="245">
        <v>-226.55281600000001</v>
      </c>
      <c r="AS115" s="244">
        <f t="shared" si="44"/>
        <v>244.28122807142856</v>
      </c>
      <c r="AT115" s="244">
        <f t="shared" si="45"/>
        <v>259.79270685714283</v>
      </c>
    </row>
    <row r="116" spans="1:46" ht="13.8" thickBot="1">
      <c r="A116" s="2">
        <v>41489</v>
      </c>
      <c r="B116" s="3">
        <v>30.845555367231626</v>
      </c>
      <c r="C116" s="3">
        <v>12.480639477401132</v>
      </c>
      <c r="D116" s="3">
        <v>4.7100778614568952</v>
      </c>
      <c r="E116" s="7">
        <v>224.92338674081921</v>
      </c>
      <c r="F116" s="4">
        <v>1.034301403841978</v>
      </c>
      <c r="G116" s="4">
        <v>2.4250971045197738</v>
      </c>
      <c r="H116" s="3">
        <v>48.371490289547999</v>
      </c>
      <c r="I116" s="4">
        <v>1.6545365466101696</v>
      </c>
      <c r="J116" s="3">
        <v>5.0037037037036631</v>
      </c>
      <c r="K116" s="3">
        <v>-13.47500000000009</v>
      </c>
      <c r="L116" s="4">
        <v>-7.8246654482691649E-2</v>
      </c>
      <c r="M116" s="4">
        <v>-5.5238320616916047E-2</v>
      </c>
      <c r="N116" s="4">
        <f t="shared" si="36"/>
        <v>-1.5637747379960709E-2</v>
      </c>
      <c r="O116" s="4">
        <f t="shared" si="35"/>
        <v>4.0993187841866924E-3</v>
      </c>
      <c r="P116" s="7">
        <v>248.23130317072454</v>
      </c>
      <c r="Q116" s="7">
        <v>-322.07428030519623</v>
      </c>
      <c r="R116" s="7">
        <v>-73.842977134471681</v>
      </c>
      <c r="S116" s="4">
        <f t="shared" si="27"/>
        <v>0.77072687373701998</v>
      </c>
      <c r="T116" s="3">
        <v>4.1574062500000002</v>
      </c>
      <c r="U116" s="3">
        <v>29.629895833333332</v>
      </c>
      <c r="V116" s="7">
        <v>448.43518518518528</v>
      </c>
      <c r="W116">
        <v>48</v>
      </c>
      <c r="X116" s="21">
        <f t="shared" si="39"/>
        <v>233.45388623588931</v>
      </c>
      <c r="Y116" s="21">
        <f t="shared" si="40"/>
        <v>-246.35302752925631</v>
      </c>
      <c r="Z116" s="21">
        <f t="shared" si="46"/>
        <v>-12.899141293367004</v>
      </c>
      <c r="AA116" s="224">
        <f t="shared" si="42"/>
        <v>246.35302752925631</v>
      </c>
      <c r="AB116" s="199">
        <f t="shared" si="43"/>
        <v>0.9476396071818719</v>
      </c>
      <c r="AD116" s="13">
        <f t="shared" si="37"/>
        <v>41.544171618117353</v>
      </c>
      <c r="AE116" s="3">
        <f t="shared" si="38"/>
        <v>8.4154466807909589</v>
      </c>
      <c r="AG116" s="334">
        <v>41489</v>
      </c>
      <c r="AH116" s="349">
        <v>3.9476040000000001</v>
      </c>
      <c r="AI116" s="349">
        <v>6.4619999999999997</v>
      </c>
      <c r="AK116" s="226">
        <v>114</v>
      </c>
      <c r="AL116" s="229">
        <v>114</v>
      </c>
      <c r="AM116" s="227">
        <v>4.3934579999999999</v>
      </c>
      <c r="AN116" s="227">
        <v>6.4619999999999997</v>
      </c>
      <c r="AQ116" s="246">
        <v>244.5618063</v>
      </c>
      <c r="AR116" s="246">
        <v>-314.88716399999998</v>
      </c>
      <c r="AS116" s="244">
        <f t="shared" si="44"/>
        <v>233.3154242</v>
      </c>
      <c r="AT116" s="244">
        <f t="shared" si="45"/>
        <v>245.00815857142857</v>
      </c>
    </row>
    <row r="117" spans="1:46" ht="13.8" thickBot="1">
      <c r="A117" s="2">
        <v>41490</v>
      </c>
      <c r="B117" s="3">
        <v>31.208506762005641</v>
      </c>
      <c r="C117" s="3">
        <v>12.697774187853106</v>
      </c>
      <c r="D117" s="3">
        <v>4.7529659118386318</v>
      </c>
      <c r="E117" s="7">
        <v>221.77346508651132</v>
      </c>
      <c r="F117" s="4">
        <v>1.0274096931520182</v>
      </c>
      <c r="G117" s="4">
        <v>2.3117328742937855</v>
      </c>
      <c r="H117" s="3">
        <v>46.389771009886992</v>
      </c>
      <c r="I117" s="4">
        <v>1.7347021539548024</v>
      </c>
      <c r="J117" s="3">
        <v>8.7949074074074804</v>
      </c>
      <c r="K117" s="3">
        <v>-10.486011904761861</v>
      </c>
      <c r="L117" s="4">
        <v>-9.9162470132201572E-2</v>
      </c>
      <c r="M117" s="4">
        <v>-1.0362469474346069E-3</v>
      </c>
      <c r="N117" s="4">
        <f t="shared" si="36"/>
        <v>-1.1274987391985767E-2</v>
      </c>
      <c r="O117" s="4">
        <f t="shared" si="35"/>
        <v>9.8821835874898345E-5</v>
      </c>
      <c r="P117" s="7">
        <v>260.00219426600097</v>
      </c>
      <c r="Q117" s="7">
        <v>-251.63941578754626</v>
      </c>
      <c r="R117" s="7">
        <v>8.3627784784547146</v>
      </c>
      <c r="S117" s="4">
        <f t="shared" si="27"/>
        <v>1.0332331819014999</v>
      </c>
      <c r="T117" s="3">
        <v>3.598416666666667</v>
      </c>
      <c r="U117" s="3">
        <v>29.101041666666664</v>
      </c>
      <c r="V117" s="7">
        <v>456.66296296296315</v>
      </c>
      <c r="W117">
        <v>48</v>
      </c>
      <c r="X117" s="21">
        <f t="shared" si="39"/>
        <v>222.68369105205193</v>
      </c>
      <c r="Y117" s="21">
        <f t="shared" si="40"/>
        <v>-224.57075546395919</v>
      </c>
      <c r="Z117" s="21">
        <f t="shared" si="46"/>
        <v>-1.8870644119072406</v>
      </c>
      <c r="AA117" s="224">
        <f t="shared" si="42"/>
        <v>224.57075546395919</v>
      </c>
      <c r="AB117" s="199">
        <f t="shared" si="43"/>
        <v>0.99159701623655927</v>
      </c>
      <c r="AD117" s="13">
        <f t="shared" si="37"/>
        <v>39.819876119464944</v>
      </c>
      <c r="AE117" s="3">
        <f t="shared" si="38"/>
        <v>7.8939712217514124</v>
      </c>
      <c r="AG117" s="334">
        <v>41490</v>
      </c>
      <c r="AH117" s="349">
        <v>3.9378329999999999</v>
      </c>
      <c r="AI117" s="349">
        <v>8.1180000000000003</v>
      </c>
      <c r="AK117" s="226">
        <v>115</v>
      </c>
      <c r="AL117" s="228">
        <v>115</v>
      </c>
      <c r="AM117" s="225">
        <v>3.6272709999999999</v>
      </c>
      <c r="AN117" s="225">
        <v>8.1180000000000003</v>
      </c>
      <c r="AQ117" s="245">
        <v>255.09229120000001</v>
      </c>
      <c r="AR117" s="245">
        <v>-246.04583500000001</v>
      </c>
      <c r="AS117" s="244">
        <f t="shared" si="44"/>
        <v>230.83487540000002</v>
      </c>
      <c r="AT117" s="244">
        <f t="shared" si="45"/>
        <v>237.0941161428571</v>
      </c>
    </row>
    <row r="118" spans="1:46" ht="13.8" thickBot="1">
      <c r="A118" s="2">
        <v>41491</v>
      </c>
      <c r="B118" s="3">
        <v>31.016070304392954</v>
      </c>
      <c r="C118" s="3">
        <v>12.378698547215498</v>
      </c>
      <c r="D118" s="3">
        <v>4.5784727273124597</v>
      </c>
      <c r="E118" s="7">
        <v>222.03192558803178</v>
      </c>
      <c r="F118" s="4">
        <v>1.0235808068747472</v>
      </c>
      <c r="G118" s="4">
        <v>2.3663727084053963</v>
      </c>
      <c r="H118" s="3">
        <v>49.232505361466615</v>
      </c>
      <c r="I118" s="4">
        <v>1.7526869595295751</v>
      </c>
      <c r="J118" s="3">
        <v>8.2122685185184814</v>
      </c>
      <c r="K118" s="3">
        <v>-10.894318181818239</v>
      </c>
      <c r="L118" s="4">
        <v>-8.5285009363223835E-2</v>
      </c>
      <c r="M118" s="4">
        <v>-1.3698099624425948E-2</v>
      </c>
      <c r="N118" s="4">
        <f t="shared" si="36"/>
        <v>-1.0385073158641617E-2</v>
      </c>
      <c r="O118" s="4">
        <f t="shared" si="35"/>
        <v>1.2573618096896602E-3</v>
      </c>
      <c r="P118" s="7">
        <v>257.30716260184664</v>
      </c>
      <c r="Q118" s="7">
        <v>-261.13488197265161</v>
      </c>
      <c r="R118" s="7">
        <v>-3.8277193708049708</v>
      </c>
      <c r="S118" s="4">
        <f t="shared" si="27"/>
        <v>0.98534198364504266</v>
      </c>
      <c r="T118" s="3">
        <v>3.3765306122448973</v>
      </c>
      <c r="U118" s="3">
        <v>29.180816326530628</v>
      </c>
      <c r="V118" s="7">
        <v>459.10925925925909</v>
      </c>
      <c r="W118">
        <v>49</v>
      </c>
      <c r="X118" s="21">
        <f t="shared" si="39"/>
        <v>215.90807584324168</v>
      </c>
      <c r="Y118" s="21">
        <f t="shared" si="40"/>
        <v>-216.05260783840598</v>
      </c>
      <c r="Z118" s="21">
        <f t="shared" si="46"/>
        <v>-0.14453199516426757</v>
      </c>
      <c r="AA118" s="224">
        <f t="shared" si="42"/>
        <v>216.05260783840598</v>
      </c>
      <c r="AB118" s="199">
        <f t="shared" si="43"/>
        <v>0.99933103332280815</v>
      </c>
      <c r="AD118" s="13">
        <f t="shared" si="37"/>
        <v>42.293341507121568</v>
      </c>
      <c r="AE118" s="3">
        <f t="shared" si="38"/>
        <v>8.1453144586648225</v>
      </c>
      <c r="AG118" s="334">
        <v>41491</v>
      </c>
      <c r="AH118" s="349">
        <v>3.651729</v>
      </c>
      <c r="AI118" s="349">
        <v>7.319</v>
      </c>
      <c r="AK118" s="226">
        <v>116</v>
      </c>
      <c r="AL118" s="229">
        <v>116</v>
      </c>
      <c r="AM118" s="227">
        <v>3.1240209999999999</v>
      </c>
      <c r="AN118" s="227">
        <v>7.319</v>
      </c>
      <c r="AQ118" s="246">
        <v>279.88433149999997</v>
      </c>
      <c r="AR118" s="246">
        <v>-286.41662600000001</v>
      </c>
      <c r="AS118" s="244">
        <f t="shared" si="44"/>
        <v>226.1390132857143</v>
      </c>
      <c r="AT118" s="244">
        <f t="shared" si="45"/>
        <v>225.70106928571428</v>
      </c>
    </row>
    <row r="119" spans="1:46" ht="13.8" thickBot="1">
      <c r="A119" s="2">
        <v>41492</v>
      </c>
      <c r="B119" s="3">
        <v>31.204350865113</v>
      </c>
      <c r="C119" s="3">
        <v>12.206948446327678</v>
      </c>
      <c r="D119" s="3">
        <v>4.3894230531261664</v>
      </c>
      <c r="E119" s="7">
        <v>220.65278513418073</v>
      </c>
      <c r="F119" s="4">
        <v>1.019479177963903</v>
      </c>
      <c r="G119" s="4">
        <v>2.302538312146893</v>
      </c>
      <c r="H119" s="3">
        <v>48.744425847457627</v>
      </c>
      <c r="I119" s="4">
        <v>1.5837069209039545</v>
      </c>
      <c r="J119" s="3">
        <v>6.747836538461554</v>
      </c>
      <c r="K119" s="3">
        <v>-5.8713068181818224</v>
      </c>
      <c r="L119" s="4">
        <v>-6.5795053699244585E-2</v>
      </c>
      <c r="M119" s="4">
        <v>-9.2293726091987032E-3</v>
      </c>
      <c r="N119" s="4">
        <f t="shared" si="36"/>
        <v>-9.7505405360997777E-3</v>
      </c>
      <c r="O119" s="4">
        <f t="shared" si="35"/>
        <v>1.5719452065795429E-3</v>
      </c>
      <c r="P119" s="7">
        <v>169.0094538364437</v>
      </c>
      <c r="Q119" s="7">
        <v>-140.68985869374296</v>
      </c>
      <c r="R119" s="7">
        <v>28.319595142700734</v>
      </c>
      <c r="S119" s="4">
        <f t="shared" si="27"/>
        <v>1.2012909487978625</v>
      </c>
      <c r="T119" s="3">
        <v>3.0964270833333329</v>
      </c>
      <c r="U119" s="3">
        <v>28.572604166666665</v>
      </c>
      <c r="V119" s="7">
        <v>430.2961538461538</v>
      </c>
      <c r="W119">
        <v>48</v>
      </c>
      <c r="X119" s="21">
        <f t="shared" si="39"/>
        <v>219.73175234069504</v>
      </c>
      <c r="Y119" s="21">
        <f t="shared" si="40"/>
        <v>-228.19010099718258</v>
      </c>
      <c r="Z119" s="21">
        <f t="shared" si="46"/>
        <v>-8.4583486564875194</v>
      </c>
      <c r="AA119" s="224">
        <f t="shared" si="42"/>
        <v>228.19010099718258</v>
      </c>
      <c r="AB119" s="199">
        <f t="shared" si="43"/>
        <v>0.9629328852587169</v>
      </c>
      <c r="AD119" s="13">
        <f t="shared" si="37"/>
        <v>41.868663139389227</v>
      </c>
      <c r="AE119" s="3">
        <f t="shared" si="38"/>
        <v>7.851676235875706</v>
      </c>
      <c r="AG119" s="334">
        <v>41492</v>
      </c>
      <c r="AH119" s="349">
        <v>3.0103330000000001</v>
      </c>
      <c r="AI119" s="349">
        <v>6.9240000000000004</v>
      </c>
      <c r="AK119" s="226">
        <v>117</v>
      </c>
      <c r="AL119" s="228">
        <v>117</v>
      </c>
      <c r="AM119" s="225">
        <v>3.3428960000000001</v>
      </c>
      <c r="AN119" s="225">
        <v>6.9240000000000004</v>
      </c>
      <c r="AQ119" s="245">
        <v>125.0639134</v>
      </c>
      <c r="AR119" s="245">
        <v>-86.789964999999995</v>
      </c>
      <c r="AS119" s="244">
        <f t="shared" si="44"/>
        <v>231.29410690000003</v>
      </c>
      <c r="AT119" s="244">
        <f t="shared" si="45"/>
        <v>238.30582485714285</v>
      </c>
    </row>
    <row r="120" spans="1:46" ht="13.8" thickBot="1">
      <c r="A120" s="2">
        <v>41493</v>
      </c>
      <c r="B120" s="3">
        <v>31.485812252824857</v>
      </c>
      <c r="C120" s="3">
        <v>10.816254413841806</v>
      </c>
      <c r="D120" s="3">
        <v>3.268542236901693</v>
      </c>
      <c r="E120" s="7">
        <v>223.78695489053675</v>
      </c>
      <c r="F120" s="4">
        <v>1.0307340455704193</v>
      </c>
      <c r="G120" s="4">
        <v>2.0671608403954802</v>
      </c>
      <c r="H120" s="3">
        <v>53.724941913841796</v>
      </c>
      <c r="I120" s="4">
        <v>1.6514177259887013</v>
      </c>
      <c r="J120" s="3">
        <v>6.8978365384615383</v>
      </c>
      <c r="K120" s="3">
        <v>-5.9312499999999764</v>
      </c>
      <c r="L120" s="4">
        <v>-9.2849733094902895E-3</v>
      </c>
      <c r="M120" s="4">
        <v>-8.1696817257774692E-3</v>
      </c>
      <c r="N120" s="4">
        <f t="shared" si="36"/>
        <v>-1.3460703595567034E-3</v>
      </c>
      <c r="O120" s="4">
        <f t="shared" si="35"/>
        <v>1.3773962867485777E-3</v>
      </c>
      <c r="P120" s="7">
        <v>171.06935773393445</v>
      </c>
      <c r="Q120" s="7">
        <v>-142.15392763858077</v>
      </c>
      <c r="R120" s="7">
        <v>28.915430095353685</v>
      </c>
      <c r="S120" s="4">
        <f t="shared" si="27"/>
        <v>1.2034092942466543</v>
      </c>
      <c r="T120" s="3">
        <v>2.0601562499999999</v>
      </c>
      <c r="U120" s="3">
        <v>29.563645833333336</v>
      </c>
      <c r="V120" s="7">
        <v>530.82307692307688</v>
      </c>
      <c r="W120">
        <v>48</v>
      </c>
      <c r="X120" s="21">
        <f t="shared" si="39"/>
        <v>221.74713139908505</v>
      </c>
      <c r="Y120" s="21">
        <f t="shared" si="40"/>
        <v>-209.44159245115833</v>
      </c>
      <c r="Z120" s="21">
        <f t="shared" si="46"/>
        <v>12.305538947926729</v>
      </c>
      <c r="AA120" s="224">
        <f t="shared" si="42"/>
        <v>209.44159245115833</v>
      </c>
      <c r="AB120" s="199">
        <f t="shared" si="43"/>
        <v>1.0587540364065766</v>
      </c>
      <c r="AD120" s="13">
        <f t="shared" si="37"/>
        <v>46.202214072850026</v>
      </c>
      <c r="AE120" s="3">
        <f t="shared" si="38"/>
        <v>6.7689398658192079</v>
      </c>
      <c r="AG120" s="334">
        <v>41493</v>
      </c>
      <c r="AH120" s="349">
        <v>2.3420000000000001</v>
      </c>
      <c r="AI120" s="349">
        <v>4.0179999999999998</v>
      </c>
      <c r="AK120" s="226">
        <v>118</v>
      </c>
      <c r="AL120" s="229">
        <v>118</v>
      </c>
      <c r="AM120" s="227">
        <v>2.1131250000000001</v>
      </c>
      <c r="AN120" s="227">
        <v>4.2350000000000003</v>
      </c>
      <c r="AQ120" s="246">
        <v>217.21494139999999</v>
      </c>
      <c r="AR120" s="246">
        <v>-233.95560599999999</v>
      </c>
      <c r="AS120" s="244">
        <f t="shared" si="44"/>
        <v>220.67647411428575</v>
      </c>
      <c r="AT120" s="244">
        <f t="shared" si="45"/>
        <v>214.44984100000005</v>
      </c>
    </row>
    <row r="121" spans="1:46" ht="13.8" thickBot="1">
      <c r="A121" s="2">
        <v>41494</v>
      </c>
      <c r="B121" s="3">
        <v>31.347273446327691</v>
      </c>
      <c r="C121" s="3">
        <v>11.951077683615821</v>
      </c>
      <c r="D121" s="3">
        <v>4.1547899992500623</v>
      </c>
      <c r="E121" s="7">
        <v>221.14499470338981</v>
      </c>
      <c r="F121" s="4">
        <v>1.0225035369825979</v>
      </c>
      <c r="G121" s="4">
        <v>1.9741520127118639</v>
      </c>
      <c r="H121" s="3">
        <v>49.986381355932217</v>
      </c>
      <c r="I121" s="4">
        <v>1.5313336864406775</v>
      </c>
      <c r="J121" s="3">
        <v>4.1608173076922785</v>
      </c>
      <c r="K121" s="3">
        <v>-7.1713068181818445</v>
      </c>
      <c r="L121" s="4">
        <v>-5.2700023457137313E-2</v>
      </c>
      <c r="M121" s="4">
        <v>-9.4521528031274171E-3</v>
      </c>
      <c r="N121" s="4">
        <f t="shared" si="36"/>
        <v>-1.2665786445299714E-2</v>
      </c>
      <c r="O121" s="4">
        <f t="shared" si="35"/>
        <v>1.3180516526168991E-3</v>
      </c>
      <c r="P121" s="7">
        <v>150.72367895399435</v>
      </c>
      <c r="Q121" s="7">
        <v>-171.88451196908923</v>
      </c>
      <c r="R121" s="7">
        <v>-21.16083301509488</v>
      </c>
      <c r="S121" s="4">
        <f t="shared" si="27"/>
        <v>0.87688923933472074</v>
      </c>
      <c r="T121" s="3">
        <v>3.2002395833333339</v>
      </c>
      <c r="U121" s="3">
        <v>28.955208333333331</v>
      </c>
      <c r="V121" s="7">
        <v>435.38846153846157</v>
      </c>
      <c r="W121">
        <v>48</v>
      </c>
      <c r="X121" s="21">
        <f t="shared" si="39"/>
        <v>209.85942368064698</v>
      </c>
      <c r="Y121" s="21">
        <f t="shared" si="40"/>
        <v>-201.27437371173167</v>
      </c>
      <c r="Z121" s="21">
        <f t="shared" si="46"/>
        <v>8.5850499689153015</v>
      </c>
      <c r="AA121" s="224">
        <f t="shared" si="42"/>
        <v>201.27437371173167</v>
      </c>
      <c r="AB121" s="199">
        <f t="shared" si="43"/>
        <v>1.0426534675557404</v>
      </c>
      <c r="AD121" s="13">
        <f t="shared" si="37"/>
        <v>42.949289600850314</v>
      </c>
      <c r="AE121" s="3">
        <f t="shared" si="38"/>
        <v>6.3410992584745731</v>
      </c>
      <c r="AG121" s="334">
        <v>41494</v>
      </c>
      <c r="AH121" s="349">
        <v>3.0640420000000002</v>
      </c>
      <c r="AI121" s="349">
        <v>6.1689999999999996</v>
      </c>
      <c r="AK121" s="226">
        <v>119</v>
      </c>
      <c r="AL121" s="228">
        <v>119</v>
      </c>
      <c r="AM121" s="225">
        <v>2.8365830000000001</v>
      </c>
      <c r="AN121" s="225">
        <v>6.1689999999999996</v>
      </c>
      <c r="AQ121" s="245">
        <v>185.67796440000001</v>
      </c>
      <c r="AR121" s="245">
        <v>-185.25947300000001</v>
      </c>
      <c r="AS121" s="244">
        <f t="shared" si="44"/>
        <v>207.89586032857144</v>
      </c>
      <c r="AT121" s="244">
        <f t="shared" si="45"/>
        <v>202.88841057142855</v>
      </c>
    </row>
    <row r="122" spans="1:46" ht="13.8" thickBot="1">
      <c r="A122" s="2">
        <v>41495</v>
      </c>
      <c r="B122" s="3">
        <v>30.83613257415254</v>
      </c>
      <c r="C122" s="3">
        <v>12.763782838983053</v>
      </c>
      <c r="D122" s="3">
        <v>4.9240165694878071</v>
      </c>
      <c r="E122" s="7">
        <v>221.32235941913839</v>
      </c>
      <c r="F122" s="4">
        <v>1.0192890644747608</v>
      </c>
      <c r="G122" s="4">
        <v>1.9281534251412433</v>
      </c>
      <c r="H122" s="3">
        <v>47.970654131355936</v>
      </c>
      <c r="I122" s="4">
        <v>1.5138449858757062</v>
      </c>
      <c r="J122" s="3">
        <v>8.4298076923077954</v>
      </c>
      <c r="K122" s="3">
        <v>-12.825284090909186</v>
      </c>
      <c r="L122" s="4">
        <v>-1.346439604994892E-2</v>
      </c>
      <c r="M122" s="4">
        <v>-2.2078153478978174E-3</v>
      </c>
      <c r="N122" s="4">
        <f t="shared" si="36"/>
        <v>-1.5972364425626447E-3</v>
      </c>
      <c r="O122" s="4">
        <f t="shared" si="35"/>
        <v>1.7214553161147989E-4</v>
      </c>
      <c r="P122" s="7">
        <v>281.7791158219207</v>
      </c>
      <c r="Q122" s="7">
        <v>-307.75383061347094</v>
      </c>
      <c r="R122" s="7">
        <v>-25.974714791550241</v>
      </c>
      <c r="S122" s="4">
        <f t="shared" si="27"/>
        <v>0.91559905285411813</v>
      </c>
      <c r="T122" s="3">
        <v>1.7062187499999995</v>
      </c>
      <c r="U122" s="3">
        <v>29.868437499999999</v>
      </c>
      <c r="V122" s="7">
        <v>543.05769230769238</v>
      </c>
      <c r="W122">
        <v>48</v>
      </c>
      <c r="X122" s="21">
        <f t="shared" si="39"/>
        <v>209.29208427592357</v>
      </c>
      <c r="Y122" s="21">
        <f t="shared" si="40"/>
        <v>-199.57862076197603</v>
      </c>
      <c r="Z122" s="21">
        <f t="shared" si="46"/>
        <v>9.713463513947536</v>
      </c>
      <c r="AA122" s="224">
        <f t="shared" si="42"/>
        <v>199.57862076197603</v>
      </c>
      <c r="AB122" s="199">
        <f t="shared" si="43"/>
        <v>1.0486698599121602</v>
      </c>
      <c r="AD122" s="13">
        <f t="shared" si="37"/>
        <v>41.195403762669166</v>
      </c>
      <c r="AE122" s="3">
        <f t="shared" si="38"/>
        <v>6.1295057556497188</v>
      </c>
      <c r="AG122" s="334">
        <v>41495</v>
      </c>
      <c r="AH122" s="349">
        <v>1.8982289999999999</v>
      </c>
      <c r="AI122" s="349">
        <v>4.3109999999999999</v>
      </c>
      <c r="AK122" s="226">
        <v>120</v>
      </c>
      <c r="AL122" s="229">
        <v>120</v>
      </c>
      <c r="AM122" s="227">
        <v>2.0268959999999998</v>
      </c>
      <c r="AN122" s="227">
        <v>5.0659999999999998</v>
      </c>
      <c r="AQ122" s="246">
        <v>311.5635001</v>
      </c>
      <c r="AR122" s="246">
        <v>-314.78610500000002</v>
      </c>
      <c r="AS122" s="244">
        <f t="shared" si="44"/>
        <v>201.24907457142857</v>
      </c>
      <c r="AT122" s="244">
        <f t="shared" si="45"/>
        <v>197.29016114285716</v>
      </c>
    </row>
    <row r="123" spans="1:46" ht="13.8" thickBot="1">
      <c r="A123" s="2">
        <v>41496</v>
      </c>
      <c r="B123" s="3">
        <v>31.046675723870067</v>
      </c>
      <c r="C123" s="3">
        <v>12.21277083333333</v>
      </c>
      <c r="D123" s="3">
        <v>4.4451872618702071</v>
      </c>
      <c r="E123" s="7">
        <v>222.84970868644066</v>
      </c>
      <c r="F123" s="4">
        <v>1.0269920785227049</v>
      </c>
      <c r="G123" s="4">
        <v>2.0243022598870053</v>
      </c>
      <c r="H123" s="3">
        <v>47.429663841807923</v>
      </c>
      <c r="I123" s="4">
        <v>1.4884189618644061</v>
      </c>
      <c r="J123" s="3">
        <v>11.833173076923114</v>
      </c>
      <c r="K123" s="3">
        <v>-7.9551136363637092</v>
      </c>
      <c r="L123" s="4">
        <v>-1.4546770583035272E-2</v>
      </c>
      <c r="M123" s="4">
        <v>-3.6669495709317681E-3</v>
      </c>
      <c r="N123" s="4">
        <f t="shared" si="36"/>
        <v>-1.2293212047581876E-3</v>
      </c>
      <c r="O123" s="4">
        <f t="shared" si="35"/>
        <v>4.6095502070136795E-4</v>
      </c>
      <c r="P123" s="7">
        <v>262.3389565794547</v>
      </c>
      <c r="Q123" s="7">
        <v>-190.83472048302664</v>
      </c>
      <c r="R123" s="7">
        <v>71.504236096428059</v>
      </c>
      <c r="S123" s="4">
        <f t="shared" si="27"/>
        <v>1.3746919633672627</v>
      </c>
      <c r="T123" s="3">
        <v>1.9639374999999994</v>
      </c>
      <c r="U123" s="3">
        <v>28.971875000000001</v>
      </c>
      <c r="V123" s="7">
        <v>501.125</v>
      </c>
      <c r="W123">
        <v>48</v>
      </c>
      <c r="X123" s="21">
        <f t="shared" si="39"/>
        <v>209.20557247445794</v>
      </c>
      <c r="Y123" s="21">
        <f t="shared" si="40"/>
        <v>-212.64628830091868</v>
      </c>
      <c r="Z123" s="21">
        <f t="shared" si="46"/>
        <v>-3.4407158264607136</v>
      </c>
      <c r="AA123" s="224">
        <f t="shared" si="42"/>
        <v>212.64628830091868</v>
      </c>
      <c r="AB123" s="199">
        <f t="shared" si="43"/>
        <v>0.98381953499422603</v>
      </c>
      <c r="AD123" s="13">
        <f t="shared" si="37"/>
        <v>40.724687687664904</v>
      </c>
      <c r="AE123" s="3">
        <f t="shared" si="38"/>
        <v>6.5717903954802228</v>
      </c>
      <c r="AG123" s="334">
        <v>41496</v>
      </c>
      <c r="AH123" s="349">
        <v>2.0131250000000001</v>
      </c>
      <c r="AI123" s="349">
        <v>5.0659999999999998</v>
      </c>
      <c r="AK123" s="226">
        <v>121</v>
      </c>
      <c r="AL123" s="228">
        <v>121</v>
      </c>
      <c r="AM123" s="225">
        <v>1.720083</v>
      </c>
      <c r="AN123" s="225">
        <v>3.895</v>
      </c>
      <c r="AQ123" s="245">
        <v>170.2383768</v>
      </c>
      <c r="AR123" s="245">
        <v>-147.89527699999999</v>
      </c>
      <c r="AS123" s="244">
        <f t="shared" si="44"/>
        <v>216.27253755714284</v>
      </c>
      <c r="AT123" s="244">
        <f t="shared" si="45"/>
        <v>231.72799914285719</v>
      </c>
    </row>
    <row r="124" spans="1:46" ht="13.8" thickBot="1">
      <c r="A124" s="2">
        <v>41497</v>
      </c>
      <c r="B124" s="3">
        <v>31.318062817796616</v>
      </c>
      <c r="C124" s="3">
        <v>11.400756179378531</v>
      </c>
      <c r="D124" s="3">
        <v>3.7543183849301918</v>
      </c>
      <c r="E124" s="7">
        <v>224.78869284074855</v>
      </c>
      <c r="F124" s="4">
        <v>1.0361094359284921</v>
      </c>
      <c r="G124" s="4">
        <v>2.1437999646892658</v>
      </c>
      <c r="H124" s="3">
        <v>48.816310734463258</v>
      </c>
      <c r="I124" s="4">
        <v>1.4841202330508469</v>
      </c>
      <c r="J124" s="3">
        <v>5.2091346153847615</v>
      </c>
      <c r="K124" s="3">
        <v>-8.1105113636364887</v>
      </c>
      <c r="L124" s="4">
        <v>-3.0503889594346099E-2</v>
      </c>
      <c r="M124" s="4">
        <v>-7.6411714881721776E-3</v>
      </c>
      <c r="N124" s="4">
        <f t="shared" si="36"/>
        <v>-5.8558459027446335E-3</v>
      </c>
      <c r="O124" s="4">
        <f t="shared" ref="O124:O155" si="47">M124/K124</f>
        <v>9.421319008849925E-4</v>
      </c>
      <c r="P124" s="7">
        <v>176.78824023693431</v>
      </c>
      <c r="Q124" s="7">
        <v>-194.46888461155959</v>
      </c>
      <c r="R124" s="7">
        <v>-17.680644374625274</v>
      </c>
      <c r="S124" s="4">
        <f t="shared" si="27"/>
        <v>0.90908239942887858</v>
      </c>
      <c r="T124" s="3">
        <v>1.8129791666666666</v>
      </c>
      <c r="U124" s="3">
        <v>29.655625000000001</v>
      </c>
      <c r="V124" s="7">
        <v>536.5403846153846</v>
      </c>
      <c r="W124">
        <v>48</v>
      </c>
      <c r="X124" s="21">
        <f t="shared" si="39"/>
        <v>217.73001556086822</v>
      </c>
      <c r="Y124" s="21">
        <f t="shared" si="40"/>
        <v>-222.45223350215659</v>
      </c>
      <c r="Z124" s="21">
        <f t="shared" si="46"/>
        <v>-4.7222179412883714</v>
      </c>
      <c r="AA124" s="224">
        <f t="shared" si="42"/>
        <v>222.45223350215659</v>
      </c>
      <c r="AB124" s="199">
        <f t="shared" si="43"/>
        <v>0.97877199133070258</v>
      </c>
      <c r="AD124" s="13">
        <f t="shared" si="37"/>
        <v>41.931210235921561</v>
      </c>
      <c r="AE124" s="3">
        <f t="shared" si="38"/>
        <v>7.1214798375706216</v>
      </c>
      <c r="AG124" s="334">
        <v>41497</v>
      </c>
      <c r="AH124" s="349">
        <v>1.816792</v>
      </c>
      <c r="AI124" s="349">
        <v>8.0220000000000002</v>
      </c>
      <c r="AK124" s="226">
        <v>122</v>
      </c>
      <c r="AL124" s="229">
        <v>122</v>
      </c>
      <c r="AM124" s="227">
        <v>1.8394379999999999</v>
      </c>
      <c r="AN124" s="227">
        <v>8.0220000000000002</v>
      </c>
      <c r="AQ124" s="246">
        <v>165.62799469999999</v>
      </c>
      <c r="AR124" s="246">
        <v>-165.11582200000001</v>
      </c>
      <c r="AS124" s="244">
        <f t="shared" si="44"/>
        <v>231.0649795285714</v>
      </c>
      <c r="AT124" s="244">
        <f t="shared" si="45"/>
        <v>236.3330292857143</v>
      </c>
    </row>
    <row r="125" spans="1:46" ht="13.8" thickBot="1">
      <c r="A125" s="2">
        <v>41498</v>
      </c>
      <c r="B125" s="3">
        <v>31.492366860875705</v>
      </c>
      <c r="C125" s="3">
        <v>11.110769244350282</v>
      </c>
      <c r="D125" s="3">
        <v>3.4841512434888497</v>
      </c>
      <c r="E125" s="7">
        <v>223.27888859463269</v>
      </c>
      <c r="F125" s="4">
        <v>1.0302945529694039</v>
      </c>
      <c r="G125" s="4">
        <v>2.2624929378531067</v>
      </c>
      <c r="H125" s="3">
        <v>50.194224929378528</v>
      </c>
      <c r="I125" s="4">
        <v>1.5440621468926559</v>
      </c>
      <c r="J125" s="3">
        <v>8.6942307692307441</v>
      </c>
      <c r="K125" s="3">
        <v>-10.40909090909088</v>
      </c>
      <c r="L125" s="4">
        <v>-3.9425779206766931E-2</v>
      </c>
      <c r="M125" s="4">
        <v>-2.3065437242462031E-2</v>
      </c>
      <c r="N125" s="4">
        <f t="shared" ref="N125:N156" si="48">L125/J125</f>
        <v>-4.5347058587743563E-3</v>
      </c>
      <c r="O125" s="4">
        <f t="shared" si="47"/>
        <v>2.2158935342103322E-3</v>
      </c>
      <c r="P125" s="7">
        <v>253.33578676878264</v>
      </c>
      <c r="Q125" s="7">
        <v>-249.26461132436197</v>
      </c>
      <c r="R125" s="7">
        <v>4.0711754444206747</v>
      </c>
      <c r="S125" s="4">
        <f t="shared" si="27"/>
        <v>1.0163327454418427</v>
      </c>
      <c r="T125" s="3">
        <v>3.4065625000000002</v>
      </c>
      <c r="U125" s="3">
        <v>29.655000000000001</v>
      </c>
      <c r="V125" s="7">
        <v>425.04807692307691</v>
      </c>
      <c r="W125">
        <v>48</v>
      </c>
      <c r="X125" s="21">
        <f t="shared" si="39"/>
        <v>248.88281851078847</v>
      </c>
      <c r="Y125" s="21">
        <f t="shared" si="40"/>
        <v>-259.15386239984326</v>
      </c>
      <c r="Z125" s="21">
        <f t="shared" si="46"/>
        <v>-10.27104388905488</v>
      </c>
      <c r="AA125" s="224">
        <f t="shared" si="42"/>
        <v>259.15386239984326</v>
      </c>
      <c r="AB125" s="199">
        <f t="shared" si="43"/>
        <v>0.96036700439676326</v>
      </c>
      <c r="AD125" s="13">
        <f t="shared" ref="AD125:AD156" si="49">((H125/0.0893+34)-41)*0.0777</f>
        <v>43.13013445702925</v>
      </c>
      <c r="AE125" s="3">
        <f t="shared" ref="AE125:AE156" si="50">4.6*G125-2.74</f>
        <v>7.6674675141242901</v>
      </c>
      <c r="AG125" s="334">
        <v>41498</v>
      </c>
      <c r="AH125" s="349">
        <v>2.4383330000000001</v>
      </c>
      <c r="AI125" s="349">
        <v>5.0119999999999996</v>
      </c>
      <c r="AK125" s="226">
        <v>123</v>
      </c>
      <c r="AL125" s="228">
        <v>123</v>
      </c>
      <c r="AM125" s="225">
        <v>3.8469169999999999</v>
      </c>
      <c r="AN125" s="225">
        <v>9.3719999999999999</v>
      </c>
      <c r="AQ125" s="245">
        <v>233.35683119999999</v>
      </c>
      <c r="AR125" s="245">
        <v>-247.22888</v>
      </c>
      <c r="AS125" s="244">
        <f t="shared" si="44"/>
        <v>247.59608742857139</v>
      </c>
      <c r="AT125" s="244">
        <f t="shared" si="45"/>
        <v>251.07432485714284</v>
      </c>
    </row>
    <row r="126" spans="1:46" ht="13.8" thickBot="1">
      <c r="A126" s="2">
        <v>41499</v>
      </c>
      <c r="B126" s="3">
        <v>30.28947957274011</v>
      </c>
      <c r="C126" s="3">
        <v>10.312613170903957</v>
      </c>
      <c r="D126" s="3">
        <v>3.2804992008779768</v>
      </c>
      <c r="E126" s="7">
        <v>215.57571945621473</v>
      </c>
      <c r="F126" s="4">
        <v>0.97048818573242268</v>
      </c>
      <c r="G126" s="4">
        <v>2.4443335098870063</v>
      </c>
      <c r="H126" s="3">
        <v>57.026362464689264</v>
      </c>
      <c r="I126" s="4">
        <v>1.6675868644067788</v>
      </c>
      <c r="J126" s="3">
        <v>3.0572115384615728</v>
      </c>
      <c r="K126" s="3">
        <v>-9.6488636363636076</v>
      </c>
      <c r="L126" s="4">
        <v>2.0965885947431526E-2</v>
      </c>
      <c r="M126" s="4">
        <v>2.4616841400628118E-2</v>
      </c>
      <c r="N126" s="4">
        <f t="shared" si="48"/>
        <v>6.857846008909747E-3</v>
      </c>
      <c r="O126" s="4">
        <f t="shared" si="47"/>
        <v>-2.5512684527797445E-3</v>
      </c>
      <c r="P126" s="7">
        <v>168.40387122618458</v>
      </c>
      <c r="Q126" s="7">
        <v>-232.1635314663416</v>
      </c>
      <c r="R126" s="7">
        <v>-63.759660240157018</v>
      </c>
      <c r="S126" s="4">
        <f t="shared" si="27"/>
        <v>0.72536746043854561</v>
      </c>
      <c r="T126" s="3">
        <v>3.4992916666666667</v>
      </c>
      <c r="U126" s="3">
        <v>27.167604166666649</v>
      </c>
      <c r="V126" s="7">
        <v>252.21538461538461</v>
      </c>
      <c r="W126">
        <v>48</v>
      </c>
      <c r="X126" s="21">
        <f t="shared" si="39"/>
        <v>246.54731089178421</v>
      </c>
      <c r="Y126" s="21">
        <f t="shared" si="40"/>
        <v>-248.76948209873322</v>
      </c>
      <c r="Z126" s="21">
        <f t="shared" si="46"/>
        <v>-2.2221712069490382</v>
      </c>
      <c r="AA126" s="224">
        <f t="shared" si="42"/>
        <v>248.76948209873322</v>
      </c>
      <c r="AB126" s="199">
        <f t="shared" si="43"/>
        <v>0.99106734801953289</v>
      </c>
      <c r="AD126" s="13">
        <f t="shared" si="49"/>
        <v>49.074782682042056</v>
      </c>
      <c r="AE126" s="3">
        <f t="shared" si="50"/>
        <v>8.503934145480228</v>
      </c>
      <c r="AG126" s="334">
        <v>41499</v>
      </c>
      <c r="AH126" s="349">
        <v>4.213813</v>
      </c>
      <c r="AI126" s="349">
        <v>9.3719999999999999</v>
      </c>
      <c r="AK126" s="226">
        <v>124</v>
      </c>
      <c r="AL126" s="229">
        <v>124</v>
      </c>
      <c r="AM126" s="227">
        <v>3.113</v>
      </c>
      <c r="AN126" s="227">
        <v>6.4569999999999999</v>
      </c>
      <c r="AQ126" s="246">
        <v>230.2281543</v>
      </c>
      <c r="AR126" s="246">
        <v>-327.85483099999999</v>
      </c>
      <c r="AS126" s="244">
        <f t="shared" si="44"/>
        <v>227.09991945714287</v>
      </c>
      <c r="AT126" s="244">
        <f t="shared" si="45"/>
        <v>233.30304785714284</v>
      </c>
    </row>
    <row r="127" spans="1:46" ht="13.8" thickBot="1">
      <c r="A127" s="2">
        <v>41500</v>
      </c>
      <c r="B127" s="3">
        <v>29.978338294491522</v>
      </c>
      <c r="C127" s="3">
        <v>11.663917196327681</v>
      </c>
      <c r="D127" s="3">
        <v>4.3815307082386248</v>
      </c>
      <c r="E127" s="7">
        <v>219.17770127118649</v>
      </c>
      <c r="F127" s="4">
        <v>0.9890031083785531</v>
      </c>
      <c r="G127" s="4">
        <v>2.6075340748587577</v>
      </c>
      <c r="H127" s="3">
        <v>51.742545727401108</v>
      </c>
      <c r="I127" s="4">
        <v>1.6190789194915256</v>
      </c>
      <c r="J127" s="3">
        <v>8.7822115384615369</v>
      </c>
      <c r="K127" s="3">
        <v>-8.7761363636364891</v>
      </c>
      <c r="L127" s="4">
        <v>-7.0854245550720618E-2</v>
      </c>
      <c r="M127" s="4">
        <v>7.0113049987761437E-3</v>
      </c>
      <c r="N127" s="4">
        <f t="shared" si="48"/>
        <v>-8.0679274508949975E-3</v>
      </c>
      <c r="O127" s="4">
        <f t="shared" si="47"/>
        <v>-7.9890565828342845E-4</v>
      </c>
      <c r="P127" s="7">
        <v>230.7404593388064</v>
      </c>
      <c r="Q127" s="7">
        <v>-210.79554404724632</v>
      </c>
      <c r="R127" s="7">
        <v>19.944915291560079</v>
      </c>
      <c r="S127" s="4">
        <f t="shared" si="27"/>
        <v>1.0946173477324064</v>
      </c>
      <c r="T127" s="3">
        <v>4.2322812499999989</v>
      </c>
      <c r="U127" s="3">
        <v>27.481145833333343</v>
      </c>
      <c r="V127" s="7">
        <v>381.45</v>
      </c>
      <c r="W127">
        <v>48</v>
      </c>
      <c r="X127" s="21">
        <f t="shared" si="39"/>
        <v>236.47559271545111</v>
      </c>
      <c r="Y127" s="21">
        <f t="shared" si="40"/>
        <v>-243.90695014417057</v>
      </c>
      <c r="Z127" s="21">
        <f t="shared" si="46"/>
        <v>-7.4313574287194273</v>
      </c>
      <c r="AA127" s="224">
        <f t="shared" si="42"/>
        <v>243.90695014417057</v>
      </c>
      <c r="AB127" s="199">
        <f t="shared" si="43"/>
        <v>0.96953199806595558</v>
      </c>
      <c r="AD127" s="13">
        <f t="shared" si="49"/>
        <v>44.477329597078004</v>
      </c>
      <c r="AE127" s="3">
        <f t="shared" si="50"/>
        <v>9.2546567443502834</v>
      </c>
      <c r="AG127" s="334">
        <v>41500</v>
      </c>
      <c r="AH127" s="349">
        <v>4.2518330000000004</v>
      </c>
      <c r="AI127" s="349">
        <v>8.7509999999999994</v>
      </c>
      <c r="AK127" s="226">
        <v>125</v>
      </c>
      <c r="AL127" s="228">
        <v>125</v>
      </c>
      <c r="AM127" s="225">
        <v>4.0776870000000001</v>
      </c>
      <c r="AN127" s="225">
        <v>8.7509999999999994</v>
      </c>
      <c r="AQ127" s="245">
        <v>320.76203520000001</v>
      </c>
      <c r="AR127" s="245">
        <v>-266.19081699999998</v>
      </c>
      <c r="AS127" s="244">
        <f t="shared" si="44"/>
        <v>210.99828795714282</v>
      </c>
      <c r="AT127" s="244">
        <f t="shared" si="45"/>
        <v>220.08036899999996</v>
      </c>
    </row>
    <row r="128" spans="1:46" ht="13.8" thickBot="1">
      <c r="A128" s="2">
        <v>41501</v>
      </c>
      <c r="B128" s="3">
        <v>29.867481320621476</v>
      </c>
      <c r="C128" s="3">
        <v>12.879065148305079</v>
      </c>
      <c r="D128" s="3">
        <v>5.3180388312640234</v>
      </c>
      <c r="E128" s="7">
        <v>218.22701491878524</v>
      </c>
      <c r="F128" s="4">
        <v>0.98952030992348095</v>
      </c>
      <c r="G128" s="4">
        <v>3.0072609463276838</v>
      </c>
      <c r="H128" s="3">
        <v>45.637183968926543</v>
      </c>
      <c r="I128" s="4">
        <v>1.6666569562146893</v>
      </c>
      <c r="J128" s="3">
        <v>10.291105769230844</v>
      </c>
      <c r="K128" s="3">
        <v>-17.858238636363616</v>
      </c>
      <c r="L128" s="4">
        <v>-3.04207031906523E-2</v>
      </c>
      <c r="M128" s="4">
        <v>8.2577908403896842E-3</v>
      </c>
      <c r="N128" s="4">
        <f t="shared" si="48"/>
        <v>-2.9560189033919471E-3</v>
      </c>
      <c r="O128" s="4">
        <f t="shared" si="47"/>
        <v>-4.6240791203085732E-4</v>
      </c>
      <c r="P128" s="7">
        <v>368.79329960343574</v>
      </c>
      <c r="Q128" s="7">
        <v>-428.79591425289618</v>
      </c>
      <c r="R128" s="7">
        <v>-60.00261464946044</v>
      </c>
      <c r="S128" s="4">
        <f t="shared" si="27"/>
        <v>0.86006719594330838</v>
      </c>
      <c r="T128" s="3">
        <v>3.157802083333332</v>
      </c>
      <c r="U128" s="3">
        <v>27.22635416666667</v>
      </c>
      <c r="V128" s="7">
        <v>351.74230769230769</v>
      </c>
      <c r="W128">
        <v>48</v>
      </c>
      <c r="X128" s="21">
        <f t="shared" ref="X128:X159" si="51">AVERAGE(P125:P131)</f>
        <v>244.09260784553203</v>
      </c>
      <c r="Y128" s="21">
        <f t="shared" ref="Y128:Y159" si="52">AVERAGE(Q125:Q131)</f>
        <v>-242.94156951519179</v>
      </c>
      <c r="Z128" s="21">
        <f t="shared" ref="Z128:Z143" si="53">AVERAGE(R125:R131)</f>
        <v>1.1510383303402298</v>
      </c>
      <c r="AA128" s="224">
        <f t="shared" ref="AA128:AA159" si="54">-Y128</f>
        <v>242.94156951519179</v>
      </c>
      <c r="AB128" s="199">
        <f t="shared" ref="AB128:AB159" si="55">X128/-Y128</f>
        <v>1.0047379225080222</v>
      </c>
      <c r="AD128" s="13">
        <f t="shared" si="49"/>
        <v>39.165049545191408</v>
      </c>
      <c r="AE128" s="3">
        <f t="shared" si="50"/>
        <v>11.093400353107345</v>
      </c>
      <c r="AG128" s="334">
        <v>41501</v>
      </c>
      <c r="AH128" s="349">
        <v>3.0281039999999999</v>
      </c>
      <c r="AI128" s="349">
        <v>6.585</v>
      </c>
      <c r="AK128" s="226">
        <v>126</v>
      </c>
      <c r="AL128" s="229">
        <v>126</v>
      </c>
      <c r="AM128" s="227">
        <v>3.5307080000000002</v>
      </c>
      <c r="AN128" s="227">
        <v>6.585</v>
      </c>
      <c r="AQ128" s="246">
        <v>301.39571969999997</v>
      </c>
      <c r="AR128" s="246">
        <v>-288.44854199999997</v>
      </c>
      <c r="AS128" s="244">
        <f t="shared" si="44"/>
        <v>228.94485512857142</v>
      </c>
      <c r="AT128" s="244">
        <f t="shared" si="45"/>
        <v>230.62977485714285</v>
      </c>
    </row>
    <row r="129" spans="1:46" ht="13.8" thickBot="1">
      <c r="A129" s="2">
        <v>41502</v>
      </c>
      <c r="B129" s="3">
        <v>29.081465360169485</v>
      </c>
      <c r="C129" s="3">
        <v>14.209148128531067</v>
      </c>
      <c r="D129" s="3">
        <v>6.5537908800951596</v>
      </c>
      <c r="E129" s="7">
        <v>209.95648503707625</v>
      </c>
      <c r="F129" s="4">
        <v>0.94597300282436125</v>
      </c>
      <c r="G129" s="4">
        <v>3.1346910310734466</v>
      </c>
      <c r="H129" s="3">
        <v>47.076576447740102</v>
      </c>
      <c r="I129" s="4">
        <v>1.6143319209039548</v>
      </c>
      <c r="J129" s="3">
        <v>10.557211538461512</v>
      </c>
      <c r="K129" s="3">
        <v>-9.6928977272727188</v>
      </c>
      <c r="L129" s="4">
        <v>6.3823921315759202E-2</v>
      </c>
      <c r="M129" s="4">
        <v>0.10140096046479111</v>
      </c>
      <c r="N129" s="4">
        <f t="shared" si="48"/>
        <v>6.0455283180827664E-3</v>
      </c>
      <c r="O129" s="4">
        <f t="shared" si="47"/>
        <v>-1.0461367004779303E-2</v>
      </c>
      <c r="P129" s="7">
        <v>265.43056248889087</v>
      </c>
      <c r="Q129" s="7">
        <v>-235.06316850570022</v>
      </c>
      <c r="R129" s="7">
        <v>30.367393983190652</v>
      </c>
      <c r="S129" s="4">
        <f t="shared" si="27"/>
        <v>1.1291882270465279</v>
      </c>
      <c r="T129" s="3">
        <v>3.7501979166666661</v>
      </c>
      <c r="U129" s="3">
        <v>26.34802083333334</v>
      </c>
      <c r="V129" s="7">
        <v>151.88846153846151</v>
      </c>
      <c r="W129">
        <v>48</v>
      </c>
      <c r="X129" s="21">
        <f t="shared" si="51"/>
        <v>259.48731962485402</v>
      </c>
      <c r="Y129" s="21">
        <f t="shared" si="52"/>
        <v>-233.61587836815639</v>
      </c>
      <c r="Z129" s="21">
        <f t="shared" si="53"/>
        <v>25.871441256697633</v>
      </c>
      <c r="AA129" s="224">
        <f t="shared" si="54"/>
        <v>233.61587836815639</v>
      </c>
      <c r="AB129" s="199">
        <f t="shared" si="55"/>
        <v>1.1107435052677657</v>
      </c>
      <c r="AD129" s="13">
        <f t="shared" si="49"/>
        <v>40.417466069310258</v>
      </c>
      <c r="AE129" s="3">
        <f t="shared" si="50"/>
        <v>11.679578742937853</v>
      </c>
      <c r="AG129" s="334">
        <v>41502</v>
      </c>
      <c r="AH129" s="349">
        <v>3.1330420000000001</v>
      </c>
      <c r="AI129" s="349">
        <v>4.407</v>
      </c>
      <c r="AK129" s="226">
        <v>127</v>
      </c>
      <c r="AL129" s="228">
        <v>127</v>
      </c>
      <c r="AM129" s="225">
        <v>4.076333</v>
      </c>
      <c r="AN129" s="225">
        <v>8.5609999999999999</v>
      </c>
      <c r="AQ129" s="245">
        <v>168.09032429999999</v>
      </c>
      <c r="AR129" s="245">
        <v>-190.38716600000001</v>
      </c>
      <c r="AS129" s="244">
        <f t="shared" si="44"/>
        <v>254.51257794285715</v>
      </c>
      <c r="AT129" s="244">
        <f t="shared" si="45"/>
        <v>225.86396185714287</v>
      </c>
    </row>
    <row r="130" spans="1:46" ht="13.8" thickBot="1">
      <c r="A130" s="2">
        <v>41503</v>
      </c>
      <c r="B130" s="3">
        <v>27.591621168785309</v>
      </c>
      <c r="C130" s="3">
        <v>14.510730579096046</v>
      </c>
      <c r="D130" s="3">
        <v>7.2320723951481298</v>
      </c>
      <c r="E130" s="7">
        <v>209.32918983933618</v>
      </c>
      <c r="F130" s="4">
        <v>0.92087745738128512</v>
      </c>
      <c r="G130" s="4">
        <v>2.6814440324858744</v>
      </c>
      <c r="H130" s="3">
        <v>52.070481461864425</v>
      </c>
      <c r="I130" s="4">
        <v>1.7290748587570623</v>
      </c>
      <c r="J130" s="3">
        <v>8.2865384615384823</v>
      </c>
      <c r="K130" s="3">
        <v>-6.2656250000001128</v>
      </c>
      <c r="L130" s="4">
        <v>0.15705142501396196</v>
      </c>
      <c r="M130" s="4">
        <v>0.26758320004522335</v>
      </c>
      <c r="N130" s="4">
        <f t="shared" si="48"/>
        <v>1.8952597123987006E-2</v>
      </c>
      <c r="O130" s="4">
        <f t="shared" si="47"/>
        <v>-4.2706545643127147E-2</v>
      </c>
      <c r="P130" s="7">
        <v>191.83692934512339</v>
      </c>
      <c r="Q130" s="7">
        <v>-156.79699680108806</v>
      </c>
      <c r="R130" s="7">
        <v>35.039932544035338</v>
      </c>
      <c r="S130" s="4">
        <f t="shared" si="27"/>
        <v>1.2234732377462996</v>
      </c>
      <c r="T130" s="3">
        <v>5.2382395833333328</v>
      </c>
      <c r="U130" s="3">
        <v>25.552499999999998</v>
      </c>
      <c r="V130" s="7"/>
      <c r="W130">
        <v>48</v>
      </c>
      <c r="X130" s="21">
        <f t="shared" si="51"/>
        <v>250.05472295608547</v>
      </c>
      <c r="Y130" s="21">
        <f t="shared" si="52"/>
        <v>-223.83856188574802</v>
      </c>
      <c r="Z130" s="21">
        <f t="shared" si="53"/>
        <v>26.216161070337446</v>
      </c>
      <c r="AA130" s="224">
        <f t="shared" si="54"/>
        <v>223.83856188574802</v>
      </c>
      <c r="AB130" s="199">
        <f t="shared" si="55"/>
        <v>1.1171208430284623</v>
      </c>
      <c r="AD130" s="13">
        <f t="shared" si="49"/>
        <v>44.762666736695031</v>
      </c>
      <c r="AE130" s="3">
        <f t="shared" si="50"/>
        <v>9.5946425494350205</v>
      </c>
      <c r="AG130" s="334">
        <v>41503</v>
      </c>
      <c r="AH130" s="349">
        <v>4.540063</v>
      </c>
      <c r="AI130" s="349">
        <v>8.5609999999999999</v>
      </c>
      <c r="AK130" s="226">
        <v>128</v>
      </c>
      <c r="AL130" s="229">
        <v>128</v>
      </c>
      <c r="AM130" s="227">
        <v>5.0020420000000003</v>
      </c>
      <c r="AN130" s="227">
        <v>9.3829999999999991</v>
      </c>
      <c r="AQ130" s="246">
        <v>57.526956300000002</v>
      </c>
      <c r="AR130" s="246">
        <v>-55.336525000000002</v>
      </c>
      <c r="AS130" s="244">
        <f t="shared" si="44"/>
        <v>236.66594319999999</v>
      </c>
      <c r="AT130" s="244">
        <f t="shared" si="45"/>
        <v>202.38207299999999</v>
      </c>
    </row>
    <row r="131" spans="1:46" ht="13.8" thickBot="1">
      <c r="A131" s="2">
        <v>41504</v>
      </c>
      <c r="B131" s="3">
        <v>27.151522122175148</v>
      </c>
      <c r="C131" s="3">
        <v>16.546516419491521</v>
      </c>
      <c r="D131" s="3">
        <v>8.8838674497812473</v>
      </c>
      <c r="E131" s="7">
        <v>217.19271936793788</v>
      </c>
      <c r="F131" s="4">
        <v>0.95938803269374784</v>
      </c>
      <c r="G131" s="4">
        <v>2.3364991172316389</v>
      </c>
      <c r="H131" s="3">
        <v>46.254653425141242</v>
      </c>
      <c r="I131" s="4">
        <v>1.6096311793785312</v>
      </c>
      <c r="J131" s="3">
        <v>9.8201923076923627</v>
      </c>
      <c r="K131" s="3">
        <v>-7.7869318181818263</v>
      </c>
      <c r="L131" s="4">
        <v>5.3670514244222818E-2</v>
      </c>
      <c r="M131" s="4">
        <v>3.4369023847686683E-2</v>
      </c>
      <c r="N131" s="4">
        <f t="shared" si="48"/>
        <v>5.4653221202380711E-3</v>
      </c>
      <c r="O131" s="4">
        <f t="shared" si="47"/>
        <v>-4.4136798228331629E-3</v>
      </c>
      <c r="P131" s="7">
        <v>230.10734614750058</v>
      </c>
      <c r="Q131" s="7">
        <v>-187.71122020870826</v>
      </c>
      <c r="R131" s="7">
        <v>42.396125938792323</v>
      </c>
      <c r="S131" s="4">
        <f t="shared" si="27"/>
        <v>1.2258582406083869</v>
      </c>
      <c r="T131" s="3">
        <v>3.3852708333333332</v>
      </c>
      <c r="U131" s="3">
        <v>25.892708333333331</v>
      </c>
      <c r="V131" s="7">
        <v>115.7173076923077</v>
      </c>
      <c r="W131">
        <v>48</v>
      </c>
      <c r="X131" s="21">
        <f t="shared" si="51"/>
        <v>262.91825347861277</v>
      </c>
      <c r="Y131" s="21">
        <f t="shared" si="52"/>
        <v>-247.9121120676422</v>
      </c>
      <c r="Z131" s="21">
        <f t="shared" si="53"/>
        <v>15.006141410970615</v>
      </c>
      <c r="AA131" s="224">
        <f t="shared" si="54"/>
        <v>247.9121120676422</v>
      </c>
      <c r="AB131" s="199">
        <f t="shared" si="55"/>
        <v>1.0605300857865152</v>
      </c>
      <c r="AD131" s="13">
        <f t="shared" si="49"/>
        <v>39.702310203062424</v>
      </c>
      <c r="AE131" s="3">
        <f t="shared" si="50"/>
        <v>8.0078959392655378</v>
      </c>
      <c r="AG131" s="334">
        <v>41504</v>
      </c>
      <c r="AH131" s="349">
        <v>4.6361249999999998</v>
      </c>
      <c r="AI131" s="349">
        <v>9.3829999999999991</v>
      </c>
      <c r="AK131" s="226">
        <v>129</v>
      </c>
      <c r="AL131" s="228">
        <v>129</v>
      </c>
      <c r="AM131" s="225">
        <v>3.018875</v>
      </c>
      <c r="AN131" s="225">
        <v>5.7130000000000001</v>
      </c>
      <c r="AQ131" s="245">
        <v>291.25396490000003</v>
      </c>
      <c r="AR131" s="245">
        <v>-238.96166299999999</v>
      </c>
      <c r="AS131" s="244">
        <f t="shared" si="44"/>
        <v>230.82255657142858</v>
      </c>
      <c r="AT131" s="244">
        <f t="shared" si="45"/>
        <v>212.13948685714286</v>
      </c>
    </row>
    <row r="132" spans="1:46" ht="13.8" thickBot="1">
      <c r="A132" s="2">
        <v>41505</v>
      </c>
      <c r="B132" s="3">
        <v>28.270281373587576</v>
      </c>
      <c r="C132" s="3">
        <v>15.031096927966106</v>
      </c>
      <c r="D132" s="3">
        <v>7.4147979600027343</v>
      </c>
      <c r="E132" s="7">
        <v>245.58416644597457</v>
      </c>
      <c r="F132" s="4">
        <v>1.0971592137936614</v>
      </c>
      <c r="G132" s="4">
        <v>2.0704969985875703</v>
      </c>
      <c r="H132" s="3">
        <v>47.210130296610174</v>
      </c>
      <c r="I132" s="4">
        <v>1.6164094279661023</v>
      </c>
      <c r="J132" s="3">
        <v>20.078605769230787</v>
      </c>
      <c r="K132" s="3">
        <v>-7.7477272727272171</v>
      </c>
      <c r="L132" s="4">
        <v>-3.2190411988594063E-2</v>
      </c>
      <c r="M132" s="4">
        <v>-8.1695052097462403E-2</v>
      </c>
      <c r="N132" s="4">
        <f t="shared" si="48"/>
        <v>-1.6032194843888944E-3</v>
      </c>
      <c r="O132" s="4">
        <f t="shared" si="47"/>
        <v>1.0544389241092319E-2</v>
      </c>
      <c r="P132" s="7">
        <v>361.09876922403663</v>
      </c>
      <c r="Q132" s="7">
        <v>-183.98477329511414</v>
      </c>
      <c r="R132" s="7">
        <v>177.11399592892249</v>
      </c>
      <c r="S132" s="4">
        <f t="shared" ref="S132:S176" si="56">P132/-Q132</f>
        <v>1.9626557282804549</v>
      </c>
      <c r="T132" s="3">
        <v>2.3252916666666672</v>
      </c>
      <c r="U132" s="3">
        <v>28.497395833333339</v>
      </c>
      <c r="V132" s="7">
        <v>535.36538461538453</v>
      </c>
      <c r="W132">
        <v>48</v>
      </c>
      <c r="X132" s="21">
        <f t="shared" si="51"/>
        <v>241.09137223047099</v>
      </c>
      <c r="Y132" s="21">
        <f t="shared" si="52"/>
        <v>-219.68859412925713</v>
      </c>
      <c r="Z132" s="21">
        <f t="shared" si="53"/>
        <v>21.402778101213844</v>
      </c>
      <c r="AA132" s="224">
        <f t="shared" si="54"/>
        <v>219.68859412925713</v>
      </c>
      <c r="AB132" s="199">
        <f t="shared" si="55"/>
        <v>1.0974232557955248</v>
      </c>
      <c r="AD132" s="13">
        <f t="shared" si="49"/>
        <v>40.53367137790157</v>
      </c>
      <c r="AE132" s="3">
        <f t="shared" si="50"/>
        <v>6.7842861935028225</v>
      </c>
      <c r="AG132" s="334">
        <v>41505</v>
      </c>
      <c r="AH132" s="349">
        <v>2.2278129999999998</v>
      </c>
      <c r="AI132" s="349">
        <v>4.72</v>
      </c>
      <c r="AK132" s="226">
        <v>130</v>
      </c>
      <c r="AL132" s="229">
        <v>130</v>
      </c>
      <c r="AM132" s="227">
        <v>2.5825619999999998</v>
      </c>
      <c r="AN132" s="227">
        <v>4.665</v>
      </c>
      <c r="AQ132" s="246">
        <v>412.33089089999999</v>
      </c>
      <c r="AR132" s="246">
        <v>-213.868189</v>
      </c>
      <c r="AS132" s="244">
        <f t="shared" si="44"/>
        <v>226.34841118571427</v>
      </c>
      <c r="AT132" s="244">
        <f t="shared" si="45"/>
        <v>215.32675628571428</v>
      </c>
    </row>
    <row r="133" spans="1:46" ht="13.8" thickBot="1">
      <c r="A133" s="2">
        <v>41506</v>
      </c>
      <c r="B133" s="3">
        <v>28.388860540254239</v>
      </c>
      <c r="C133" s="3">
        <v>15.649846221751412</v>
      </c>
      <c r="D133" s="3">
        <v>7.8407903436054456</v>
      </c>
      <c r="E133" s="7">
        <v>243.94764631885596</v>
      </c>
      <c r="F133" s="4">
        <v>1.0952663260529434</v>
      </c>
      <c r="G133" s="4">
        <v>2.2877173375706223</v>
      </c>
      <c r="H133" s="3">
        <v>44.064155190677972</v>
      </c>
      <c r="I133" s="4">
        <v>1.6530105932203385</v>
      </c>
      <c r="J133" s="3">
        <v>0.96682692307687401</v>
      </c>
      <c r="K133" s="3">
        <v>-6.9258522727273144</v>
      </c>
      <c r="L133" s="4">
        <v>-8.646333305148296E-2</v>
      </c>
      <c r="M133" s="4">
        <v>-0.10408910233219117</v>
      </c>
      <c r="N133" s="4">
        <f t="shared" si="48"/>
        <v>-8.9430001366033657E-2</v>
      </c>
      <c r="O133" s="4">
        <f t="shared" si="47"/>
        <v>1.5029067648767821E-2</v>
      </c>
      <c r="P133" s="7">
        <v>102.3756945448046</v>
      </c>
      <c r="Q133" s="7">
        <v>-163.72231608948292</v>
      </c>
      <c r="R133" s="7">
        <v>-61.346621544678314</v>
      </c>
      <c r="S133" s="4">
        <f t="shared" si="56"/>
        <v>0.62530079582340425</v>
      </c>
      <c r="T133" s="3">
        <v>3.4139270833333337</v>
      </c>
      <c r="U133" s="3">
        <v>26.338437500000001</v>
      </c>
      <c r="V133" s="7">
        <v>248.79423076923075</v>
      </c>
      <c r="W133">
        <v>48</v>
      </c>
      <c r="X133" s="21">
        <f t="shared" si="51"/>
        <v>221.53449019794638</v>
      </c>
      <c r="Y133" s="21">
        <f t="shared" si="52"/>
        <v>-219.71363729070282</v>
      </c>
      <c r="Z133" s="21">
        <f t="shared" si="53"/>
        <v>1.8208529072435908</v>
      </c>
      <c r="AA133" s="224">
        <f t="shared" si="54"/>
        <v>219.71363729070282</v>
      </c>
      <c r="AB133" s="199">
        <f t="shared" si="55"/>
        <v>1.0082873913958941</v>
      </c>
      <c r="AD133" s="13">
        <f t="shared" si="49"/>
        <v>37.796355972180052</v>
      </c>
      <c r="AE133" s="3">
        <f t="shared" si="50"/>
        <v>7.7834997528248611</v>
      </c>
      <c r="AG133" s="334">
        <v>41506</v>
      </c>
      <c r="AH133" s="349">
        <v>3.0793539999999999</v>
      </c>
      <c r="AI133" s="349">
        <v>4.665</v>
      </c>
      <c r="AK133" s="226">
        <v>131</v>
      </c>
      <c r="AL133" s="228">
        <v>131</v>
      </c>
      <c r="AM133" s="225">
        <v>3.504229</v>
      </c>
      <c r="AN133" s="225">
        <v>5.7530000000000001</v>
      </c>
      <c r="AQ133" s="245">
        <v>105.30171110000001</v>
      </c>
      <c r="AR133" s="245">
        <v>-163.48160899999999</v>
      </c>
      <c r="AS133" s="244">
        <f t="shared" si="44"/>
        <v>221.7970800285714</v>
      </c>
      <c r="AT133" s="244">
        <f t="shared" si="45"/>
        <v>218.55657357142857</v>
      </c>
    </row>
    <row r="134" spans="1:46" ht="13.8" thickBot="1">
      <c r="A134" s="2">
        <v>41507</v>
      </c>
      <c r="B134" s="3">
        <v>28.639444120762722</v>
      </c>
      <c r="C134" s="3">
        <v>14.666594456214689</v>
      </c>
      <c r="D134" s="3">
        <v>7.0314019860498513</v>
      </c>
      <c r="E134" s="7">
        <v>239.90073821504245</v>
      </c>
      <c r="F134" s="4">
        <v>1.0757580705997911</v>
      </c>
      <c r="G134" s="4">
        <v>2.2179193149717511</v>
      </c>
      <c r="H134" s="3">
        <v>47.89519526836159</v>
      </c>
      <c r="I134" s="4">
        <v>1.7158116172316387</v>
      </c>
      <c r="J134" s="3">
        <v>8.7711538461538172</v>
      </c>
      <c r="K134" s="3">
        <v>-15.873579545454449</v>
      </c>
      <c r="L134" s="4">
        <v>-0.10002888701739733</v>
      </c>
      <c r="M134" s="4">
        <v>-6.8979740433393499E-2</v>
      </c>
      <c r="N134" s="4">
        <f t="shared" si="48"/>
        <v>-1.1404301962079979E-2</v>
      </c>
      <c r="O134" s="4">
        <f t="shared" si="47"/>
        <v>4.3455693302111246E-3</v>
      </c>
      <c r="P134" s="7">
        <v>320.78517299649764</v>
      </c>
      <c r="Q134" s="7">
        <v>-379.31039532050539</v>
      </c>
      <c r="R134" s="7">
        <v>-58.525222324007757</v>
      </c>
      <c r="S134" s="4">
        <f t="shared" si="56"/>
        <v>0.8457062525941168</v>
      </c>
      <c r="T134" s="3">
        <v>3.5937395833333325</v>
      </c>
      <c r="U134" s="3">
        <v>26.644270833333337</v>
      </c>
      <c r="V134" s="7">
        <v>505.32115384615378</v>
      </c>
      <c r="W134">
        <v>48</v>
      </c>
      <c r="X134" s="21">
        <f t="shared" si="51"/>
        <v>241.64278737456149</v>
      </c>
      <c r="Y134" s="21">
        <f t="shared" si="52"/>
        <v>-251.93187531407281</v>
      </c>
      <c r="Z134" s="21">
        <f t="shared" si="53"/>
        <v>-10.289087939511351</v>
      </c>
      <c r="AA134" s="224">
        <f t="shared" si="54"/>
        <v>251.93187531407281</v>
      </c>
      <c r="AB134" s="199">
        <f t="shared" si="55"/>
        <v>0.95915924522578044</v>
      </c>
      <c r="AD134" s="13">
        <f t="shared" si="49"/>
        <v>41.129746946827503</v>
      </c>
      <c r="AE134" s="3">
        <f t="shared" si="50"/>
        <v>7.4624288488700543</v>
      </c>
      <c r="AG134" s="334">
        <v>41507</v>
      </c>
      <c r="AH134" s="349">
        <v>3.7958750000000001</v>
      </c>
      <c r="AI134" s="349">
        <v>5.7530000000000001</v>
      </c>
      <c r="AK134" s="226">
        <v>132</v>
      </c>
      <c r="AL134" s="229">
        <v>132</v>
      </c>
      <c r="AM134" s="227">
        <v>3.7922289999999998</v>
      </c>
      <c r="AN134" s="227">
        <v>5.532</v>
      </c>
      <c r="AQ134" s="246">
        <v>279.85832879999998</v>
      </c>
      <c r="AR134" s="246">
        <v>-334.49271399999998</v>
      </c>
      <c r="AS134" s="244">
        <f t="shared" si="44"/>
        <v>255.02877904285717</v>
      </c>
      <c r="AT134" s="244">
        <f t="shared" si="45"/>
        <v>256.10896742857142</v>
      </c>
    </row>
    <row r="135" spans="1:46" ht="13.8" thickBot="1">
      <c r="A135" s="2">
        <v>41508</v>
      </c>
      <c r="B135" s="3">
        <v>28.80523096751412</v>
      </c>
      <c r="C135" s="3">
        <v>14.995639124293794</v>
      </c>
      <c r="D135" s="3">
        <v>7.2253708338230282</v>
      </c>
      <c r="E135" s="7">
        <v>233.62082891949152</v>
      </c>
      <c r="F135" s="4">
        <v>1.0526086280436773</v>
      </c>
      <c r="G135" s="4">
        <v>2.0354646892655359</v>
      </c>
      <c r="H135" s="3">
        <v>44.313413665254238</v>
      </c>
      <c r="I135" s="4">
        <v>1.6483160310734473</v>
      </c>
      <c r="J135" s="3">
        <v>7.0141826923077124</v>
      </c>
      <c r="K135" s="3">
        <v>-9.6559659090908898</v>
      </c>
      <c r="L135" s="4">
        <v>-7.4158152715286307E-2</v>
      </c>
      <c r="M135" s="4">
        <v>-2.1328880582521297E-2</v>
      </c>
      <c r="N135" s="4">
        <f t="shared" si="48"/>
        <v>-1.0572600681846196E-2</v>
      </c>
      <c r="O135" s="4">
        <f t="shared" si="47"/>
        <v>2.2088810983104863E-3</v>
      </c>
      <c r="P135" s="7">
        <v>216.00513086644304</v>
      </c>
      <c r="Q135" s="7">
        <v>-231.23128868420088</v>
      </c>
      <c r="R135" s="7">
        <v>-15.226157817757837</v>
      </c>
      <c r="S135" s="4">
        <f t="shared" si="56"/>
        <v>0.93415182735692559</v>
      </c>
      <c r="T135" s="3">
        <v>3.2938645833333324</v>
      </c>
      <c r="U135" s="3">
        <v>27.049270833333338</v>
      </c>
      <c r="V135" s="7">
        <v>479.0961538461537</v>
      </c>
      <c r="W135">
        <v>48</v>
      </c>
      <c r="X135" s="21">
        <f t="shared" si="51"/>
        <v>265.29649981640506</v>
      </c>
      <c r="Y135" s="21">
        <f t="shared" si="52"/>
        <v>-266.59548973749128</v>
      </c>
      <c r="Z135" s="21">
        <f t="shared" si="53"/>
        <v>-1.2989899210862035</v>
      </c>
      <c r="AA135" s="224">
        <f t="shared" si="54"/>
        <v>266.59548973749128</v>
      </c>
      <c r="AB135" s="199">
        <f t="shared" si="55"/>
        <v>0.99512748725657252</v>
      </c>
      <c r="AD135" s="13">
        <f t="shared" si="49"/>
        <v>38.013235966296243</v>
      </c>
      <c r="AE135" s="3">
        <f t="shared" si="50"/>
        <v>6.6231375706214646</v>
      </c>
      <c r="AG135" s="334">
        <v>41508</v>
      </c>
      <c r="AH135" s="349">
        <v>3.5695420000000002</v>
      </c>
      <c r="AI135" s="349">
        <v>5.532</v>
      </c>
      <c r="AK135" s="226">
        <v>133</v>
      </c>
      <c r="AL135" s="228">
        <v>133</v>
      </c>
      <c r="AM135" s="225">
        <v>2.8443960000000001</v>
      </c>
      <c r="AN135" s="225">
        <v>5.4</v>
      </c>
      <c r="AQ135" s="245">
        <v>270.07670200000001</v>
      </c>
      <c r="AR135" s="245">
        <v>-310.75942800000001</v>
      </c>
      <c r="AS135" s="244">
        <f t="shared" si="44"/>
        <v>259.19703657142855</v>
      </c>
      <c r="AT135" s="244">
        <f t="shared" si="45"/>
        <v>253.74485085714286</v>
      </c>
    </row>
    <row r="136" spans="1:46" ht="13.8" thickBot="1">
      <c r="A136" s="2">
        <v>41509</v>
      </c>
      <c r="B136" s="3">
        <v>28.098648287429373</v>
      </c>
      <c r="C136" s="3">
        <v>14.05838788841808</v>
      </c>
      <c r="D136" s="3">
        <v>6.7435500780586599</v>
      </c>
      <c r="E136" s="7">
        <v>220.35082318149725</v>
      </c>
      <c r="F136" s="4">
        <v>0.97568787753830677</v>
      </c>
      <c r="G136" s="4">
        <v>2.3478373940677968</v>
      </c>
      <c r="H136" s="3">
        <v>48.711568855932207</v>
      </c>
      <c r="I136" s="4">
        <v>1.7006267655367238</v>
      </c>
      <c r="J136" s="3">
        <v>0.15144230769224948</v>
      </c>
      <c r="K136" s="3">
        <v>-9.7517045454545244</v>
      </c>
      <c r="L136" s="4">
        <v>2.1506757891342444E-3</v>
      </c>
      <c r="M136" s="4">
        <v>4.9898397704640371E-2</v>
      </c>
      <c r="N136" s="4">
        <f t="shared" si="48"/>
        <v>1.42012877504792E-2</v>
      </c>
      <c r="O136" s="4">
        <f t="shared" si="47"/>
        <v>-5.1168898188059921E-3</v>
      </c>
      <c r="P136" s="7">
        <v>128.53238826121884</v>
      </c>
      <c r="Q136" s="7">
        <v>-235.23847063581997</v>
      </c>
      <c r="R136" s="7">
        <v>-106.70608237460112</v>
      </c>
      <c r="S136" s="4">
        <f t="shared" si="56"/>
        <v>0.54639187167733227</v>
      </c>
      <c r="T136" s="3">
        <v>2.8311250000000001</v>
      </c>
      <c r="U136" s="3">
        <v>25.9528125</v>
      </c>
      <c r="V136" s="7"/>
      <c r="W136">
        <v>48</v>
      </c>
      <c r="X136" s="21">
        <f t="shared" si="51"/>
        <v>270.37738879421215</v>
      </c>
      <c r="Y136" s="21">
        <f t="shared" si="52"/>
        <v>-283.15831758761612</v>
      </c>
      <c r="Z136" s="21">
        <f t="shared" si="53"/>
        <v>-12.780928793403916</v>
      </c>
      <c r="AA136" s="224">
        <f t="shared" si="54"/>
        <v>283.15831758761612</v>
      </c>
      <c r="AB136" s="199">
        <f t="shared" si="55"/>
        <v>0.95486295828322532</v>
      </c>
      <c r="AD136" s="13">
        <f t="shared" si="49"/>
        <v>41.8400742453072</v>
      </c>
      <c r="AE136" s="3">
        <f t="shared" si="50"/>
        <v>8.0600520127118642</v>
      </c>
      <c r="AG136" s="334">
        <v>41509</v>
      </c>
      <c r="AH136" s="349">
        <v>2.6731880000000001</v>
      </c>
      <c r="AI136" s="349">
        <v>4.3639999999999999</v>
      </c>
      <c r="AK136" s="226">
        <v>134</v>
      </c>
      <c r="AL136" s="229">
        <v>134</v>
      </c>
      <c r="AM136" s="227">
        <v>3.1308129999999998</v>
      </c>
      <c r="AN136" s="227">
        <v>7.06</v>
      </c>
      <c r="AQ136" s="246">
        <v>136.2310062</v>
      </c>
      <c r="AR136" s="246">
        <v>-212.99588700000001</v>
      </c>
      <c r="AS136" s="244">
        <f t="shared" si="44"/>
        <v>251.08715562857142</v>
      </c>
      <c r="AT136" s="244">
        <f t="shared" si="45"/>
        <v>262.48615271428571</v>
      </c>
    </row>
    <row r="137" spans="1:46" ht="13.8" thickBot="1">
      <c r="A137" s="2">
        <v>41510</v>
      </c>
      <c r="B137" s="3">
        <v>27.54423185028249</v>
      </c>
      <c r="C137" s="3">
        <v>14.167974223163839</v>
      </c>
      <c r="D137" s="3">
        <v>6.9919859152964916</v>
      </c>
      <c r="E137" s="7">
        <v>214.30598958333334</v>
      </c>
      <c r="F137" s="4">
        <v>0.94031510040907751</v>
      </c>
      <c r="G137" s="4">
        <v>2.2465759180790967</v>
      </c>
      <c r="H137" s="3">
        <v>48.203380826271193</v>
      </c>
      <c r="I137" s="4">
        <v>1.6428554025423721</v>
      </c>
      <c r="J137" s="3">
        <v>10.040865384615305</v>
      </c>
      <c r="K137" s="3">
        <v>-15.755681818181813</v>
      </c>
      <c r="L137" s="4">
        <v>5.4565421712474138E-2</v>
      </c>
      <c r="M137" s="4">
        <v>0.17451247201312106</v>
      </c>
      <c r="N137" s="4">
        <f t="shared" si="48"/>
        <v>5.4343345540793439E-3</v>
      </c>
      <c r="O137" s="4">
        <f t="shared" si="47"/>
        <v>-1.1076161224056733E-2</v>
      </c>
      <c r="P137" s="7">
        <v>332.59500958142911</v>
      </c>
      <c r="Q137" s="7">
        <v>-382.32466296467834</v>
      </c>
      <c r="R137" s="7">
        <v>-49.729653383249229</v>
      </c>
      <c r="S137" s="4">
        <f t="shared" si="56"/>
        <v>0.86992820971153628</v>
      </c>
      <c r="T137" s="3">
        <v>3.1074479166666671</v>
      </c>
      <c r="U137" s="3">
        <v>25.1446875</v>
      </c>
      <c r="V137" s="7">
        <v>104.14230769230768</v>
      </c>
      <c r="W137">
        <v>48</v>
      </c>
      <c r="X137" s="21">
        <f t="shared" si="51"/>
        <v>313.08004925830301</v>
      </c>
      <c r="Y137" s="21">
        <f t="shared" si="52"/>
        <v>-304.81235159456116</v>
      </c>
      <c r="Z137" s="21">
        <f t="shared" si="53"/>
        <v>8.2676976637418331</v>
      </c>
      <c r="AA137" s="224">
        <f t="shared" si="54"/>
        <v>304.81235159456116</v>
      </c>
      <c r="AB137" s="199">
        <f t="shared" si="55"/>
        <v>1.0271238931771995</v>
      </c>
      <c r="AD137" s="13">
        <f t="shared" si="49"/>
        <v>41.397899442343466</v>
      </c>
      <c r="AE137" s="3">
        <f t="shared" si="50"/>
        <v>7.5942492231638443</v>
      </c>
      <c r="AG137" s="334">
        <v>41510</v>
      </c>
      <c r="AH137" s="349">
        <v>2.4690210000000001</v>
      </c>
      <c r="AI137" s="349">
        <v>7.06</v>
      </c>
      <c r="AK137" s="226">
        <v>135</v>
      </c>
      <c r="AL137" s="228">
        <v>135</v>
      </c>
      <c r="AM137" s="225">
        <v>3.6715209999999998</v>
      </c>
      <c r="AN137" s="225">
        <v>9.6669999999999998</v>
      </c>
      <c r="AQ137" s="245">
        <v>290.14884940000002</v>
      </c>
      <c r="AR137" s="245">
        <v>-318.203282</v>
      </c>
      <c r="AS137" s="244">
        <f t="shared" si="44"/>
        <v>290.79197988571428</v>
      </c>
      <c r="AT137" s="244">
        <f t="shared" si="45"/>
        <v>282.46106800000001</v>
      </c>
    </row>
    <row r="138" spans="1:46" ht="13.8" thickBot="1">
      <c r="A138" s="2">
        <v>41511</v>
      </c>
      <c r="B138" s="3">
        <v>27.310160822740126</v>
      </c>
      <c r="C138" s="3">
        <v>13.604606461864408</v>
      </c>
      <c r="D138" s="3">
        <v>6.6411737178568195</v>
      </c>
      <c r="E138" s="7">
        <v>226.16512182203391</v>
      </c>
      <c r="F138" s="4">
        <v>0.98538991504180018</v>
      </c>
      <c r="G138" s="4">
        <v>2.4888268008474577</v>
      </c>
      <c r="H138" s="3">
        <v>53.06282115112996</v>
      </c>
      <c r="I138" s="4">
        <v>1.591062676553672</v>
      </c>
      <c r="J138" s="3">
        <v>18.877403846153964</v>
      </c>
      <c r="K138" s="3">
        <v>-12.071590909090951</v>
      </c>
      <c r="L138" s="4">
        <v>0.14312470312149975</v>
      </c>
      <c r="M138" s="4">
        <v>2.6597473102264079E-2</v>
      </c>
      <c r="N138" s="4">
        <f t="shared" si="48"/>
        <v>7.5818001398883896E-3</v>
      </c>
      <c r="O138" s="4">
        <f t="shared" si="47"/>
        <v>-2.2033113367214826E-3</v>
      </c>
      <c r="P138" s="7">
        <v>395.6833332404056</v>
      </c>
      <c r="Q138" s="7">
        <v>-290.35652117263726</v>
      </c>
      <c r="R138" s="7">
        <v>105.32681206776834</v>
      </c>
      <c r="S138" s="4">
        <f t="shared" si="56"/>
        <v>1.3627499449380169</v>
      </c>
      <c r="T138" s="3">
        <v>5.5173958333333353</v>
      </c>
      <c r="U138" s="3">
        <v>26.215</v>
      </c>
      <c r="V138" s="7">
        <v>309.80576923076922</v>
      </c>
      <c r="W138">
        <v>48</v>
      </c>
      <c r="X138" s="21">
        <f t="shared" si="51"/>
        <v>335.75309080953173</v>
      </c>
      <c r="Y138" s="21">
        <f t="shared" si="52"/>
        <v>-320.42708998177852</v>
      </c>
      <c r="Z138" s="21">
        <f t="shared" si="53"/>
        <v>15.326000827753123</v>
      </c>
      <c r="AA138" s="224">
        <f t="shared" si="54"/>
        <v>320.42708998177852</v>
      </c>
      <c r="AB138" s="199">
        <f t="shared" si="55"/>
        <v>1.0478299160930018</v>
      </c>
      <c r="AD138" s="13">
        <f t="shared" si="49"/>
        <v>45.626102278194821</v>
      </c>
      <c r="AE138" s="3">
        <f t="shared" si="50"/>
        <v>8.7086032838983041</v>
      </c>
      <c r="AG138" s="334">
        <v>41511</v>
      </c>
      <c r="AH138" s="349">
        <v>5.135313</v>
      </c>
      <c r="AI138" s="349">
        <v>9.6669999999999998</v>
      </c>
      <c r="AK138" s="226">
        <v>136</v>
      </c>
      <c r="AL138" s="229">
        <v>136</v>
      </c>
      <c r="AM138" s="227">
        <v>5.6117920000000003</v>
      </c>
      <c r="AN138" s="227">
        <v>9.2669999999999995</v>
      </c>
      <c r="AQ138" s="246">
        <v>320.4317676</v>
      </c>
      <c r="AR138" s="246">
        <v>-222.412847</v>
      </c>
      <c r="AS138" s="244">
        <f t="shared" si="44"/>
        <v>312.36383438571426</v>
      </c>
      <c r="AT138" s="244">
        <f t="shared" si="45"/>
        <v>296.13279228571434</v>
      </c>
    </row>
    <row r="139" spans="1:46" ht="13.8" thickBot="1">
      <c r="A139" s="2">
        <v>41512</v>
      </c>
      <c r="B139" s="3">
        <v>27.521582274011291</v>
      </c>
      <c r="C139" s="3">
        <v>13.130163665254237</v>
      </c>
      <c r="D139" s="3">
        <v>6.2243342889514865</v>
      </c>
      <c r="E139" s="7">
        <v>240.38626633121464</v>
      </c>
      <c r="F139" s="4">
        <v>1.0485782047891765</v>
      </c>
      <c r="G139" s="4">
        <v>2.5669553319209042</v>
      </c>
      <c r="H139" s="3">
        <v>56.06389724576271</v>
      </c>
      <c r="I139" s="4">
        <v>1.5550550847457625</v>
      </c>
      <c r="J139" s="3">
        <v>18.449519230769248</v>
      </c>
      <c r="K139" s="3">
        <v>-12.567613636363603</v>
      </c>
      <c r="L139" s="4">
        <v>3.7415820082863177E-2</v>
      </c>
      <c r="M139" s="4">
        <v>-7.0756626114104049E-2</v>
      </c>
      <c r="N139" s="4">
        <f t="shared" si="48"/>
        <v>2.028010573872452E-3</v>
      </c>
      <c r="O139" s="4">
        <f t="shared" si="47"/>
        <v>5.630076493549593E-3</v>
      </c>
      <c r="P139" s="7">
        <v>396.6649920686865</v>
      </c>
      <c r="Q139" s="7">
        <v>-299.92456824598798</v>
      </c>
      <c r="R139" s="7">
        <v>96.740423822698517</v>
      </c>
      <c r="S139" s="4">
        <f t="shared" si="56"/>
        <v>1.3225491809105658</v>
      </c>
      <c r="T139" s="3">
        <v>4.09671875</v>
      </c>
      <c r="U139" s="3">
        <v>26.549479166666671</v>
      </c>
      <c r="V139" s="7">
        <v>545.23846153846159</v>
      </c>
      <c r="W139">
        <v>48</v>
      </c>
      <c r="X139" s="21">
        <f t="shared" si="51"/>
        <v>400.64676774513561</v>
      </c>
      <c r="Y139" s="21">
        <f t="shared" si="52"/>
        <v>-388.81161829302215</v>
      </c>
      <c r="Z139" s="21">
        <f t="shared" si="53"/>
        <v>11.83514945211348</v>
      </c>
      <c r="AA139" s="224">
        <f t="shared" si="54"/>
        <v>388.81161829302215</v>
      </c>
      <c r="AB139" s="199">
        <f t="shared" si="55"/>
        <v>1.030439289607838</v>
      </c>
      <c r="AD139" s="13">
        <f t="shared" si="49"/>
        <v>48.237340940602046</v>
      </c>
      <c r="AE139" s="3">
        <f t="shared" si="50"/>
        <v>9.0679945268361575</v>
      </c>
      <c r="AG139" s="334">
        <v>41512</v>
      </c>
      <c r="AH139" s="349">
        <v>4.7839790000000004</v>
      </c>
      <c r="AI139" s="349">
        <v>9.2669999999999995</v>
      </c>
      <c r="AK139" s="226">
        <v>137</v>
      </c>
      <c r="AL139" s="228">
        <v>137</v>
      </c>
      <c r="AM139" s="225">
        <v>3.2494369999999999</v>
      </c>
      <c r="AN139" s="225">
        <v>5.7489999999999997</v>
      </c>
      <c r="AQ139" s="245">
        <v>355.56172429999998</v>
      </c>
      <c r="AR139" s="245">
        <v>-275.05730199999999</v>
      </c>
      <c r="AS139" s="244">
        <f t="shared" si="44"/>
        <v>353.36023239999997</v>
      </c>
      <c r="AT139" s="244">
        <f t="shared" si="45"/>
        <v>333.50664814285716</v>
      </c>
    </row>
    <row r="140" spans="1:46" ht="13.8" thickBot="1">
      <c r="A140" s="2">
        <v>41513</v>
      </c>
      <c r="B140" s="3">
        <v>28.046515766242933</v>
      </c>
      <c r="C140" s="3">
        <v>12.750380120056493</v>
      </c>
      <c r="D140" s="3">
        <v>5.7832525668851167</v>
      </c>
      <c r="E140" s="7">
        <v>253.82422978460451</v>
      </c>
      <c r="F140" s="4">
        <v>1.1150880628053266</v>
      </c>
      <c r="G140" s="4">
        <v>2.9689186087570616</v>
      </c>
      <c r="H140" s="3">
        <v>57.13795391949153</v>
      </c>
      <c r="I140" s="4">
        <v>1.5636645480225984</v>
      </c>
      <c r="J140" s="3">
        <v>18.067788461538484</v>
      </c>
      <c r="K140" s="3">
        <v>-13.29488636363646</v>
      </c>
      <c r="L140" s="4">
        <v>-6.4375550160894898E-2</v>
      </c>
      <c r="M140" s="4">
        <v>-0.15736327454902843</v>
      </c>
      <c r="N140" s="4">
        <f t="shared" si="48"/>
        <v>-3.5630010998818876E-3</v>
      </c>
      <c r="O140" s="4">
        <f t="shared" si="47"/>
        <v>1.183637605052729E-2</v>
      </c>
      <c r="P140" s="7">
        <v>401.29431779344031</v>
      </c>
      <c r="Q140" s="7">
        <v>-315.30055413809839</v>
      </c>
      <c r="R140" s="7">
        <v>85.993763655341922</v>
      </c>
      <c r="S140" s="4">
        <f t="shared" si="56"/>
        <v>1.2727358468823926</v>
      </c>
      <c r="T140" s="3">
        <v>3.0168958333333333</v>
      </c>
      <c r="U140" s="3">
        <v>26.633125</v>
      </c>
      <c r="V140" s="7">
        <v>553.47307692307686</v>
      </c>
      <c r="W140">
        <v>48</v>
      </c>
      <c r="X140" s="21">
        <f t="shared" si="51"/>
        <v>456.65808823802502</v>
      </c>
      <c r="Y140" s="21">
        <f t="shared" si="52"/>
        <v>-445.43921098337006</v>
      </c>
      <c r="Z140" s="21">
        <f t="shared" si="53"/>
        <v>11.218877254654972</v>
      </c>
      <c r="AA140" s="224">
        <f t="shared" si="54"/>
        <v>445.43921098337006</v>
      </c>
      <c r="AB140" s="199">
        <f t="shared" si="55"/>
        <v>1.0251861016678072</v>
      </c>
      <c r="AD140" s="13">
        <f t="shared" si="49"/>
        <v>49.171878494339218</v>
      </c>
      <c r="AE140" s="3">
        <f t="shared" si="50"/>
        <v>10.917025600282482</v>
      </c>
      <c r="AG140" s="334">
        <v>41513</v>
      </c>
      <c r="AH140" s="349">
        <v>3.1770420000000001</v>
      </c>
      <c r="AI140" s="349">
        <v>5.7489999999999997</v>
      </c>
      <c r="AK140" s="226">
        <v>138</v>
      </c>
      <c r="AL140" s="229">
        <v>138</v>
      </c>
      <c r="AM140" s="227">
        <v>2.9464380000000001</v>
      </c>
      <c r="AN140" s="227">
        <v>4.5250000000000004</v>
      </c>
      <c r="AQ140" s="246">
        <v>383.23548090000003</v>
      </c>
      <c r="AR140" s="246">
        <v>-303.306016</v>
      </c>
      <c r="AS140" s="244">
        <f t="shared" si="44"/>
        <v>414.85829572857148</v>
      </c>
      <c r="AT140" s="244">
        <f t="shared" si="45"/>
        <v>403.16193400000003</v>
      </c>
    </row>
    <row r="141" spans="1:46" ht="13.8" thickBot="1">
      <c r="A141" s="2">
        <v>41514</v>
      </c>
      <c r="B141" s="3">
        <v>28.701362040960451</v>
      </c>
      <c r="C141" s="3">
        <v>12.512680967514115</v>
      </c>
      <c r="D141" s="3">
        <v>5.4072578641316937</v>
      </c>
      <c r="E141" s="7">
        <v>263.02646098163842</v>
      </c>
      <c r="F141" s="4">
        <v>1.1671886649893497</v>
      </c>
      <c r="G141" s="4">
        <v>3.4079168432203395</v>
      </c>
      <c r="H141" s="3">
        <v>56.07596592514124</v>
      </c>
      <c r="I141" s="4">
        <v>1.4759636299435019</v>
      </c>
      <c r="J141" s="3">
        <v>17.088500000000071</v>
      </c>
      <c r="K141" s="3">
        <v>-20.528804347826213</v>
      </c>
      <c r="L141" s="4">
        <v>-0.16016729126343943</v>
      </c>
      <c r="M141" s="4">
        <v>-0.16990584653340293</v>
      </c>
      <c r="N141" s="4">
        <f t="shared" si="48"/>
        <v>-9.3728116138595413E-3</v>
      </c>
      <c r="O141" s="4">
        <f t="shared" si="47"/>
        <v>8.276460901211433E-3</v>
      </c>
      <c r="P141" s="7">
        <v>479.49646385509868</v>
      </c>
      <c r="Q141" s="7">
        <v>-488.61356403102741</v>
      </c>
      <c r="R141" s="7">
        <v>-9.1171001759287265</v>
      </c>
      <c r="S141" s="4">
        <f t="shared" si="56"/>
        <v>0.98134087784892154</v>
      </c>
      <c r="T141" s="3">
        <v>2.9609999999999999</v>
      </c>
      <c r="U141" s="3">
        <v>27.357291666666672</v>
      </c>
      <c r="V141" s="7">
        <v>557.58199999999988</v>
      </c>
      <c r="W141">
        <v>48</v>
      </c>
      <c r="X141" s="21">
        <f t="shared" si="51"/>
        <v>448.18590956950442</v>
      </c>
      <c r="Y141" s="21">
        <f t="shared" si="52"/>
        <v>-398.03876913216743</v>
      </c>
      <c r="Z141" s="21">
        <f t="shared" si="53"/>
        <v>50.147140437337058</v>
      </c>
      <c r="AA141" s="224">
        <f t="shared" si="54"/>
        <v>398.03876913216743</v>
      </c>
      <c r="AB141" s="199">
        <f t="shared" si="55"/>
        <v>1.1259855680557735</v>
      </c>
      <c r="AD141" s="13">
        <f t="shared" si="49"/>
        <v>48.247841907989631</v>
      </c>
      <c r="AE141" s="3">
        <f t="shared" si="50"/>
        <v>12.93641747881356</v>
      </c>
      <c r="AG141" s="334">
        <v>41514</v>
      </c>
      <c r="AH141" s="349">
        <v>3.3358539999999999</v>
      </c>
      <c r="AI141" s="349">
        <v>4.7750000000000004</v>
      </c>
      <c r="AK141" s="226">
        <v>139</v>
      </c>
      <c r="AL141" s="228">
        <v>139</v>
      </c>
      <c r="AM141" s="225">
        <v>2.8144369999999999</v>
      </c>
      <c r="AN141" s="225">
        <v>4.7750000000000004</v>
      </c>
      <c r="AQ141" s="245">
        <v>430.86131030000001</v>
      </c>
      <c r="AR141" s="245">
        <v>-430.19478400000003</v>
      </c>
      <c r="AS141" s="244">
        <f t="shared" si="44"/>
        <v>448.9126584857143</v>
      </c>
      <c r="AT141" s="244">
        <f t="shared" si="45"/>
        <v>400.05238985714288</v>
      </c>
    </row>
    <row r="142" spans="1:46" ht="13.8" thickBot="1">
      <c r="A142" s="2">
        <v>41515</v>
      </c>
      <c r="B142" s="3">
        <v>29.020922994924305</v>
      </c>
      <c r="C142" s="3">
        <v>12.722496715753808</v>
      </c>
      <c r="D142" s="3">
        <v>5.4648089630826844</v>
      </c>
      <c r="E142" s="7">
        <v>268.73665479277986</v>
      </c>
      <c r="F142" s="4">
        <v>1.2009387492547494</v>
      </c>
      <c r="G142" s="4">
        <v>4.4546994158943534</v>
      </c>
      <c r="H142" s="3">
        <v>56.347956672511202</v>
      </c>
      <c r="I142" s="4">
        <v>1.5536403382524835</v>
      </c>
      <c r="J142" s="3">
        <v>22.721500000000123</v>
      </c>
      <c r="K142" s="3">
        <v>-30.002717391304358</v>
      </c>
      <c r="L142" s="4">
        <v>-0.26785550154840421</v>
      </c>
      <c r="M142" s="4">
        <v>-0.42259293868328801</v>
      </c>
      <c r="N142" s="4">
        <f t="shared" si="48"/>
        <v>-1.1788636381770691E-2</v>
      </c>
      <c r="O142" s="4">
        <f t="shared" si="47"/>
        <v>1.4085155460144003E-2</v>
      </c>
      <c r="P142" s="7">
        <v>670.2608694156703</v>
      </c>
      <c r="Q142" s="7">
        <v>-709.92298686290565</v>
      </c>
      <c r="R142" s="7">
        <v>-39.662117447235346</v>
      </c>
      <c r="S142" s="4">
        <f t="shared" si="56"/>
        <v>0.94413180277131303</v>
      </c>
      <c r="T142" s="3">
        <v>3.9991979166666685</v>
      </c>
      <c r="U142" s="3">
        <v>28.103958333333335</v>
      </c>
      <c r="V142" s="7">
        <v>541.61799999999994</v>
      </c>
      <c r="W142">
        <v>48</v>
      </c>
      <c r="X142" s="21">
        <f t="shared" si="51"/>
        <v>448.17006236414142</v>
      </c>
      <c r="Y142" s="21">
        <f t="shared" si="52"/>
        <v>-418.51176840956958</v>
      </c>
      <c r="Z142" s="21">
        <f t="shared" si="53"/>
        <v>29.658293954571885</v>
      </c>
      <c r="AA142" s="224">
        <f t="shared" si="54"/>
        <v>418.51176840956958</v>
      </c>
      <c r="AB142" s="199">
        <f t="shared" si="55"/>
        <v>1.0708660931263161</v>
      </c>
      <c r="AD142" s="13">
        <f t="shared" si="49"/>
        <v>48.484501270482873</v>
      </c>
      <c r="AE142" s="3">
        <f t="shared" si="50"/>
        <v>17.751617313114025</v>
      </c>
      <c r="AG142" s="334">
        <v>41515</v>
      </c>
      <c r="AH142" s="349">
        <v>3.3749790000000002</v>
      </c>
      <c r="AI142" s="349">
        <v>6.4779999999999998</v>
      </c>
      <c r="AK142" s="226">
        <v>140</v>
      </c>
      <c r="AL142" s="229">
        <v>140</v>
      </c>
      <c r="AM142" s="227">
        <v>4.4543330000000001</v>
      </c>
      <c r="AN142" s="227">
        <v>6.4779999999999998</v>
      </c>
      <c r="AQ142" s="246">
        <v>557.05148810000003</v>
      </c>
      <c r="AR142" s="246">
        <v>-572.37641900000006</v>
      </c>
      <c r="AS142" s="244">
        <f t="shared" si="44"/>
        <v>458.56545881428571</v>
      </c>
      <c r="AT142" s="244">
        <f t="shared" si="45"/>
        <v>429.43587785714283</v>
      </c>
    </row>
    <row r="143" spans="1:46" ht="13.8" thickBot="1">
      <c r="A143" s="2">
        <v>41516</v>
      </c>
      <c r="B143" s="3">
        <v>28.847406763178981</v>
      </c>
      <c r="C143" s="3">
        <v>14.161144724864071</v>
      </c>
      <c r="D143" s="3">
        <v>6.5906056416801029</v>
      </c>
      <c r="E143" s="7">
        <v>256.02868050067076</v>
      </c>
      <c r="F143" s="4">
        <v>1.1493802319139625</v>
      </c>
      <c r="G143" s="4">
        <v>6.2624742782884377</v>
      </c>
      <c r="H143" s="3">
        <v>53.683262562651656</v>
      </c>
      <c r="I143" s="4">
        <v>1.5886055258532139</v>
      </c>
      <c r="J143" s="3">
        <v>14.272749999999975</v>
      </c>
      <c r="K143" s="3">
        <v>-26.552717391304444</v>
      </c>
      <c r="L143" s="4">
        <v>-0.51018414849818361</v>
      </c>
      <c r="M143" s="4">
        <v>-0.23473324679380789</v>
      </c>
      <c r="N143" s="4">
        <f t="shared" si="48"/>
        <v>-3.5745329281195601E-2</v>
      </c>
      <c r="O143" s="4">
        <f t="shared" si="47"/>
        <v>8.8402721022699908E-3</v>
      </c>
      <c r="P143" s="7">
        <v>520.61163171144472</v>
      </c>
      <c r="Q143" s="7">
        <v>-631.63161946825539</v>
      </c>
      <c r="R143" s="7">
        <v>-111.01998775681068</v>
      </c>
      <c r="S143" s="4">
        <f t="shared" si="56"/>
        <v>0.82423301124431703</v>
      </c>
      <c r="T143" s="3">
        <v>4.7580937499999996</v>
      </c>
      <c r="U143" s="3">
        <v>28.472916666666666</v>
      </c>
      <c r="V143" s="7">
        <v>476.03800000000001</v>
      </c>
      <c r="W143">
        <v>48</v>
      </c>
      <c r="X143" s="21">
        <f t="shared" si="51"/>
        <v>480.99736996015497</v>
      </c>
      <c r="Y143" s="21">
        <f t="shared" si="52"/>
        <v>-463.8519663688453</v>
      </c>
      <c r="Z143" s="21">
        <f t="shared" si="53"/>
        <v>17.145403591309726</v>
      </c>
      <c r="AA143" s="224">
        <f t="shared" si="54"/>
        <v>463.8519663688453</v>
      </c>
      <c r="AB143" s="199">
        <f t="shared" si="55"/>
        <v>1.0369630934746885</v>
      </c>
      <c r="AD143" s="13">
        <f t="shared" si="49"/>
        <v>46.165948836708111</v>
      </c>
      <c r="AE143" s="3">
        <f t="shared" si="50"/>
        <v>26.067381680126815</v>
      </c>
      <c r="AG143" s="334">
        <v>41516</v>
      </c>
      <c r="AH143" s="349">
        <v>4.9439580000000003</v>
      </c>
      <c r="AI143" s="349">
        <v>8.4979999999999993</v>
      </c>
      <c r="AK143" s="226">
        <v>141</v>
      </c>
      <c r="AL143" s="228">
        <v>141</v>
      </c>
      <c r="AM143" s="225">
        <v>4.6963749999999997</v>
      </c>
      <c r="AN143" s="225">
        <v>9.3829999999999991</v>
      </c>
      <c r="AQ143" s="245">
        <v>566.71744950000004</v>
      </c>
      <c r="AR143" s="245">
        <v>-700.58288800000003</v>
      </c>
      <c r="AS143" s="244">
        <f t="shared" si="44"/>
        <v>507.54942664285721</v>
      </c>
      <c r="AT143" s="244">
        <f t="shared" si="45"/>
        <v>486.51606828571431</v>
      </c>
    </row>
    <row r="144" spans="1:46" ht="13.8" thickBot="1">
      <c r="A144" s="2">
        <v>41517</v>
      </c>
      <c r="B144" s="3">
        <v>28.690124187853119</v>
      </c>
      <c r="C144" s="3">
        <v>15.583240995762708</v>
      </c>
      <c r="D144" s="3">
        <v>7.6985018487371306</v>
      </c>
      <c r="E144" s="7">
        <v>243.80540474929376</v>
      </c>
      <c r="F144" s="4">
        <v>1.1000556232427285</v>
      </c>
      <c r="G144" s="4">
        <v>5.5965158898305063</v>
      </c>
      <c r="H144" s="3">
        <v>51.184888594632753</v>
      </c>
      <c r="I144" s="4">
        <v>1.3697517655367244</v>
      </c>
      <c r="J144" s="3">
        <v>19.272500000000083</v>
      </c>
      <c r="K144" s="3">
        <v>-2.1293478260870469</v>
      </c>
      <c r="L144" s="4">
        <v>-0.19794186479229128</v>
      </c>
      <c r="M144" s="4">
        <v>-2.4282409159563936E-2</v>
      </c>
      <c r="N144" s="4">
        <f t="shared" si="48"/>
        <v>-1.0270689572826071E-2</v>
      </c>
      <c r="O144" s="4">
        <f t="shared" si="47"/>
        <v>1.1403683729861089E-2</v>
      </c>
      <c r="P144" s="7">
        <v>273.28975890178492</v>
      </c>
      <c r="Q144" s="7">
        <v>-50.521570006259566</v>
      </c>
      <c r="R144" s="7">
        <v>222.76818889552536</v>
      </c>
      <c r="S144" s="4">
        <f t="shared" si="56"/>
        <v>5.4093678970769243</v>
      </c>
      <c r="T144" s="3">
        <v>3.3914166666666681</v>
      </c>
      <c r="U144" s="3">
        <v>27.560520833333332</v>
      </c>
      <c r="V144" s="7">
        <v>379.38200000000006</v>
      </c>
      <c r="W144">
        <v>48</v>
      </c>
      <c r="X144" s="21">
        <f t="shared" si="51"/>
        <v>494.98755140683943</v>
      </c>
      <c r="Y144" s="21">
        <f t="shared" si="52"/>
        <v>-481.45029293301889</v>
      </c>
      <c r="Z144" s="21">
        <f t="shared" ref="Z144:Z159" si="57">AVERAGE(R141:R147)</f>
        <v>13.537258473820604</v>
      </c>
      <c r="AA144" s="224">
        <f t="shared" si="54"/>
        <v>481.45029293301889</v>
      </c>
      <c r="AB144" s="199">
        <f t="shared" si="55"/>
        <v>1.0281176658785498</v>
      </c>
      <c r="AD144" s="13">
        <f t="shared" si="49"/>
        <v>43.992111688723007</v>
      </c>
      <c r="AE144" s="3">
        <f t="shared" si="50"/>
        <v>23.003973093220324</v>
      </c>
      <c r="AG144" s="334">
        <v>41517</v>
      </c>
      <c r="AH144" s="349">
        <v>4.1982499999999998</v>
      </c>
      <c r="AI144" s="349">
        <v>9.8360000000000003</v>
      </c>
      <c r="AK144" s="226">
        <v>142</v>
      </c>
      <c r="AL144" s="229">
        <v>142</v>
      </c>
      <c r="AM144" s="227">
        <v>3.162417</v>
      </c>
      <c r="AN144" s="227">
        <v>9.8360000000000003</v>
      </c>
      <c r="AQ144" s="246">
        <v>528.52938870000003</v>
      </c>
      <c r="AR144" s="246">
        <v>-296.43647299999998</v>
      </c>
      <c r="AS144" s="244">
        <f t="shared" si="44"/>
        <v>514.7687069857144</v>
      </c>
      <c r="AT144" s="244">
        <f t="shared" si="45"/>
        <v>496.1297824285715</v>
      </c>
    </row>
    <row r="145" spans="1:46" ht="13.8" thickBot="1">
      <c r="A145" s="2">
        <v>41518</v>
      </c>
      <c r="B145" s="3">
        <v>29.459023463983048</v>
      </c>
      <c r="C145" s="3">
        <v>14.492361581920905</v>
      </c>
      <c r="D145" s="3">
        <v>6.6465462296136577</v>
      </c>
      <c r="E145" s="7">
        <v>260.24120542019767</v>
      </c>
      <c r="F145" s="4">
        <v>1.1824131644277829</v>
      </c>
      <c r="G145" s="4">
        <v>5.2194034251412429</v>
      </c>
      <c r="H145" s="3">
        <v>51.755843220338988</v>
      </c>
      <c r="I145" s="4">
        <v>1.1460914548022598</v>
      </c>
      <c r="J145" s="3">
        <v>12.950499999999993</v>
      </c>
      <c r="K145" s="3">
        <v>-18.266847826086963</v>
      </c>
      <c r="L145" s="4">
        <v>-0.41623760318547748</v>
      </c>
      <c r="M145" s="4">
        <v>-0.19736798798475821</v>
      </c>
      <c r="N145" s="4">
        <f t="shared" si="48"/>
        <v>-3.2140658907801066E-2</v>
      </c>
      <c r="O145" s="4">
        <f t="shared" si="47"/>
        <v>1.0804709704916694E-2</v>
      </c>
      <c r="P145" s="7">
        <v>395.57240280286504</v>
      </c>
      <c r="Q145" s="7">
        <v>-433.66751611445289</v>
      </c>
      <c r="R145" s="7">
        <v>-38.095113311587852</v>
      </c>
      <c r="S145" s="4">
        <f t="shared" si="56"/>
        <v>0.91215594459804117</v>
      </c>
      <c r="T145" s="3">
        <v>4.03609375</v>
      </c>
      <c r="U145" s="3">
        <v>28.170208333333331</v>
      </c>
      <c r="V145" s="7">
        <v>431.68</v>
      </c>
      <c r="W145">
        <v>48</v>
      </c>
      <c r="X145" s="21">
        <f t="shared" si="51"/>
        <v>517.04469191041767</v>
      </c>
      <c r="Y145" s="21">
        <f t="shared" si="52"/>
        <v>-484.06781075886238</v>
      </c>
      <c r="Z145" s="21">
        <f t="shared" si="57"/>
        <v>32.976881151555283</v>
      </c>
      <c r="AA145" s="224">
        <f t="shared" si="54"/>
        <v>484.06781075886238</v>
      </c>
      <c r="AB145" s="199">
        <f t="shared" si="55"/>
        <v>1.0681245073905208</v>
      </c>
      <c r="AD145" s="13">
        <f t="shared" si="49"/>
        <v>44.488899756106832</v>
      </c>
      <c r="AE145" s="3">
        <f t="shared" si="50"/>
        <v>21.269255755649716</v>
      </c>
      <c r="AG145" s="334">
        <v>41518</v>
      </c>
      <c r="AH145" s="349">
        <v>2.8919169999999998</v>
      </c>
      <c r="AI145" s="349">
        <v>8.0180000000000007</v>
      </c>
      <c r="AK145" s="226">
        <v>143</v>
      </c>
      <c r="AL145" s="228">
        <v>143</v>
      </c>
      <c r="AM145" s="225">
        <v>4.4498749999999996</v>
      </c>
      <c r="AN145" s="225">
        <v>8.0180000000000007</v>
      </c>
      <c r="AQ145" s="245">
        <v>388.00136989999999</v>
      </c>
      <c r="AR145" s="245">
        <v>-428.097263</v>
      </c>
      <c r="AS145" s="244">
        <f t="shared" si="44"/>
        <v>542.95369148571433</v>
      </c>
      <c r="AT145" s="244">
        <f t="shared" si="45"/>
        <v>501.42873057142862</v>
      </c>
    </row>
    <row r="146" spans="1:46" ht="13.8" thickBot="1">
      <c r="A146" s="2">
        <v>41519</v>
      </c>
      <c r="B146" s="3">
        <v>29.394489383817227</v>
      </c>
      <c r="C146" s="3">
        <v>14.711511148123401</v>
      </c>
      <c r="D146" s="3">
        <v>6.8303642570790108</v>
      </c>
      <c r="E146" s="7">
        <v>263.75624212392876</v>
      </c>
      <c r="F146" s="4">
        <v>1.1987462867511243</v>
      </c>
      <c r="G146" s="4">
        <v>7.0471941772370252</v>
      </c>
      <c r="H146" s="3">
        <v>50.28106369501257</v>
      </c>
      <c r="I146" s="4">
        <v>1.2186720906888153</v>
      </c>
      <c r="J146" s="3">
        <v>23.599250000000108</v>
      </c>
      <c r="K146" s="3">
        <v>-25.841032608695656</v>
      </c>
      <c r="L146" s="4">
        <v>-0.46426290873294496</v>
      </c>
      <c r="M146" s="4">
        <v>-0.119951193657426</v>
      </c>
      <c r="N146" s="4">
        <f t="shared" si="48"/>
        <v>-1.9672782344055121E-2</v>
      </c>
      <c r="O146" s="4">
        <f t="shared" si="47"/>
        <v>4.6418885604850692E-3</v>
      </c>
      <c r="P146" s="7">
        <v>626.45614524078098</v>
      </c>
      <c r="Q146" s="7">
        <v>-617.30595396091758</v>
      </c>
      <c r="R146" s="7">
        <v>9.1501912798634066</v>
      </c>
      <c r="S146" s="4">
        <f t="shared" si="56"/>
        <v>1.0148227815091553</v>
      </c>
      <c r="T146" s="3">
        <v>3.8176562500000002</v>
      </c>
      <c r="U146" s="3">
        <v>27.933020833333334</v>
      </c>
      <c r="V146" s="7">
        <v>368.19400000000002</v>
      </c>
      <c r="W146">
        <v>48</v>
      </c>
      <c r="X146" s="21">
        <f t="shared" si="51"/>
        <v>490.86953053922343</v>
      </c>
      <c r="Y146" s="21">
        <f t="shared" si="52"/>
        <v>-444.19003093625003</v>
      </c>
      <c r="Z146" s="21">
        <f t="shared" si="57"/>
        <v>46.679499602973451</v>
      </c>
      <c r="AA146" s="224">
        <f t="shared" si="54"/>
        <v>444.19003093625003</v>
      </c>
      <c r="AB146" s="199">
        <f t="shared" si="55"/>
        <v>1.1050890302616287</v>
      </c>
      <c r="AD146" s="13">
        <f t="shared" si="49"/>
        <v>43.205692935078126</v>
      </c>
      <c r="AE146" s="3">
        <f t="shared" si="50"/>
        <v>29.677093215290313</v>
      </c>
      <c r="AG146" s="334">
        <v>41519</v>
      </c>
      <c r="AH146" s="349">
        <v>4.0958540000000001</v>
      </c>
      <c r="AI146" s="349">
        <v>7.1180000000000003</v>
      </c>
      <c r="AK146" s="226">
        <v>144</v>
      </c>
      <c r="AL146" s="229">
        <v>144</v>
      </c>
      <c r="AM146" s="227">
        <v>3.4828329999999998</v>
      </c>
      <c r="AN146" s="227">
        <v>7.1180000000000003</v>
      </c>
      <c r="AQ146" s="246">
        <v>698.44949910000003</v>
      </c>
      <c r="AR146" s="246">
        <v>-674.61863500000004</v>
      </c>
      <c r="AS146" s="244">
        <f t="shared" si="44"/>
        <v>523.52158418571435</v>
      </c>
      <c r="AT146" s="244">
        <f t="shared" si="45"/>
        <v>478.19255157142862</v>
      </c>
    </row>
    <row r="147" spans="1:46" ht="13.8" thickBot="1">
      <c r="A147" s="2">
        <v>41520</v>
      </c>
      <c r="B147" s="3">
        <v>29.420035372528247</v>
      </c>
      <c r="C147" s="3">
        <v>14.552164228019061</v>
      </c>
      <c r="D147" s="3">
        <v>6.7039475345248691</v>
      </c>
      <c r="E147" s="7">
        <v>261.2212672691561</v>
      </c>
      <c r="F147" s="4">
        <v>1.1863024171634338</v>
      </c>
      <c r="G147" s="4">
        <v>7.1906693811793732</v>
      </c>
      <c r="H147" s="3">
        <v>49.644537109374987</v>
      </c>
      <c r="I147" s="4">
        <v>1.1680361052259884</v>
      </c>
      <c r="J147" s="3">
        <v>21.182749999999899</v>
      </c>
      <c r="K147" s="3">
        <v>-18.346467391304255</v>
      </c>
      <c r="L147" s="4">
        <v>-0.22043831894163077</v>
      </c>
      <c r="M147" s="4">
        <v>-7.6099054332850524E-2</v>
      </c>
      <c r="N147" s="4">
        <f t="shared" si="48"/>
        <v>-1.0406501466600503E-2</v>
      </c>
      <c r="O147" s="4">
        <f t="shared" si="47"/>
        <v>4.1478859504538446E-3</v>
      </c>
      <c r="P147" s="7">
        <v>499.2255879202317</v>
      </c>
      <c r="Q147" s="7">
        <v>-438.48884008731363</v>
      </c>
      <c r="R147" s="7">
        <v>60.73674783291807</v>
      </c>
      <c r="S147" s="4">
        <f t="shared" si="56"/>
        <v>1.1385137825191263</v>
      </c>
      <c r="T147" s="3">
        <v>2.8488125000000006</v>
      </c>
      <c r="U147" s="3">
        <v>27.125520833333326</v>
      </c>
      <c r="V147" s="7">
        <v>313.34799999999996</v>
      </c>
      <c r="W147">
        <v>48</v>
      </c>
      <c r="X147" s="21">
        <f t="shared" si="51"/>
        <v>465.74519929196418</v>
      </c>
      <c r="Y147" s="21">
        <f t="shared" si="52"/>
        <v>-400.02971900846944</v>
      </c>
      <c r="Z147" s="21">
        <f t="shared" si="57"/>
        <v>65.715480283494827</v>
      </c>
      <c r="AA147" s="224">
        <f t="shared" si="54"/>
        <v>400.02971900846944</v>
      </c>
      <c r="AB147" s="199">
        <f t="shared" si="55"/>
        <v>1.1642764953723437</v>
      </c>
      <c r="AD147" s="13">
        <f t="shared" si="49"/>
        <v>42.651850653957858</v>
      </c>
      <c r="AE147" s="3">
        <f t="shared" si="50"/>
        <v>30.337079153425115</v>
      </c>
      <c r="AG147" s="334">
        <v>41520</v>
      </c>
      <c r="AH147" s="349">
        <v>3.3008540000000002</v>
      </c>
      <c r="AI147" s="349">
        <v>5.8310000000000004</v>
      </c>
      <c r="AK147" s="226">
        <v>145</v>
      </c>
      <c r="AL147" s="228">
        <v>145</v>
      </c>
      <c r="AM147" s="225">
        <v>2.5571459999999999</v>
      </c>
      <c r="AN147" s="225">
        <v>5.7489999999999997</v>
      </c>
      <c r="AQ147" s="245">
        <v>433.77044330000001</v>
      </c>
      <c r="AR147" s="245">
        <v>-370.60201499999999</v>
      </c>
      <c r="AS147" s="244">
        <f t="shared" si="44"/>
        <v>494.12599658571429</v>
      </c>
      <c r="AT147" s="244">
        <f t="shared" si="45"/>
        <v>424.37650057142861</v>
      </c>
    </row>
    <row r="148" spans="1:46" ht="13.8" thickBot="1">
      <c r="A148" s="2">
        <v>41521</v>
      </c>
      <c r="B148" s="3">
        <v>30.002858598386368</v>
      </c>
      <c r="C148" s="3">
        <v>13.922814261358992</v>
      </c>
      <c r="D148" s="3">
        <v>6.0508035771941771</v>
      </c>
      <c r="E148" s="7">
        <v>281.84815251730055</v>
      </c>
      <c r="F148" s="4">
        <v>1.2888765998649798</v>
      </c>
      <c r="G148" s="4">
        <v>7.1719548037682799</v>
      </c>
      <c r="H148" s="3">
        <v>48.897638114214914</v>
      </c>
      <c r="I148" s="4">
        <v>1.3159648140231233</v>
      </c>
      <c r="J148" s="3">
        <v>29.05448863636369</v>
      </c>
      <c r="K148" s="3">
        <v>-21.281237648221364</v>
      </c>
      <c r="L148" s="4">
        <v>-0.19904677613149846</v>
      </c>
      <c r="M148" s="4">
        <v>-0.15889644772419603</v>
      </c>
      <c r="N148" s="4">
        <f t="shared" si="48"/>
        <v>-6.850809822286039E-3</v>
      </c>
      <c r="O148" s="4">
        <f t="shared" si="47"/>
        <v>7.4665040798262139E-3</v>
      </c>
      <c r="P148" s="7">
        <v>633.89644738014601</v>
      </c>
      <c r="Q148" s="7">
        <v>-506.93618881193197</v>
      </c>
      <c r="R148" s="7">
        <v>126.96025856821404</v>
      </c>
      <c r="S148" s="4">
        <f t="shared" si="56"/>
        <v>1.2504462324257442</v>
      </c>
      <c r="T148" s="3">
        <v>2.2637187499999993</v>
      </c>
      <c r="U148" s="3">
        <v>28.750624999999999</v>
      </c>
      <c r="V148" s="7">
        <v>509.60200000000003</v>
      </c>
      <c r="W148">
        <v>48</v>
      </c>
      <c r="X148" s="21">
        <f t="shared" si="51"/>
        <v>473.69545286337274</v>
      </c>
      <c r="Y148" s="21">
        <f t="shared" si="52"/>
        <v>-444.96950430095637</v>
      </c>
      <c r="Z148" s="21">
        <f t="shared" si="57"/>
        <v>28.725948562416381</v>
      </c>
      <c r="AA148" s="224">
        <f t="shared" si="54"/>
        <v>444.96950430095637</v>
      </c>
      <c r="AB148" s="199">
        <f t="shared" si="55"/>
        <v>1.0645571174760495</v>
      </c>
      <c r="AD148" s="13">
        <f t="shared" si="49"/>
        <v>42.001973252793938</v>
      </c>
      <c r="AE148" s="3">
        <f t="shared" si="50"/>
        <v>30.250992097334084</v>
      </c>
      <c r="AG148" s="334">
        <v>41521</v>
      </c>
      <c r="AH148" s="349">
        <v>2.4898539999999998</v>
      </c>
      <c r="AI148" s="349">
        <v>4.1909999999999998</v>
      </c>
      <c r="AK148" s="226">
        <v>146</v>
      </c>
      <c r="AL148" s="229">
        <v>146</v>
      </c>
      <c r="AM148" s="227">
        <v>2.3180619999999998</v>
      </c>
      <c r="AN148" s="227">
        <v>3.677</v>
      </c>
      <c r="AQ148" s="246">
        <v>628.15620179999996</v>
      </c>
      <c r="AR148" s="246">
        <v>-467.28742099999999</v>
      </c>
      <c r="AS148" s="244">
        <f t="shared" si="44"/>
        <v>466.47651710000002</v>
      </c>
      <c r="AT148" s="244">
        <f t="shared" si="45"/>
        <v>433.31265157142849</v>
      </c>
    </row>
    <row r="149" spans="1:46" ht="13.8" thickBot="1">
      <c r="A149" s="2">
        <v>41522</v>
      </c>
      <c r="B149" s="3">
        <v>30.748704933238944</v>
      </c>
      <c r="C149" s="3">
        <v>14.36386919317272</v>
      </c>
      <c r="D149" s="3">
        <v>6.1391172646918593</v>
      </c>
      <c r="E149" s="7">
        <v>291.73639587459343</v>
      </c>
      <c r="F149" s="4">
        <v>1.3534177141502226</v>
      </c>
      <c r="G149" s="4">
        <v>4.8475489618292658</v>
      </c>
      <c r="H149" s="3">
        <v>45.296055755618418</v>
      </c>
      <c r="I149" s="4">
        <v>0.98800931105068823</v>
      </c>
      <c r="J149" s="3">
        <v>20.531870689655289</v>
      </c>
      <c r="K149" s="3">
        <v>-18.176761619190639</v>
      </c>
      <c r="L149" s="4">
        <v>-0.22377150780325036</v>
      </c>
      <c r="M149" s="4">
        <v>-0.22765628149817424</v>
      </c>
      <c r="N149" s="4">
        <f t="shared" si="48"/>
        <v>-1.0898739388417962E-2</v>
      </c>
      <c r="O149" s="4">
        <f t="shared" si="47"/>
        <v>1.2524578704812829E-2</v>
      </c>
      <c r="P149" s="7">
        <v>487.03473981731088</v>
      </c>
      <c r="Q149" s="7">
        <v>-430.77852810461911</v>
      </c>
      <c r="R149" s="7">
        <v>56.256211712691766</v>
      </c>
      <c r="S149" s="4">
        <f t="shared" si="56"/>
        <v>1.1305919586108744</v>
      </c>
      <c r="T149" s="3">
        <v>2.4519791666666664</v>
      </c>
      <c r="U149" s="3">
        <v>28.795416666666664</v>
      </c>
      <c r="V149" s="7">
        <v>539.54</v>
      </c>
      <c r="W149">
        <v>48</v>
      </c>
      <c r="X149" s="21">
        <f t="shared" si="51"/>
        <v>481.45499716426446</v>
      </c>
      <c r="Y149" s="21">
        <f t="shared" si="52"/>
        <v>-463.80569438714127</v>
      </c>
      <c r="Z149" s="21">
        <f t="shared" si="57"/>
        <v>17.649302777123182</v>
      </c>
      <c r="AA149" s="224">
        <f t="shared" si="54"/>
        <v>463.80569438714127</v>
      </c>
      <c r="AB149" s="199">
        <f t="shared" si="55"/>
        <v>1.0380532257165243</v>
      </c>
      <c r="AD149" s="13">
        <f t="shared" si="49"/>
        <v>38.868233619390274</v>
      </c>
      <c r="AE149" s="3">
        <f t="shared" si="50"/>
        <v>19.558725224414623</v>
      </c>
      <c r="AG149" s="334">
        <v>41522</v>
      </c>
      <c r="AH149" s="349">
        <v>2.2183959999999998</v>
      </c>
      <c r="AI149" s="349">
        <v>3.867</v>
      </c>
      <c r="AK149" s="226">
        <v>147</v>
      </c>
      <c r="AL149" s="228">
        <v>147</v>
      </c>
      <c r="AM149" s="225">
        <v>2.7243330000000001</v>
      </c>
      <c r="AN149" s="225">
        <v>4.6529999999999996</v>
      </c>
      <c r="AQ149" s="245">
        <v>421.02673700000003</v>
      </c>
      <c r="AR149" s="245">
        <v>-409.72316599999999</v>
      </c>
      <c r="AS149" s="244">
        <f t="shared" si="44"/>
        <v>484.44461422857148</v>
      </c>
      <c r="AT149" s="244">
        <f t="shared" si="45"/>
        <v>460.68829814285709</v>
      </c>
    </row>
    <row r="150" spans="1:46" ht="13.8" thickBot="1">
      <c r="A150" s="2">
        <v>41523</v>
      </c>
      <c r="B150" s="3">
        <v>30.648181216133768</v>
      </c>
      <c r="C150" s="3">
        <v>14.036687239221726</v>
      </c>
      <c r="D150" s="3">
        <v>5.9296329458886925</v>
      </c>
      <c r="E150" s="7">
        <v>290.21450333906415</v>
      </c>
      <c r="F150" s="4">
        <v>1.3413986255093429</v>
      </c>
      <c r="G150" s="4">
        <v>4.8509199305176676</v>
      </c>
      <c r="H150" s="3">
        <v>45.321012094055341</v>
      </c>
      <c r="I150" s="4">
        <v>1.1685227200621444</v>
      </c>
      <c r="J150" s="3">
        <v>13.932265306122515</v>
      </c>
      <c r="K150" s="3">
        <v>-13.70083185448099</v>
      </c>
      <c r="L150" s="4">
        <v>-0.20914656675393922</v>
      </c>
      <c r="M150" s="4">
        <v>-0.26293868890635774</v>
      </c>
      <c r="N150" s="4">
        <f t="shared" si="48"/>
        <v>-1.5011669829602659E-2</v>
      </c>
      <c r="O150" s="4">
        <f t="shared" si="47"/>
        <v>1.9191439738774772E-2</v>
      </c>
      <c r="P150" s="7">
        <v>344.7413129806302</v>
      </c>
      <c r="Q150" s="7">
        <v>-322.50943597379126</v>
      </c>
      <c r="R150" s="7">
        <v>22.231877006838943</v>
      </c>
      <c r="S150" s="4">
        <f t="shared" si="56"/>
        <v>1.0689340358049109</v>
      </c>
      <c r="T150" s="3">
        <v>2.6809687499999999</v>
      </c>
      <c r="U150" s="3">
        <v>29.16729166666666</v>
      </c>
      <c r="V150" s="7">
        <v>498.16</v>
      </c>
      <c r="W150">
        <v>48</v>
      </c>
      <c r="X150" s="21">
        <f t="shared" si="51"/>
        <v>496.0531360605425</v>
      </c>
      <c r="Y150" s="21">
        <f t="shared" si="52"/>
        <v>-470.77904777382281</v>
      </c>
      <c r="Z150" s="21">
        <f t="shared" si="57"/>
        <v>25.27408828671965</v>
      </c>
      <c r="AA150" s="224">
        <f t="shared" si="54"/>
        <v>470.77904777382281</v>
      </c>
      <c r="AB150" s="199">
        <f t="shared" si="55"/>
        <v>1.0536856693309389</v>
      </c>
      <c r="AD150" s="13">
        <f t="shared" si="49"/>
        <v>38.889948149026878</v>
      </c>
      <c r="AE150" s="3">
        <f t="shared" si="50"/>
        <v>19.574231680381267</v>
      </c>
      <c r="AG150" s="334">
        <v>41523</v>
      </c>
      <c r="AH150" s="349">
        <v>2.5474380000000001</v>
      </c>
      <c r="AI150" s="349">
        <v>4.6529999999999996</v>
      </c>
      <c r="AK150" s="226">
        <v>148</v>
      </c>
      <c r="AL150" s="229">
        <v>148</v>
      </c>
      <c r="AM150" s="227">
        <v>2.6847080000000001</v>
      </c>
      <c r="AN150" s="227">
        <v>4.3710000000000004</v>
      </c>
      <c r="AQ150" s="246">
        <v>360.94833629999999</v>
      </c>
      <c r="AR150" s="246">
        <v>-323.87053100000003</v>
      </c>
      <c r="AS150" s="244">
        <f t="shared" si="44"/>
        <v>482.6935134142858</v>
      </c>
      <c r="AT150" s="244">
        <f t="shared" si="45"/>
        <v>452.36755228571428</v>
      </c>
    </row>
    <row r="151" spans="1:46" ht="13.8" thickBot="1">
      <c r="A151" s="2">
        <v>41524</v>
      </c>
      <c r="B151" s="3">
        <v>30.329195710298208</v>
      </c>
      <c r="C151" s="3">
        <v>13.951794835527659</v>
      </c>
      <c r="D151" s="3">
        <v>5.9692458839761846</v>
      </c>
      <c r="E151" s="7">
        <v>287.23470070472456</v>
      </c>
      <c r="F151" s="4">
        <v>1.3201350453400555</v>
      </c>
      <c r="G151" s="4">
        <v>5.3485672393331072</v>
      </c>
      <c r="H151" s="3">
        <v>45.1844152241637</v>
      </c>
      <c r="I151" s="4">
        <v>1.2688857461476351</v>
      </c>
      <c r="J151" s="3">
        <v>10.896361607142873</v>
      </c>
      <c r="K151" s="3">
        <v>-15.302023486024767</v>
      </c>
      <c r="L151" s="4">
        <v>-0.20645831108649829</v>
      </c>
      <c r="M151" s="4">
        <v>-8.9520692121914672E-2</v>
      </c>
      <c r="N151" s="4">
        <f t="shared" si="48"/>
        <v>-1.8947454070463211E-2</v>
      </c>
      <c r="O151" s="4">
        <f t="shared" si="47"/>
        <v>5.8502519097342453E-3</v>
      </c>
      <c r="P151" s="7">
        <v>328.94153390164468</v>
      </c>
      <c r="Q151" s="7">
        <v>-365.1000670536684</v>
      </c>
      <c r="R151" s="7">
        <v>-36.158533152023722</v>
      </c>
      <c r="S151" s="4">
        <f t="shared" si="56"/>
        <v>0.9009626773179733</v>
      </c>
      <c r="T151" s="3">
        <v>2.0717604166666668</v>
      </c>
      <c r="U151" s="3">
        <v>28.622187499999999</v>
      </c>
      <c r="V151" s="7">
        <v>518.11799999999994</v>
      </c>
      <c r="W151">
        <v>48</v>
      </c>
      <c r="X151" s="21">
        <f t="shared" si="51"/>
        <v>451.94945660144731</v>
      </c>
      <c r="Y151" s="21">
        <f t="shared" si="52"/>
        <v>-466.36044182896711</v>
      </c>
      <c r="Z151" s="21">
        <f t="shared" si="57"/>
        <v>-14.410985227519896</v>
      </c>
      <c r="AA151" s="224">
        <f t="shared" si="54"/>
        <v>466.36044182896711</v>
      </c>
      <c r="AB151" s="199">
        <f t="shared" si="55"/>
        <v>0.96909904028094029</v>
      </c>
      <c r="AD151" s="13">
        <f t="shared" si="49"/>
        <v>38.771095105459338</v>
      </c>
      <c r="AE151" s="3">
        <f t="shared" si="50"/>
        <v>21.86340930093229</v>
      </c>
      <c r="AG151" s="334">
        <v>41524</v>
      </c>
      <c r="AH151" s="349">
        <v>2.4630000000000001</v>
      </c>
      <c r="AI151" s="349">
        <v>4.3710000000000004</v>
      </c>
      <c r="AK151" s="226">
        <v>149</v>
      </c>
      <c r="AL151" s="228">
        <v>149</v>
      </c>
      <c r="AM151" s="225">
        <v>1.8679380000000001</v>
      </c>
      <c r="AN151" s="225">
        <v>3.5329999999999999</v>
      </c>
      <c r="AQ151" s="245">
        <v>334.98303229999999</v>
      </c>
      <c r="AR151" s="245">
        <v>-358.98953</v>
      </c>
      <c r="AS151" s="244">
        <f t="shared" si="44"/>
        <v>448.85066080000013</v>
      </c>
      <c r="AT151" s="244">
        <f t="shared" si="45"/>
        <v>460.19474471428578</v>
      </c>
    </row>
    <row r="152" spans="1:46" ht="13.8" thickBot="1">
      <c r="A152" s="2">
        <v>41525</v>
      </c>
      <c r="B152" s="3">
        <v>30.597447587364044</v>
      </c>
      <c r="C152" s="3">
        <v>13.441266178401451</v>
      </c>
      <c r="D152" s="3">
        <v>5.5036674028584853</v>
      </c>
      <c r="E152" s="7">
        <v>279.50239265567785</v>
      </c>
      <c r="F152" s="4">
        <v>1.2869241336338142</v>
      </c>
      <c r="G152" s="4">
        <v>6.9253944167984125</v>
      </c>
      <c r="H152" s="3">
        <v>44.813593492440646</v>
      </c>
      <c r="I152" s="4">
        <v>1.5643903069554366</v>
      </c>
      <c r="J152" s="3">
        <v>12.514098214285751</v>
      </c>
      <c r="K152" s="3">
        <v>-23.760161102484506</v>
      </c>
      <c r="L152" s="4">
        <v>-0.15522146045787324</v>
      </c>
      <c r="M152" s="4">
        <v>-0.19679248924504764</v>
      </c>
      <c r="N152" s="4">
        <f t="shared" si="48"/>
        <v>-1.2403727204304398E-2</v>
      </c>
      <c r="O152" s="4">
        <f t="shared" si="47"/>
        <v>8.2824560151854281E-3</v>
      </c>
      <c r="P152" s="7">
        <v>449.88921290910673</v>
      </c>
      <c r="Q152" s="7">
        <v>-565.52084671774696</v>
      </c>
      <c r="R152" s="7">
        <v>-115.63163380864023</v>
      </c>
      <c r="S152" s="4">
        <f t="shared" si="56"/>
        <v>0.79553073157292065</v>
      </c>
      <c r="T152" s="3">
        <v>2.3903333333333334</v>
      </c>
      <c r="U152" s="3">
        <v>28.971041666666661</v>
      </c>
      <c r="V152" s="7">
        <v>531.91</v>
      </c>
      <c r="W152">
        <v>48</v>
      </c>
      <c r="X152" s="21">
        <f t="shared" si="51"/>
        <v>473.30291883779608</v>
      </c>
      <c r="Y152" s="21">
        <f t="shared" si="52"/>
        <v>-508.70811174237605</v>
      </c>
      <c r="Z152" s="21">
        <f t="shared" si="57"/>
        <v>-35.405192904579998</v>
      </c>
      <c r="AA152" s="224">
        <f t="shared" si="54"/>
        <v>508.70811174237605</v>
      </c>
      <c r="AB152" s="199">
        <f t="shared" si="55"/>
        <v>0.93040175281791038</v>
      </c>
      <c r="AD152" s="13">
        <f t="shared" si="49"/>
        <v>38.448442826009391</v>
      </c>
      <c r="AE152" s="3">
        <f t="shared" si="50"/>
        <v>29.116814317272691</v>
      </c>
      <c r="AG152" s="334">
        <v>41525</v>
      </c>
      <c r="AH152" s="349">
        <v>2.283229</v>
      </c>
      <c r="AI152" s="349">
        <v>3.7759999999999998</v>
      </c>
      <c r="AK152" s="226">
        <v>150</v>
      </c>
      <c r="AL152" s="229">
        <v>150</v>
      </c>
      <c r="AM152" s="227">
        <v>2.7142040000000001</v>
      </c>
      <c r="AN152" s="227">
        <v>5.3730000000000002</v>
      </c>
      <c r="AQ152" s="246">
        <v>513.77804979999996</v>
      </c>
      <c r="AR152" s="246">
        <v>-619.72678900000005</v>
      </c>
      <c r="AS152" s="244">
        <f t="shared" si="44"/>
        <v>429.05423827142857</v>
      </c>
      <c r="AT152" s="244">
        <f t="shared" si="45"/>
        <v>462.51007714285714</v>
      </c>
    </row>
    <row r="153" spans="1:46" ht="13.8" thickBot="1">
      <c r="A153" s="2">
        <v>41526</v>
      </c>
      <c r="B153" s="3">
        <v>30.27266307038116</v>
      </c>
      <c r="C153" s="3">
        <v>12.746930434703286</v>
      </c>
      <c r="D153" s="3">
        <v>5.0925770902548306</v>
      </c>
      <c r="E153" s="7">
        <v>281.89910710217873</v>
      </c>
      <c r="F153" s="4">
        <v>1.2857651495712246</v>
      </c>
      <c r="G153" s="4">
        <v>6.1265242088784193</v>
      </c>
      <c r="H153" s="3">
        <v>47.546763378482687</v>
      </c>
      <c r="I153" s="4">
        <v>1.5699041844873858</v>
      </c>
      <c r="J153" s="3">
        <v>30.720410714285904</v>
      </c>
      <c r="K153" s="3">
        <v>-27.973815993789032</v>
      </c>
      <c r="L153" s="4">
        <v>-0.20728031529002641</v>
      </c>
      <c r="M153" s="4">
        <v>-0.21883984096867062</v>
      </c>
      <c r="N153" s="4">
        <f t="shared" si="48"/>
        <v>-6.7473158877278585E-3</v>
      </c>
      <c r="O153" s="4">
        <f t="shared" si="47"/>
        <v>7.8230242530107144E-3</v>
      </c>
      <c r="P153" s="7">
        <v>728.64311751472712</v>
      </c>
      <c r="Q153" s="7">
        <v>-666.11942766768846</v>
      </c>
      <c r="R153" s="7">
        <v>62.523689847038668</v>
      </c>
      <c r="S153" s="4">
        <f t="shared" si="56"/>
        <v>1.0938625826692301</v>
      </c>
      <c r="T153" s="3">
        <v>2.7864479166666665</v>
      </c>
      <c r="U153" s="3">
        <v>29.260104166666661</v>
      </c>
      <c r="V153" s="7">
        <v>523.12</v>
      </c>
      <c r="W153">
        <v>48</v>
      </c>
      <c r="X153" s="21">
        <f t="shared" si="51"/>
        <v>449.62072539508165</v>
      </c>
      <c r="Y153" s="21">
        <f t="shared" si="52"/>
        <v>-504.87511737507583</v>
      </c>
      <c r="Z153" s="21">
        <f t="shared" si="57"/>
        <v>-55.254391979994217</v>
      </c>
      <c r="AA153" s="224">
        <f t="shared" si="54"/>
        <v>504.87511737507583</v>
      </c>
      <c r="AB153" s="199">
        <f t="shared" si="55"/>
        <v>0.89055829832282019</v>
      </c>
      <c r="AD153" s="13">
        <f t="shared" si="49"/>
        <v>40.826576086316969</v>
      </c>
      <c r="AE153" s="3">
        <f t="shared" si="50"/>
        <v>25.442011360840723</v>
      </c>
      <c r="AG153" s="334">
        <v>41526</v>
      </c>
      <c r="AH153" s="349">
        <v>2.666042</v>
      </c>
      <c r="AI153" s="349">
        <v>5.3730000000000002</v>
      </c>
      <c r="AK153" s="226">
        <v>151</v>
      </c>
      <c r="AL153" s="228">
        <v>151</v>
      </c>
      <c r="AM153" s="225">
        <v>3.0735420000000002</v>
      </c>
      <c r="AN153" s="225">
        <v>6.3239999999999998</v>
      </c>
      <c r="AQ153" s="245">
        <v>686.19179340000005</v>
      </c>
      <c r="AR153" s="245">
        <v>-616.37341400000003</v>
      </c>
      <c r="AS153" s="244">
        <f t="shared" si="44"/>
        <v>434.75529351428571</v>
      </c>
      <c r="AT153" s="244">
        <f t="shared" si="45"/>
        <v>482.19281128571436</v>
      </c>
    </row>
    <row r="154" spans="1:46" ht="13.8" thickBot="1">
      <c r="A154" s="2">
        <v>41527</v>
      </c>
      <c r="B154" s="3">
        <v>29.960070974576279</v>
      </c>
      <c r="C154" s="3">
        <v>14.871527542372876</v>
      </c>
      <c r="D154" s="3">
        <v>6.7705941287425508</v>
      </c>
      <c r="E154" s="7">
        <v>253.60099973516944</v>
      </c>
      <c r="F154" s="4">
        <v>1.1642836789685862</v>
      </c>
      <c r="G154" s="4">
        <v>7.0501071680790988</v>
      </c>
      <c r="H154" s="3">
        <v>43.192153248587566</v>
      </c>
      <c r="I154" s="4">
        <v>1.5693442796610171</v>
      </c>
      <c r="J154" s="3">
        <v>-1.8845000000000545</v>
      </c>
      <c r="K154" s="3">
        <v>-17.115217391304281</v>
      </c>
      <c r="L154" s="4">
        <v>-0.3488240308104365</v>
      </c>
      <c r="M154" s="4">
        <v>-0.1336091215824631</v>
      </c>
      <c r="N154" s="4">
        <f t="shared" si="48"/>
        <v>0.18510163481582723</v>
      </c>
      <c r="O154" s="4">
        <f t="shared" si="47"/>
        <v>7.8064519151445789E-3</v>
      </c>
      <c r="P154" s="7">
        <v>190.499831706565</v>
      </c>
      <c r="Q154" s="7">
        <v>-407.55859847332374</v>
      </c>
      <c r="R154" s="7">
        <v>-217.05876676675874</v>
      </c>
      <c r="S154" s="4">
        <f t="shared" si="56"/>
        <v>0.46741703504762133</v>
      </c>
      <c r="T154" s="3">
        <v>4.1055937500000006</v>
      </c>
      <c r="U154" s="3">
        <v>28.523020833333334</v>
      </c>
      <c r="V154" s="7">
        <v>510.95</v>
      </c>
      <c r="W154">
        <v>48</v>
      </c>
      <c r="X154" s="21">
        <f t="shared" si="51"/>
        <v>478.24121136590139</v>
      </c>
      <c r="Y154" s="21">
        <f t="shared" si="52"/>
        <v>-563.26449945276261</v>
      </c>
      <c r="Z154" s="21">
        <f t="shared" si="57"/>
        <v>-85.023288086861257</v>
      </c>
      <c r="AA154" s="224">
        <f t="shared" si="54"/>
        <v>563.26449945276261</v>
      </c>
      <c r="AB154" s="199">
        <f t="shared" si="55"/>
        <v>0.84905264193027385</v>
      </c>
      <c r="AD154" s="13">
        <f t="shared" si="49"/>
        <v>37.037626398827037</v>
      </c>
      <c r="AE154" s="3">
        <f t="shared" si="50"/>
        <v>29.690492973163849</v>
      </c>
      <c r="AG154" s="334">
        <v>41527</v>
      </c>
      <c r="AH154" s="349">
        <v>3.4813329999999998</v>
      </c>
      <c r="AI154" s="349">
        <v>6.4710000000000001</v>
      </c>
      <c r="AK154" s="226">
        <v>152</v>
      </c>
      <c r="AL154" s="229">
        <v>152</v>
      </c>
      <c r="AM154" s="227">
        <v>4.2530000000000001</v>
      </c>
      <c r="AN154" s="227">
        <v>6.9429999999999996</v>
      </c>
      <c r="AQ154" s="246">
        <v>196.870475</v>
      </c>
      <c r="AR154" s="246">
        <v>-425.39236199999999</v>
      </c>
      <c r="AS154" s="244">
        <f t="shared" si="44"/>
        <v>452.95854805714282</v>
      </c>
      <c r="AT154" s="244">
        <f t="shared" si="45"/>
        <v>514.57793185714286</v>
      </c>
    </row>
    <row r="155" spans="1:46" ht="13.8" thickBot="1">
      <c r="A155" s="2">
        <v>41528</v>
      </c>
      <c r="B155" s="3">
        <v>29.773425017655367</v>
      </c>
      <c r="C155" s="3">
        <v>15.955174435028242</v>
      </c>
      <c r="D155" s="3">
        <v>7.6358287688286088</v>
      </c>
      <c r="E155" s="7">
        <v>247.12373102048028</v>
      </c>
      <c r="F155" s="4">
        <v>1.1373280649567583</v>
      </c>
      <c r="G155" s="4">
        <v>3.0018667019774004</v>
      </c>
      <c r="H155" s="3">
        <v>41.333298728813553</v>
      </c>
      <c r="I155" s="4">
        <v>1.21672863700565</v>
      </c>
      <c r="J155" s="3">
        <v>29.963500000000025</v>
      </c>
      <c r="K155" s="3">
        <v>-33.585326086956641</v>
      </c>
      <c r="L155" s="4">
        <v>-7.9296942427433167E-2</v>
      </c>
      <c r="M155" s="4">
        <v>-0.11158116171521007</v>
      </c>
      <c r="N155" s="4">
        <f t="shared" si="48"/>
        <v>-2.6464512632847666E-3</v>
      </c>
      <c r="O155" s="4">
        <f t="shared" si="47"/>
        <v>3.3223188432445878E-3</v>
      </c>
      <c r="P155" s="7">
        <v>783.37068303458773</v>
      </c>
      <c r="Q155" s="7">
        <v>-803.36987820579441</v>
      </c>
      <c r="R155" s="7">
        <v>-19.999195171206679</v>
      </c>
      <c r="S155" s="4">
        <f t="shared" si="56"/>
        <v>0.97510586877383076</v>
      </c>
      <c r="T155" s="3">
        <v>3.3443437499999997</v>
      </c>
      <c r="U155" s="3">
        <v>28.492812499999999</v>
      </c>
      <c r="V155" s="7">
        <v>541.01199999999994</v>
      </c>
      <c r="W155">
        <v>48</v>
      </c>
      <c r="X155" s="21">
        <f t="shared" si="51"/>
        <v>493.13019025209906</v>
      </c>
      <c r="Y155" s="21">
        <f t="shared" si="52"/>
        <v>-553.82541740178624</v>
      </c>
      <c r="Z155" s="21">
        <f t="shared" si="57"/>
        <v>-60.695227149687057</v>
      </c>
      <c r="AA155" s="224">
        <f t="shared" si="54"/>
        <v>553.82541740178624</v>
      </c>
      <c r="AB155" s="199">
        <f t="shared" si="55"/>
        <v>0.89040729218526582</v>
      </c>
      <c r="AD155" s="13">
        <f t="shared" si="49"/>
        <v>35.420235624062855</v>
      </c>
      <c r="AE155" s="3">
        <f t="shared" si="50"/>
        <v>11.06858682909604</v>
      </c>
      <c r="AG155" s="334">
        <v>41528</v>
      </c>
      <c r="AH155" s="349">
        <v>3.6297709999999999</v>
      </c>
      <c r="AI155" s="349">
        <v>6.9429999999999996</v>
      </c>
      <c r="AK155" s="226">
        <v>153</v>
      </c>
      <c r="AL155" s="228">
        <v>153</v>
      </c>
      <c r="AM155" s="225">
        <v>2.974583</v>
      </c>
      <c r="AN155" s="225">
        <v>5.7210000000000001</v>
      </c>
      <c r="AQ155" s="248">
        <v>489.58124409999999</v>
      </c>
      <c r="AR155" s="248">
        <v>-483.49474800000002</v>
      </c>
      <c r="AS155" s="244">
        <f t="shared" si="44"/>
        <v>463.16405754285705</v>
      </c>
      <c r="AT155" s="244">
        <f t="shared" si="45"/>
        <v>520.98652728571426</v>
      </c>
    </row>
    <row r="156" spans="1:46">
      <c r="A156" s="2">
        <v>41529</v>
      </c>
      <c r="B156" s="3">
        <v>29.975013418079097</v>
      </c>
      <c r="C156" s="3">
        <v>16.306707097457625</v>
      </c>
      <c r="D156" s="3">
        <v>7.8317872118492318</v>
      </c>
      <c r="E156" s="7">
        <v>235.07361184675133</v>
      </c>
      <c r="F156" s="4">
        <v>1.0885053200857906</v>
      </c>
      <c r="G156" s="4">
        <v>4.3712146892655381</v>
      </c>
      <c r="H156" s="3">
        <v>39.596047316384194</v>
      </c>
      <c r="I156" s="4">
        <v>1.3728407485875707</v>
      </c>
      <c r="J156" s="3">
        <v>9.1429999999999954</v>
      </c>
      <c r="K156" s="3">
        <v>-16.857608695652111</v>
      </c>
      <c r="L156" s="4">
        <v>-7.3909654254536064E-2</v>
      </c>
      <c r="M156" s="4">
        <v>-2.6460048422210121E-2</v>
      </c>
      <c r="N156" s="4">
        <f t="shared" si="48"/>
        <v>-8.0837421256191727E-3</v>
      </c>
      <c r="O156" s="4">
        <f t="shared" ref="O156:O176" si="58">M156/K156</f>
        <v>1.5696205137941456E-3</v>
      </c>
      <c r="P156" s="7">
        <v>321.25938571830994</v>
      </c>
      <c r="Q156" s="7">
        <v>-403.94756753351771</v>
      </c>
      <c r="R156" s="7">
        <v>-82.68818181520777</v>
      </c>
      <c r="S156" s="4">
        <f t="shared" si="56"/>
        <v>0.79529971595051951</v>
      </c>
      <c r="T156" s="3">
        <v>2.7669791666666668</v>
      </c>
      <c r="U156" s="3">
        <v>28.487395833333341</v>
      </c>
      <c r="V156" s="7">
        <v>528.61599999999999</v>
      </c>
      <c r="W156">
        <v>48</v>
      </c>
      <c r="X156" s="21">
        <f t="shared" si="51"/>
        <v>476.65624018800366</v>
      </c>
      <c r="Y156" s="21">
        <f t="shared" si="52"/>
        <v>-505.94502134265042</v>
      </c>
      <c r="Z156" s="21">
        <f t="shared" si="57"/>
        <v>-29.288781154646646</v>
      </c>
      <c r="AA156" s="224">
        <f t="shared" si="54"/>
        <v>505.94502134265042</v>
      </c>
      <c r="AB156" s="199">
        <f t="shared" si="55"/>
        <v>0.94211074342243406</v>
      </c>
      <c r="AD156" s="13">
        <f t="shared" si="49"/>
        <v>33.908651808320847</v>
      </c>
      <c r="AE156" s="3">
        <f t="shared" si="50"/>
        <v>17.367587570621474</v>
      </c>
      <c r="AG156" s="334">
        <v>41529</v>
      </c>
      <c r="AH156" s="349">
        <v>3.186896</v>
      </c>
      <c r="AI156" s="349">
        <v>4.7720000000000002</v>
      </c>
      <c r="AK156" s="226">
        <v>154</v>
      </c>
      <c r="AL156" s="229">
        <v>154</v>
      </c>
      <c r="AM156" s="227">
        <v>2.3790420000000001</v>
      </c>
      <c r="AN156" s="227">
        <v>3.3620000000000001</v>
      </c>
      <c r="AQ156" s="75">
        <v>460.93412369999999</v>
      </c>
      <c r="AR156" s="75">
        <v>-547.50230499999998</v>
      </c>
      <c r="AS156" s="244">
        <f t="shared" si="44"/>
        <v>469.58577055714289</v>
      </c>
      <c r="AT156" s="244">
        <f t="shared" si="45"/>
        <v>495.56091271428573</v>
      </c>
    </row>
    <row r="157" spans="1:46">
      <c r="A157" s="2">
        <v>41530</v>
      </c>
      <c r="B157" s="3">
        <v>30.168020162429382</v>
      </c>
      <c r="C157" s="3">
        <v>17.900968043785308</v>
      </c>
      <c r="D157" s="3">
        <v>8.953726023514001</v>
      </c>
      <c r="E157" s="7">
        <v>226.55993997175145</v>
      </c>
      <c r="F157" s="4">
        <v>1.0615383383769583</v>
      </c>
      <c r="G157" s="4">
        <v>3.9667180437853116</v>
      </c>
      <c r="H157" s="3">
        <v>35.544849046610153</v>
      </c>
      <c r="I157" s="4">
        <v>1.3758986581920907</v>
      </c>
      <c r="J157" s="3">
        <v>13.591750000000042</v>
      </c>
      <c r="K157" s="3">
        <v>-30.541576086956603</v>
      </c>
      <c r="L157" s="4">
        <v>-0.13617834994040778</v>
      </c>
      <c r="M157" s="4">
        <v>-7.3446482056669038E-2</v>
      </c>
      <c r="N157" s="4">
        <f t="shared" ref="N157:N176" si="59">L157/J157</f>
        <v>-1.0019191784752321E-2</v>
      </c>
      <c r="O157" s="4">
        <f t="shared" si="58"/>
        <v>2.4048032703864238E-3</v>
      </c>
      <c r="P157" s="7">
        <v>545.08471477636806</v>
      </c>
      <c r="Q157" s="7">
        <v>-731.23511051759829</v>
      </c>
      <c r="R157" s="7">
        <v>-186.15039574123023</v>
      </c>
      <c r="S157" s="4">
        <f t="shared" si="56"/>
        <v>0.74543017278059132</v>
      </c>
      <c r="T157" s="3">
        <v>4.0128437499999992</v>
      </c>
      <c r="U157" s="3">
        <v>28.6640625</v>
      </c>
      <c r="V157" s="7">
        <v>515.05399999999997</v>
      </c>
      <c r="W157">
        <v>48</v>
      </c>
      <c r="X157" s="21">
        <f t="shared" si="51"/>
        <v>401.16494895324473</v>
      </c>
      <c r="Y157" s="21">
        <f t="shared" si="52"/>
        <v>-445.22163138034085</v>
      </c>
      <c r="Z157" s="21">
        <f t="shared" si="57"/>
        <v>-44.056682427096042</v>
      </c>
      <c r="AA157" s="224">
        <f t="shared" si="54"/>
        <v>445.22163138034085</v>
      </c>
      <c r="AB157" s="199">
        <f t="shared" si="55"/>
        <v>0.90104550335861899</v>
      </c>
      <c r="AD157" s="13">
        <f t="shared" ref="AD157:AD176" si="60">((H157/0.0893+34)-41)*0.0777</f>
        <v>30.383701018159115</v>
      </c>
      <c r="AE157" s="3">
        <f t="shared" ref="AE157:AE176" si="61">4.6*G157-2.74</f>
        <v>15.50690300141243</v>
      </c>
      <c r="AG157" s="334">
        <v>41530</v>
      </c>
      <c r="AH157" s="349">
        <v>3.4217710000000001</v>
      </c>
      <c r="AI157" s="349">
        <v>6.1050000000000004</v>
      </c>
      <c r="AK157" s="226">
        <v>155</v>
      </c>
      <c r="AL157" s="228">
        <v>155</v>
      </c>
      <c r="AM157" s="225">
        <v>4.5003120000000001</v>
      </c>
      <c r="AN157" s="225">
        <v>7.2350000000000003</v>
      </c>
      <c r="AQ157" s="75">
        <v>488.37111809999999</v>
      </c>
      <c r="AR157" s="75">
        <v>-550.56637499999999</v>
      </c>
      <c r="AS157" s="244">
        <f t="shared" si="44"/>
        <v>395.00845554285712</v>
      </c>
      <c r="AT157" s="244">
        <f t="shared" si="45"/>
        <v>438.76368771428577</v>
      </c>
    </row>
    <row r="158" spans="1:46">
      <c r="A158" s="2">
        <v>41531</v>
      </c>
      <c r="B158" s="3">
        <v>29.562965589689259</v>
      </c>
      <c r="C158" s="3">
        <v>20.261179201977399</v>
      </c>
      <c r="D158" s="3">
        <v>10.906447503404188</v>
      </c>
      <c r="E158" s="7">
        <v>207.42669712217517</v>
      </c>
      <c r="F158" s="4">
        <v>0.97432504328062997</v>
      </c>
      <c r="G158" s="4">
        <v>2.4673202683615805</v>
      </c>
      <c r="H158" s="3">
        <v>31.73447775423729</v>
      </c>
      <c r="I158" s="4">
        <v>1.1867464689265532</v>
      </c>
      <c r="J158" s="3">
        <v>22.946999999999974</v>
      </c>
      <c r="K158" s="3">
        <v>-12.392391304347786</v>
      </c>
      <c r="L158" s="4">
        <v>4.6079146313010612E-2</v>
      </c>
      <c r="M158" s="4">
        <v>6.7045891353603476E-2</v>
      </c>
      <c r="N158" s="4">
        <f t="shared" si="59"/>
        <v>2.0080684321702471E-3</v>
      </c>
      <c r="O158" s="4">
        <f t="shared" si="58"/>
        <v>-5.4102464735826155E-3</v>
      </c>
      <c r="P158" s="7">
        <v>433.16438610502894</v>
      </c>
      <c r="Q158" s="7">
        <v>-299.02649269683343</v>
      </c>
      <c r="R158" s="7">
        <v>134.13789340819551</v>
      </c>
      <c r="S158" s="4">
        <f t="shared" si="56"/>
        <v>1.4485819707760494</v>
      </c>
      <c r="T158" s="3">
        <v>4.3422291666666659</v>
      </c>
      <c r="U158" s="3">
        <v>27.502812500000001</v>
      </c>
      <c r="V158" s="7">
        <v>490.06799999999987</v>
      </c>
      <c r="W158">
        <v>48</v>
      </c>
      <c r="X158" s="21">
        <f t="shared" si="51"/>
        <v>416.38202788039797</v>
      </c>
      <c r="Y158" s="21">
        <f t="shared" si="52"/>
        <v>-432.09215826964754</v>
      </c>
      <c r="Z158" s="21">
        <f t="shared" si="57"/>
        <v>-15.710130389249473</v>
      </c>
      <c r="AA158" s="224">
        <f t="shared" si="54"/>
        <v>432.09215826964754</v>
      </c>
      <c r="AB158" s="199">
        <f t="shared" si="55"/>
        <v>0.96364171372106766</v>
      </c>
      <c r="AD158" s="13">
        <f t="shared" si="60"/>
        <v>27.068293969812292</v>
      </c>
      <c r="AE158" s="3">
        <f t="shared" si="61"/>
        <v>8.6096732344632692</v>
      </c>
      <c r="AG158" s="334">
        <v>41531</v>
      </c>
      <c r="AH158" s="349">
        <v>4.2127499999999998</v>
      </c>
      <c r="AI158" s="349">
        <v>7.2350000000000003</v>
      </c>
      <c r="AK158" s="226">
        <v>156</v>
      </c>
      <c r="AL158" s="229">
        <v>156</v>
      </c>
      <c r="AM158" s="227">
        <v>4.1646460000000003</v>
      </c>
      <c r="AN158" s="227">
        <v>5.774</v>
      </c>
      <c r="AQ158" s="75">
        <v>406.4215987</v>
      </c>
      <c r="AR158" s="75">
        <v>-403.84969799999999</v>
      </c>
      <c r="AS158" s="244">
        <f t="shared" si="44"/>
        <v>409.18559141428574</v>
      </c>
      <c r="AT158" s="244">
        <f t="shared" si="45"/>
        <v>422.85079671428576</v>
      </c>
    </row>
    <row r="159" spans="1:46">
      <c r="A159" s="2">
        <v>41532</v>
      </c>
      <c r="B159" s="3">
        <v>29.433320444915257</v>
      </c>
      <c r="C159" s="3">
        <v>19.11941507768362</v>
      </c>
      <c r="D159" s="3">
        <v>10.097706981775158</v>
      </c>
      <c r="E159" s="7">
        <v>223.79600326624293</v>
      </c>
      <c r="F159" s="4">
        <v>1.0424046284883579</v>
      </c>
      <c r="G159" s="4">
        <v>1.9759653954802261</v>
      </c>
      <c r="H159" s="3">
        <v>34.53643326271186</v>
      </c>
      <c r="I159" s="4">
        <v>0.97322069209039574</v>
      </c>
      <c r="J159" s="3">
        <v>17.72625</v>
      </c>
      <c r="K159" s="3">
        <v>-9.6149456521739154</v>
      </c>
      <c r="L159" s="4">
        <v>1.2538813508050813E-2</v>
      </c>
      <c r="M159" s="4">
        <v>-1.6692556182394062E-2</v>
      </c>
      <c r="N159" s="4">
        <f t="shared" si="59"/>
        <v>7.0735849421342989E-4</v>
      </c>
      <c r="O159" s="4">
        <f t="shared" si="58"/>
        <v>1.7361050999409359E-3</v>
      </c>
      <c r="P159" s="7">
        <v>334.57156246043922</v>
      </c>
      <c r="Q159" s="7">
        <v>-230.35807430379649</v>
      </c>
      <c r="R159" s="7">
        <v>104.21348815664274</v>
      </c>
      <c r="S159" s="4">
        <f t="shared" si="56"/>
        <v>1.4523978092437337</v>
      </c>
      <c r="T159" s="3">
        <v>2.1391770833333337</v>
      </c>
      <c r="U159" s="3">
        <v>28.495104166666668</v>
      </c>
      <c r="V159" s="7">
        <v>519.154</v>
      </c>
      <c r="W159">
        <v>48</v>
      </c>
      <c r="X159" s="21">
        <f t="shared" si="51"/>
        <v>332.02279980670602</v>
      </c>
      <c r="Y159" s="21">
        <f t="shared" si="52"/>
        <v>-346.32361886425969</v>
      </c>
      <c r="Z159" s="21">
        <f t="shared" si="57"/>
        <v>-14.300819057553696</v>
      </c>
      <c r="AA159" s="224">
        <f t="shared" si="54"/>
        <v>346.32361886425969</v>
      </c>
      <c r="AB159" s="199">
        <f t="shared" si="55"/>
        <v>0.95870677517042568</v>
      </c>
      <c r="AD159" s="13">
        <f t="shared" si="60"/>
        <v>29.50627765411771</v>
      </c>
      <c r="AE159" s="3">
        <f t="shared" si="61"/>
        <v>6.3494408192090397</v>
      </c>
      <c r="AG159" s="334">
        <v>41532</v>
      </c>
      <c r="AH159" s="349">
        <v>2.9398960000000001</v>
      </c>
      <c r="AI159" s="349">
        <v>5.774</v>
      </c>
      <c r="AK159" s="226">
        <v>157</v>
      </c>
      <c r="AL159" s="228">
        <v>157</v>
      </c>
      <c r="AM159" s="225">
        <v>2.1606040000000002</v>
      </c>
      <c r="AN159" s="225">
        <v>5.7030000000000003</v>
      </c>
      <c r="AQ159" s="75">
        <v>558.73004089999995</v>
      </c>
      <c r="AR159" s="75">
        <v>-441.74748699999998</v>
      </c>
      <c r="AS159" s="244">
        <f t="shared" si="44"/>
        <v>354.53932644285715</v>
      </c>
      <c r="AT159" s="244">
        <f t="shared" si="45"/>
        <v>368.31772000000001</v>
      </c>
    </row>
    <row r="160" spans="1:46">
      <c r="A160" s="2">
        <v>41533</v>
      </c>
      <c r="B160" s="3">
        <v>29.772042778954802</v>
      </c>
      <c r="C160" s="3">
        <v>19.908706391242927</v>
      </c>
      <c r="D160" s="3">
        <v>10.576483442173911</v>
      </c>
      <c r="E160" s="7">
        <v>222.07451668432205</v>
      </c>
      <c r="F160" s="4">
        <v>1.044874423298823</v>
      </c>
      <c r="G160" s="4">
        <v>2.0854316737288134</v>
      </c>
      <c r="H160" s="3">
        <v>32.171581744350284</v>
      </c>
      <c r="I160" s="4">
        <v>0.8475722104519775</v>
      </c>
      <c r="J160" s="3">
        <v>6.2679999999999483</v>
      </c>
      <c r="K160" s="3">
        <v>-10.099456521739121</v>
      </c>
      <c r="L160" s="4">
        <v>-3.1202698138043848E-2</v>
      </c>
      <c r="M160" s="4">
        <v>-5.5469107925726492E-2</v>
      </c>
      <c r="N160" s="4">
        <f t="shared" si="59"/>
        <v>-4.9780947890944649E-3</v>
      </c>
      <c r="O160" s="4">
        <f t="shared" si="58"/>
        <v>5.4922864221781647E-3</v>
      </c>
      <c r="P160" s="7">
        <v>200.20407887141434</v>
      </c>
      <c r="Q160" s="7">
        <v>-241.05569793152142</v>
      </c>
      <c r="R160" s="7">
        <v>-40.851619060107083</v>
      </c>
      <c r="S160" s="4">
        <f t="shared" si="56"/>
        <v>0.83053037364123161</v>
      </c>
      <c r="T160" s="3">
        <v>3.1982499999999994</v>
      </c>
      <c r="U160" s="3">
        <v>27.691666666666652</v>
      </c>
      <c r="V160" s="7">
        <v>462.42400000000009</v>
      </c>
      <c r="W160">
        <v>48</v>
      </c>
      <c r="X160" s="21">
        <f t="shared" ref="X160:X173" si="62">AVERAGE(P157:P163)</f>
        <v>297.03049554533169</v>
      </c>
      <c r="Y160" s="21">
        <f t="shared" ref="Y160:Y173" si="63">AVERAGE(Q157:Q163)</f>
        <v>-299.62792778641176</v>
      </c>
      <c r="Z160" s="21">
        <f t="shared" ref="Z160:Z173" si="64">AVERAGE(R157:R163)</f>
        <v>-2.5974322410800204</v>
      </c>
      <c r="AA160" s="224">
        <f t="shared" ref="AA160:AA173" si="65">-Y160</f>
        <v>299.62792778641176</v>
      </c>
      <c r="AB160" s="199">
        <f t="shared" ref="AB160:AB173" si="66">X160/-Y160</f>
        <v>0.99133114105794695</v>
      </c>
      <c r="AD160" s="13">
        <f t="shared" si="60"/>
        <v>27.448618494244311</v>
      </c>
      <c r="AE160" s="3">
        <f t="shared" si="61"/>
        <v>6.8529856991525406</v>
      </c>
      <c r="AG160" s="334">
        <v>41533</v>
      </c>
      <c r="AH160" s="349">
        <v>2.718896</v>
      </c>
      <c r="AI160" s="349">
        <v>11.298999999999999</v>
      </c>
      <c r="AK160" s="226">
        <v>158</v>
      </c>
      <c r="AL160" s="229">
        <v>158</v>
      </c>
      <c r="AM160" s="227">
        <v>3.1785209999999999</v>
      </c>
      <c r="AN160" s="227">
        <v>11.298999999999999</v>
      </c>
      <c r="AQ160" s="75">
        <v>164.15058830000001</v>
      </c>
      <c r="AR160" s="75">
        <v>-218.79283899999999</v>
      </c>
      <c r="AS160" s="244">
        <f t="shared" ref="AS160:AS173" si="67">AVERAGE(AQ157:AQ163)</f>
        <v>307.22367345714287</v>
      </c>
      <c r="AT160" s="244">
        <f t="shared" si="45"/>
        <v>310.62058999999999</v>
      </c>
    </row>
    <row r="161" spans="1:46">
      <c r="A161" s="2">
        <v>41534</v>
      </c>
      <c r="B161" s="3">
        <v>29.673319913778041</v>
      </c>
      <c r="C161" s="3">
        <v>19.547757363291954</v>
      </c>
      <c r="D161" s="3">
        <v>10.339813095673511</v>
      </c>
      <c r="E161" s="7">
        <v>237.77759058930545</v>
      </c>
      <c r="F161" s="4">
        <v>1.115181179695935</v>
      </c>
      <c r="G161" s="4">
        <v>3.6653828480764514</v>
      </c>
      <c r="H161" s="3">
        <v>32.673038897903545</v>
      </c>
      <c r="I161" s="4">
        <v>0.93724963862592825</v>
      </c>
      <c r="J161" s="3">
        <v>11.191000000000013</v>
      </c>
      <c r="K161" s="3">
        <v>-13.309239130434813</v>
      </c>
      <c r="L161" s="4">
        <v>-6.9373513313860644E-2</v>
      </c>
      <c r="M161" s="4">
        <v>-0.15706051799852339</v>
      </c>
      <c r="N161" s="4">
        <f t="shared" si="59"/>
        <v>-6.1990450642355963E-3</v>
      </c>
      <c r="O161" s="4">
        <f t="shared" si="58"/>
        <v>1.1800863780361891E-2</v>
      </c>
      <c r="P161" s="7">
        <v>297.0193841966381</v>
      </c>
      <c r="Q161" s="7">
        <v>-315.6522866984709</v>
      </c>
      <c r="R161" s="7">
        <v>-18.632902501832802</v>
      </c>
      <c r="S161" s="4">
        <f t="shared" si="56"/>
        <v>0.94097016468113848</v>
      </c>
      <c r="T161" s="3">
        <v>4.3480729166666663</v>
      </c>
      <c r="U161" s="3">
        <v>27.520833333333332</v>
      </c>
      <c r="V161" s="7">
        <v>448.42</v>
      </c>
      <c r="W161">
        <v>48</v>
      </c>
      <c r="X161" s="21">
        <f t="shared" si="62"/>
        <v>257.28217291047866</v>
      </c>
      <c r="Y161" s="21">
        <f t="shared" si="63"/>
        <v>-245.47155414168986</v>
      </c>
      <c r="Z161" s="21">
        <f t="shared" si="64"/>
        <v>11.810618768788727</v>
      </c>
      <c r="AA161" s="224">
        <f t="shared" si="65"/>
        <v>245.47155414168986</v>
      </c>
      <c r="AB161" s="199">
        <f t="shared" si="66"/>
        <v>1.0481140016817245</v>
      </c>
      <c r="AD161" s="13">
        <f t="shared" si="60"/>
        <v>27.88493675663052</v>
      </c>
      <c r="AE161" s="3">
        <f t="shared" si="61"/>
        <v>14.120761101151674</v>
      </c>
      <c r="AG161" s="334">
        <v>41534</v>
      </c>
      <c r="AH161" s="349">
        <v>3.4024169999999998</v>
      </c>
      <c r="AI161" s="349">
        <v>9.8569999999999993</v>
      </c>
      <c r="AK161" s="226">
        <v>159</v>
      </c>
      <c r="AL161" s="228">
        <v>159</v>
      </c>
      <c r="AM161" s="225">
        <v>5.2219790000000001</v>
      </c>
      <c r="AN161" s="225">
        <v>9.8569999999999993</v>
      </c>
      <c r="AQ161" s="75">
        <v>296.11042609999998</v>
      </c>
      <c r="AR161" s="75">
        <v>-314.00212499999998</v>
      </c>
      <c r="AS161" s="244">
        <f t="shared" si="67"/>
        <v>278.7482713</v>
      </c>
      <c r="AT161" s="244">
        <f t="shared" ref="AT161:AT173" si="68">-AVERAGE(AR158:AR164)</f>
        <v>284.07808985714286</v>
      </c>
    </row>
    <row r="162" spans="1:46">
      <c r="A162" s="2">
        <v>41535</v>
      </c>
      <c r="B162" s="3">
        <v>29.11028167372881</v>
      </c>
      <c r="C162" s="3">
        <v>19.215972457627107</v>
      </c>
      <c r="D162" s="3">
        <v>10.272877794883987</v>
      </c>
      <c r="E162" s="7">
        <v>221.35690876588981</v>
      </c>
      <c r="F162" s="4">
        <v>1.0259933261045939</v>
      </c>
      <c r="G162" s="4">
        <v>1.5420577330508476</v>
      </c>
      <c r="H162" s="3">
        <v>34.717193855932209</v>
      </c>
      <c r="I162" s="4">
        <v>0.80351129943502808</v>
      </c>
      <c r="J162" s="3">
        <v>7.4922499999999603</v>
      </c>
      <c r="K162" s="3">
        <v>-8.5695652173912826</v>
      </c>
      <c r="L162" s="4">
        <v>-1.0332779892317947E-2</v>
      </c>
      <c r="M162" s="4">
        <v>-0.11164428538797121</v>
      </c>
      <c r="N162" s="4">
        <f t="shared" si="59"/>
        <v>-1.3791290856976211E-3</v>
      </c>
      <c r="O162" s="4">
        <f t="shared" si="58"/>
        <v>1.3027998802249337E-2</v>
      </c>
      <c r="P162" s="7">
        <v>192.85608651874318</v>
      </c>
      <c r="Q162" s="7">
        <v>-202.99010236807942</v>
      </c>
      <c r="R162" s="7">
        <v>-10.134015849336237</v>
      </c>
      <c r="S162" s="4">
        <f t="shared" si="56"/>
        <v>0.9500763055384821</v>
      </c>
      <c r="T162" s="3">
        <v>6.2870104166666652</v>
      </c>
      <c r="U162" s="3">
        <v>27.012291666666659</v>
      </c>
      <c r="V162" s="7">
        <v>351.86400000000003</v>
      </c>
      <c r="W162">
        <v>48</v>
      </c>
      <c r="X162" s="21">
        <f t="shared" si="62"/>
        <v>238.53451757733896</v>
      </c>
      <c r="Y162" s="21">
        <f t="shared" si="63"/>
        <v>-238.50130904946192</v>
      </c>
      <c r="Z162" s="21">
        <f t="shared" si="64"/>
        <v>3.3208527877014102E-2</v>
      </c>
      <c r="AA162" s="224">
        <f t="shared" si="65"/>
        <v>238.50130904946192</v>
      </c>
      <c r="AB162" s="199">
        <f t="shared" si="66"/>
        <v>1.0001392383463612</v>
      </c>
      <c r="AD162" s="13">
        <f t="shared" si="60"/>
        <v>29.66355758797237</v>
      </c>
      <c r="AE162" s="3">
        <f t="shared" si="61"/>
        <v>4.3534655720338984</v>
      </c>
      <c r="AG162" s="334">
        <v>41535</v>
      </c>
      <c r="AH162" s="349">
        <v>6.2785419999999998</v>
      </c>
      <c r="AI162" s="349">
        <v>8.8350000000000009</v>
      </c>
      <c r="AK162" s="226">
        <v>160</v>
      </c>
      <c r="AL162" s="229">
        <v>160</v>
      </c>
      <c r="AM162" s="227">
        <v>6.1237709999999996</v>
      </c>
      <c r="AN162" s="227">
        <v>8.8350000000000009</v>
      </c>
      <c r="AQ162" s="75">
        <v>107.0573893</v>
      </c>
      <c r="AR162" s="75">
        <v>-101.763211</v>
      </c>
      <c r="AS162" s="244">
        <f t="shared" si="67"/>
        <v>259.67451877142855</v>
      </c>
      <c r="AT162" s="244">
        <f t="shared" si="68"/>
        <v>257.70900699999999</v>
      </c>
    </row>
    <row r="163" spans="1:46">
      <c r="A163" s="2">
        <v>41536</v>
      </c>
      <c r="B163" s="3">
        <v>28.588288435734459</v>
      </c>
      <c r="C163" s="3">
        <v>19.437318679378524</v>
      </c>
      <c r="D163" s="3">
        <v>10.601928481266052</v>
      </c>
      <c r="E163" s="7">
        <v>217.48563846221748</v>
      </c>
      <c r="F163" s="4">
        <v>1.000507593422461</v>
      </c>
      <c r="G163" s="4">
        <v>1.7670259533898307</v>
      </c>
      <c r="H163" s="3">
        <v>33.991166137005635</v>
      </c>
      <c r="I163" s="4">
        <v>0.86676624293785309</v>
      </c>
      <c r="J163" s="3">
        <v>3.1357500000001073</v>
      </c>
      <c r="K163" s="3">
        <v>-3.2065217391304355</v>
      </c>
      <c r="L163" s="4">
        <v>3.1742285173162278E-2</v>
      </c>
      <c r="M163" s="4">
        <v>5.050343727148794E-3</v>
      </c>
      <c r="N163" s="4">
        <f t="shared" si="59"/>
        <v>1.0122709135983798E-2</v>
      </c>
      <c r="O163" s="4">
        <f t="shared" si="58"/>
        <v>-1.5750224505006404E-3</v>
      </c>
      <c r="P163" s="7">
        <v>76.31325588868998</v>
      </c>
      <c r="Q163" s="7">
        <v>-77.077729988582021</v>
      </c>
      <c r="R163" s="7">
        <v>-0.76447409989204118</v>
      </c>
      <c r="S163" s="4">
        <f t="shared" si="56"/>
        <v>0.99008177718771317</v>
      </c>
      <c r="T163" s="3">
        <v>3.7238124999999993</v>
      </c>
      <c r="U163" s="3">
        <v>27.3784375</v>
      </c>
      <c r="V163" s="7">
        <v>486.27800000000008</v>
      </c>
      <c r="W163">
        <v>48</v>
      </c>
      <c r="X163" s="21">
        <f t="shared" si="62"/>
        <v>219.46324999988059</v>
      </c>
      <c r="Y163" s="21">
        <f t="shared" si="63"/>
        <v>-242.91344509837614</v>
      </c>
      <c r="Z163" s="21">
        <f t="shared" si="64"/>
        <v>-23.450195098495616</v>
      </c>
      <c r="AA163" s="224">
        <f t="shared" si="65"/>
        <v>242.91344509837614</v>
      </c>
      <c r="AB163" s="199">
        <f t="shared" si="66"/>
        <v>0.90346275361992168</v>
      </c>
      <c r="AD163" s="13">
        <f t="shared" si="60"/>
        <v>29.031840300619688</v>
      </c>
      <c r="AE163" s="3">
        <f t="shared" si="61"/>
        <v>5.3883193855932205</v>
      </c>
      <c r="AG163" s="334">
        <v>41536</v>
      </c>
      <c r="AH163" s="349">
        <v>4.9218120000000001</v>
      </c>
      <c r="AI163" s="349">
        <v>8.8249999999999993</v>
      </c>
      <c r="AK163" s="226">
        <v>161</v>
      </c>
      <c r="AL163" s="228">
        <v>161</v>
      </c>
      <c r="AM163" s="225">
        <v>2.8758539999999999</v>
      </c>
      <c r="AN163" s="225">
        <v>5.2750000000000004</v>
      </c>
      <c r="AQ163" s="75">
        <v>129.7245528</v>
      </c>
      <c r="AR163" s="75">
        <v>-143.62239500000001</v>
      </c>
      <c r="AS163" s="244">
        <f t="shared" si="67"/>
        <v>192.55080289999998</v>
      </c>
      <c r="AT163" s="244">
        <f t="shared" si="68"/>
        <v>215.39627885714282</v>
      </c>
    </row>
    <row r="164" spans="1:46">
      <c r="A164" s="2">
        <v>41537</v>
      </c>
      <c r="B164" s="3">
        <v>28.864991225282484</v>
      </c>
      <c r="C164" s="3">
        <v>20.62697351694915</v>
      </c>
      <c r="D164" s="3">
        <v>11.401958516726637</v>
      </c>
      <c r="E164" s="7">
        <v>220.2024187853107</v>
      </c>
      <c r="F164" s="4">
        <v>1.0245632721739639</v>
      </c>
      <c r="G164" s="4">
        <v>2.2722459392655368</v>
      </c>
      <c r="H164" s="3">
        <v>30.634762358757055</v>
      </c>
      <c r="I164" s="4">
        <v>0.74608580508474542</v>
      </c>
      <c r="J164" s="3">
        <v>7.3979999999998896</v>
      </c>
      <c r="K164" s="3">
        <v>-14.660869565217379</v>
      </c>
      <c r="L164" s="4">
        <v>-1.3324036801599994E-2</v>
      </c>
      <c r="M164" s="4">
        <v>1.1651059972023408E-2</v>
      </c>
      <c r="N164" s="4">
        <f t="shared" si="59"/>
        <v>-1.8010322792106235E-3</v>
      </c>
      <c r="O164" s="4">
        <f t="shared" si="58"/>
        <v>-7.9470456511429013E-4</v>
      </c>
      <c r="P164" s="7">
        <v>266.8464563323966</v>
      </c>
      <c r="Q164" s="7">
        <v>-352.14049500454558</v>
      </c>
      <c r="R164" s="7">
        <v>-85.294038672148986</v>
      </c>
      <c r="S164" s="4">
        <f t="shared" si="56"/>
        <v>0.75778406663781184</v>
      </c>
      <c r="T164" s="3">
        <v>3.1041979166666667</v>
      </c>
      <c r="U164" s="3">
        <v>28.7653125</v>
      </c>
      <c r="V164" s="7">
        <v>493.34399999999999</v>
      </c>
      <c r="W164">
        <v>48</v>
      </c>
      <c r="X164" s="21">
        <f t="shared" si="62"/>
        <v>219.53906735200499</v>
      </c>
      <c r="Y164" s="21">
        <f t="shared" si="63"/>
        <v>-235.8528869429706</v>
      </c>
      <c r="Z164" s="21">
        <f t="shared" si="64"/>
        <v>-16.313819590965597</v>
      </c>
      <c r="AA164" s="224">
        <f t="shared" si="65"/>
        <v>235.8528869429706</v>
      </c>
      <c r="AB164" s="199">
        <f t="shared" si="66"/>
        <v>0.93083052829067003</v>
      </c>
      <c r="AD164" s="13">
        <f t="shared" si="60"/>
        <v>26.111430742165993</v>
      </c>
      <c r="AE164" s="3">
        <f t="shared" si="61"/>
        <v>7.7123313206214679</v>
      </c>
      <c r="AG164" s="334">
        <v>41537</v>
      </c>
      <c r="AH164" s="349">
        <v>2.6094580000000001</v>
      </c>
      <c r="AI164" s="349">
        <v>5.2750000000000004</v>
      </c>
      <c r="AK164" s="226">
        <v>162</v>
      </c>
      <c r="AL164" s="229">
        <v>162</v>
      </c>
      <c r="AM164" s="227">
        <v>3.4908329999999999</v>
      </c>
      <c r="AN164" s="227">
        <v>9.1620000000000008</v>
      </c>
      <c r="AQ164" s="75">
        <v>289.04330299999998</v>
      </c>
      <c r="AR164" s="75">
        <v>-364.76887399999998</v>
      </c>
      <c r="AS164" s="244">
        <f t="shared" si="67"/>
        <v>229.55884407142852</v>
      </c>
      <c r="AT164" s="244">
        <f t="shared" si="68"/>
        <v>248.30949914285716</v>
      </c>
    </row>
    <row r="165" spans="1:46">
      <c r="A165" s="2">
        <v>41538</v>
      </c>
      <c r="B165" s="3">
        <v>28.123880508474571</v>
      </c>
      <c r="C165" s="3">
        <v>20.301226518361588</v>
      </c>
      <c r="D165" s="3">
        <v>11.391379048045527</v>
      </c>
      <c r="E165" s="7">
        <v>217.4115962658899</v>
      </c>
      <c r="F165" s="4">
        <v>0.99689024556977845</v>
      </c>
      <c r="G165" s="4">
        <v>2.7006004590395478</v>
      </c>
      <c r="H165" s="3">
        <v>31.076750706214693</v>
      </c>
      <c r="I165" s="4">
        <v>0.85669985875706223</v>
      </c>
      <c r="J165" s="3">
        <v>14.594750000000047</v>
      </c>
      <c r="K165" s="3">
        <v>-10.407608695652156</v>
      </c>
      <c r="L165" s="4">
        <v>3.3822593618688231E-2</v>
      </c>
      <c r="M165" s="4">
        <v>1.8840348149422769E-2</v>
      </c>
      <c r="N165" s="4">
        <f t="shared" si="59"/>
        <v>2.3174493306626093E-3</v>
      </c>
      <c r="O165" s="4">
        <f t="shared" si="58"/>
        <v>-1.8102475506495015E-3</v>
      </c>
      <c r="P165" s="7">
        <v>301.93079877305127</v>
      </c>
      <c r="Q165" s="7">
        <v>-250.23477705123776</v>
      </c>
      <c r="R165" s="7">
        <v>51.696021721813509</v>
      </c>
      <c r="S165" s="4">
        <f t="shared" si="56"/>
        <v>1.206590076451397</v>
      </c>
      <c r="T165" s="3">
        <v>3.6521145833333351</v>
      </c>
      <c r="U165" s="3">
        <v>25.299062500000002</v>
      </c>
      <c r="V165" s="7">
        <v>112.294</v>
      </c>
      <c r="W165">
        <v>48</v>
      </c>
      <c r="X165" s="21">
        <f t="shared" si="62"/>
        <v>184.98029788145968</v>
      </c>
      <c r="Y165" s="21">
        <f t="shared" si="63"/>
        <v>-203.14170382541212</v>
      </c>
      <c r="Z165" s="21">
        <f t="shared" si="64"/>
        <v>-18.161405943952424</v>
      </c>
      <c r="AA165" s="224">
        <f t="shared" si="65"/>
        <v>203.14170382541212</v>
      </c>
      <c r="AB165" s="199">
        <f t="shared" si="66"/>
        <v>0.91059735346336834</v>
      </c>
      <c r="AD165" s="13">
        <f t="shared" si="60"/>
        <v>26.496005149752314</v>
      </c>
      <c r="AE165" s="3">
        <f t="shared" si="61"/>
        <v>9.6827621115819191</v>
      </c>
      <c r="AG165" s="334">
        <v>41538</v>
      </c>
      <c r="AH165" s="349">
        <v>3.8734380000000002</v>
      </c>
      <c r="AI165" s="349">
        <v>9.1620000000000008</v>
      </c>
      <c r="AK165" s="226">
        <v>163</v>
      </c>
      <c r="AL165" s="228">
        <v>163</v>
      </c>
      <c r="AM165" s="225">
        <v>3.780583</v>
      </c>
      <c r="AN165" s="225">
        <v>6.4470000000000001</v>
      </c>
      <c r="AQ165" s="75">
        <v>272.90533099999999</v>
      </c>
      <c r="AR165" s="75">
        <v>-219.26611800000001</v>
      </c>
      <c r="AS165" s="244">
        <f t="shared" si="67"/>
        <v>206.4835966857143</v>
      </c>
      <c r="AT165" s="244">
        <f t="shared" si="68"/>
        <v>230.27031928571429</v>
      </c>
    </row>
    <row r="166" spans="1:46">
      <c r="A166" s="2">
        <v>41539</v>
      </c>
      <c r="B166" s="3">
        <v>27.45569500353108</v>
      </c>
      <c r="C166" s="3">
        <v>21.049951800847452</v>
      </c>
      <c r="D166" s="3">
        <v>12.156472171679704</v>
      </c>
      <c r="E166" s="7">
        <v>206.15034648658187</v>
      </c>
      <c r="F166" s="4">
        <v>0.93867288250646419</v>
      </c>
      <c r="G166" s="4">
        <v>2.276059851694916</v>
      </c>
      <c r="H166" s="3">
        <v>29.869303142655358</v>
      </c>
      <c r="I166" s="4">
        <v>0.73783933615819197</v>
      </c>
      <c r="J166" s="3">
        <v>5.9885416666665714</v>
      </c>
      <c r="K166" s="3">
        <v>-10.768229166666538</v>
      </c>
      <c r="L166" s="4">
        <v>0.11761032540574884</v>
      </c>
      <c r="M166" s="4">
        <v>0.11689694359163579</v>
      </c>
      <c r="N166" s="4">
        <f t="shared" si="59"/>
        <v>1.9639226367980638E-2</v>
      </c>
      <c r="O166" s="4">
        <f t="shared" si="58"/>
        <v>-1.0855725837772352E-2</v>
      </c>
      <c r="P166" s="7">
        <v>201.07268941823051</v>
      </c>
      <c r="Q166" s="7">
        <v>-261.2430266461962</v>
      </c>
      <c r="R166" s="7">
        <v>-60.170337227965689</v>
      </c>
      <c r="S166" s="4">
        <f t="shared" si="56"/>
        <v>0.76967677185330219</v>
      </c>
      <c r="T166" s="3">
        <v>4.9016979166666683</v>
      </c>
      <c r="U166" s="3">
        <v>23.377604166666668</v>
      </c>
      <c r="V166" s="7">
        <v>177.73124999999999</v>
      </c>
      <c r="W166">
        <v>48</v>
      </c>
      <c r="X166" s="21">
        <f t="shared" si="62"/>
        <v>194.79453385002898</v>
      </c>
      <c r="Y166" s="21">
        <f t="shared" si="63"/>
        <v>-201.79827648049286</v>
      </c>
      <c r="Z166" s="21">
        <f t="shared" si="64"/>
        <v>-7.0037426304639085</v>
      </c>
      <c r="AA166" s="224">
        <f t="shared" si="65"/>
        <v>201.79827648049286</v>
      </c>
      <c r="AB166" s="199">
        <f t="shared" si="66"/>
        <v>0.96529334763103936</v>
      </c>
      <c r="AD166" s="13">
        <f t="shared" si="60"/>
        <v>25.445404078211883</v>
      </c>
      <c r="AE166" s="3">
        <f t="shared" si="61"/>
        <v>7.729875317796612</v>
      </c>
      <c r="AG166" s="334">
        <v>41539</v>
      </c>
      <c r="AH166" s="349">
        <v>4.8496670000000002</v>
      </c>
      <c r="AI166" s="349">
        <v>6.5540000000000003</v>
      </c>
      <c r="AK166" s="226">
        <v>164</v>
      </c>
      <c r="AL166" s="229">
        <v>164</v>
      </c>
      <c r="AM166" s="227">
        <v>4.2651459999999997</v>
      </c>
      <c r="AN166" s="227">
        <v>6.5540000000000003</v>
      </c>
      <c r="AQ166" s="75">
        <v>88.864029799999997</v>
      </c>
      <c r="AR166" s="75">
        <v>-145.55839</v>
      </c>
      <c r="AS166" s="244">
        <f t="shared" si="67"/>
        <v>240.75094915714288</v>
      </c>
      <c r="AT166" s="244">
        <f t="shared" si="68"/>
        <v>251.1154275714286</v>
      </c>
    </row>
    <row r="167" spans="1:46">
      <c r="A167" s="2">
        <v>41540</v>
      </c>
      <c r="B167" s="3">
        <v>27.617700353107363</v>
      </c>
      <c r="C167" s="3">
        <v>20.116858580508474</v>
      </c>
      <c r="D167" s="3">
        <v>11.409047023453288</v>
      </c>
      <c r="E167" s="7">
        <v>212.15391618114415</v>
      </c>
      <c r="F167" s="4">
        <v>0.96396630903002833</v>
      </c>
      <c r="G167" s="4">
        <v>2.1685686793785317</v>
      </c>
      <c r="H167" s="3">
        <v>31.792404837570633</v>
      </c>
      <c r="I167" s="4">
        <v>0.86628990112994353</v>
      </c>
      <c r="J167" s="3">
        <v>8.7658854166666149</v>
      </c>
      <c r="K167" s="3">
        <v>-7.8916666666667021</v>
      </c>
      <c r="L167" s="4">
        <v>2.2643340463145045E-2</v>
      </c>
      <c r="M167" s="4">
        <v>9.2991285153386338E-2</v>
      </c>
      <c r="N167" s="4">
        <f t="shared" si="59"/>
        <v>2.5831207444365137E-3</v>
      </c>
      <c r="O167" s="4">
        <f t="shared" si="58"/>
        <v>-1.1783478583322397E-2</v>
      </c>
      <c r="P167" s="7">
        <v>200.73480033628522</v>
      </c>
      <c r="Q167" s="7">
        <v>-191.63179084368215</v>
      </c>
      <c r="R167" s="7">
        <v>9.1030094926030642</v>
      </c>
      <c r="S167" s="4">
        <f t="shared" si="56"/>
        <v>1.0475026061830657</v>
      </c>
      <c r="T167" s="3">
        <v>3.3498958333333331</v>
      </c>
      <c r="U167" s="3">
        <v>26.479479166666664</v>
      </c>
      <c r="V167" s="7">
        <v>424.29374999999999</v>
      </c>
      <c r="W167">
        <v>48</v>
      </c>
      <c r="X167" s="21">
        <f t="shared" si="62"/>
        <v>213.77424395378551</v>
      </c>
      <c r="Y167" s="21">
        <f t="shared" si="63"/>
        <v>-226.66405294799742</v>
      </c>
      <c r="Z167" s="21">
        <f t="shared" si="64"/>
        <v>-12.889808994211903</v>
      </c>
      <c r="AA167" s="224">
        <f t="shared" si="65"/>
        <v>226.66405294799742</v>
      </c>
      <c r="AB167" s="199">
        <f t="shared" si="66"/>
        <v>0.9431325398687318</v>
      </c>
      <c r="AD167" s="13">
        <f t="shared" si="60"/>
        <v>27.1186963704282</v>
      </c>
      <c r="AE167" s="3">
        <f t="shared" si="61"/>
        <v>7.2354159251412451</v>
      </c>
      <c r="AG167" s="334">
        <v>41540</v>
      </c>
      <c r="AH167" s="349">
        <v>2.8697080000000001</v>
      </c>
      <c r="AI167" s="349">
        <v>6.2939999999999996</v>
      </c>
      <c r="AK167" s="226">
        <v>165</v>
      </c>
      <c r="AL167" s="228">
        <v>165</v>
      </c>
      <c r="AM167" s="225">
        <v>3.9128539999999998</v>
      </c>
      <c r="AN167" s="225">
        <v>8.5190000000000001</v>
      </c>
      <c r="AQ167" s="75">
        <v>423.20687650000002</v>
      </c>
      <c r="AR167" s="75">
        <v>-449.18538100000001</v>
      </c>
      <c r="AS167" s="244">
        <f t="shared" si="67"/>
        <v>256.72377051428572</v>
      </c>
      <c r="AT167" s="244">
        <f t="shared" si="68"/>
        <v>273.70959557142857</v>
      </c>
    </row>
    <row r="168" spans="1:46">
      <c r="A168" s="2">
        <v>41541</v>
      </c>
      <c r="B168" s="3">
        <v>27.604770639124293</v>
      </c>
      <c r="C168" s="3">
        <v>20.815641596045204</v>
      </c>
      <c r="D168" s="3">
        <v>11.935635172804346</v>
      </c>
      <c r="E168" s="7">
        <v>203.38098627295196</v>
      </c>
      <c r="F168" s="4">
        <v>0.92729230478961744</v>
      </c>
      <c r="G168" s="4">
        <v>1.9617168079096041</v>
      </c>
      <c r="H168" s="3">
        <v>30.116173022598883</v>
      </c>
      <c r="I168" s="4">
        <v>0.73633580508474583</v>
      </c>
      <c r="J168" s="3">
        <v>1.0661458333334226</v>
      </c>
      <c r="K168" s="3">
        <v>-3.5658854166666476</v>
      </c>
      <c r="L168" s="4">
        <v>8.5229544580125646E-2</v>
      </c>
      <c r="M168" s="4">
        <v>4.5531453148424321E-2</v>
      </c>
      <c r="N168" s="4">
        <f t="shared" si="59"/>
        <v>7.9941732092734502E-2</v>
      </c>
      <c r="O168" s="4">
        <f t="shared" si="58"/>
        <v>-1.2768624851380292E-2</v>
      </c>
      <c r="P168" s="7">
        <v>55.107997902821111</v>
      </c>
      <c r="Q168" s="7">
        <v>-86.674004875561707</v>
      </c>
      <c r="R168" s="7">
        <v>-31.566006972740595</v>
      </c>
      <c r="S168" s="4">
        <f t="shared" si="56"/>
        <v>0.63580767938368532</v>
      </c>
      <c r="T168" s="3">
        <v>3.1904270833333332</v>
      </c>
      <c r="U168" s="3">
        <v>25.600729166666682</v>
      </c>
      <c r="V168" s="7">
        <v>186.84791666666663</v>
      </c>
      <c r="W168">
        <v>48</v>
      </c>
      <c r="X168" s="21">
        <f t="shared" si="62"/>
        <v>216.64056521782348</v>
      </c>
      <c r="Y168" s="21">
        <f t="shared" si="63"/>
        <v>-209.41655505841118</v>
      </c>
      <c r="Z168" s="21">
        <f t="shared" si="64"/>
        <v>7.2240101594123116</v>
      </c>
      <c r="AA168" s="224">
        <f t="shared" si="65"/>
        <v>209.41655505841118</v>
      </c>
      <c r="AB168" s="199">
        <f t="shared" si="66"/>
        <v>1.0344958886244564</v>
      </c>
      <c r="AD168" s="13">
        <f t="shared" si="60"/>
        <v>25.660205754265768</v>
      </c>
      <c r="AE168" s="3">
        <f t="shared" si="61"/>
        <v>6.2838973163841789</v>
      </c>
      <c r="AG168" s="334">
        <v>41541</v>
      </c>
      <c r="AH168" s="349">
        <v>4.4394580000000001</v>
      </c>
      <c r="AI168" s="349">
        <v>8.5190000000000001</v>
      </c>
      <c r="AK168" s="226">
        <v>166</v>
      </c>
      <c r="AL168" s="229">
        <v>166</v>
      </c>
      <c r="AM168" s="227">
        <v>2.5404369999999998</v>
      </c>
      <c r="AN168" s="227">
        <v>7.8949999999999996</v>
      </c>
      <c r="AQ168" s="75">
        <v>134.58369440000001</v>
      </c>
      <c r="AR168" s="75">
        <v>-187.72786600000001</v>
      </c>
      <c r="AS168" s="244">
        <f t="shared" si="67"/>
        <v>259.85551858571432</v>
      </c>
      <c r="AT168" s="244">
        <f t="shared" si="68"/>
        <v>260.22816100000006</v>
      </c>
    </row>
    <row r="169" spans="1:46">
      <c r="A169" s="2">
        <v>41542</v>
      </c>
      <c r="B169" s="3">
        <v>28.029073313732276</v>
      </c>
      <c r="C169" s="3">
        <v>19.729792978208234</v>
      </c>
      <c r="D169" s="3">
        <v>10.9934013184163</v>
      </c>
      <c r="E169" s="7">
        <v>213.51617627983393</v>
      </c>
      <c r="F169" s="4">
        <v>0.97484489970776556</v>
      </c>
      <c r="G169" s="4">
        <v>1.8449906606710471</v>
      </c>
      <c r="H169" s="3">
        <v>30.803992736077486</v>
      </c>
      <c r="I169" s="4">
        <v>0.75106139744033229</v>
      </c>
      <c r="J169" s="3">
        <v>13.752864583333272</v>
      </c>
      <c r="K169" s="3">
        <v>-8.0625000000000639</v>
      </c>
      <c r="L169" s="4">
        <v>2.2641014841396533E-2</v>
      </c>
      <c r="M169" s="4">
        <v>3.5879564018017228E-3</v>
      </c>
      <c r="N169" s="4">
        <f t="shared" si="59"/>
        <v>1.6462762869660311E-3</v>
      </c>
      <c r="O169" s="4">
        <f t="shared" si="58"/>
        <v>-4.4501784828548149E-4</v>
      </c>
      <c r="P169" s="7">
        <v>261.55573829872822</v>
      </c>
      <c r="Q169" s="7">
        <v>-193.58611095364483</v>
      </c>
      <c r="R169" s="7">
        <v>67.969627345083381</v>
      </c>
      <c r="S169" s="4">
        <f t="shared" si="56"/>
        <v>1.3511079746901835</v>
      </c>
      <c r="T169" s="3">
        <v>2.5058775510204079</v>
      </c>
      <c r="U169" s="3">
        <v>26.883877551020401</v>
      </c>
      <c r="V169" s="7">
        <v>494.86041666666671</v>
      </c>
      <c r="W169">
        <v>49</v>
      </c>
      <c r="X169" s="21">
        <f t="shared" si="62"/>
        <v>204.45435567895589</v>
      </c>
      <c r="Y169" s="21">
        <f t="shared" si="63"/>
        <v>-204.16035135989475</v>
      </c>
      <c r="Z169" s="21">
        <f t="shared" si="64"/>
        <v>0.29400431906115898</v>
      </c>
      <c r="AA169" s="224">
        <f t="shared" si="65"/>
        <v>204.16035135989475</v>
      </c>
      <c r="AB169" s="199">
        <f t="shared" si="66"/>
        <v>1.0014400656988627</v>
      </c>
      <c r="AD169" s="13">
        <f t="shared" si="60"/>
        <v>26.258678226127895</v>
      </c>
      <c r="AE169" s="3">
        <f t="shared" si="61"/>
        <v>5.7469570390868157</v>
      </c>
      <c r="AG169" s="334">
        <v>41542</v>
      </c>
      <c r="AH169" s="349">
        <v>2.2131880000000002</v>
      </c>
      <c r="AI169" s="349">
        <v>4.2140000000000004</v>
      </c>
      <c r="AK169" s="226">
        <v>167</v>
      </c>
      <c r="AL169" s="228">
        <v>167</v>
      </c>
      <c r="AM169" s="225">
        <v>2.7518959999999999</v>
      </c>
      <c r="AN169" s="225">
        <v>4.2140000000000004</v>
      </c>
      <c r="AQ169" s="75">
        <v>346.92885660000002</v>
      </c>
      <c r="AR169" s="75">
        <v>-247.678969</v>
      </c>
      <c r="AS169" s="244">
        <f t="shared" si="67"/>
        <v>252.26920832857144</v>
      </c>
      <c r="AT169" s="244">
        <f t="shared" si="68"/>
        <v>252.92954671428575</v>
      </c>
    </row>
    <row r="170" spans="1:46">
      <c r="A170" s="2">
        <v>41543</v>
      </c>
      <c r="B170" s="3">
        <v>28.25094664548023</v>
      </c>
      <c r="C170" s="3">
        <v>19.565401659604522</v>
      </c>
      <c r="D170" s="3">
        <v>10.802201870932008</v>
      </c>
      <c r="E170" s="7">
        <v>216.97519420903959</v>
      </c>
      <c r="F170" s="4">
        <v>0.99338267062379881</v>
      </c>
      <c r="G170" s="4">
        <v>2.0500194209039559</v>
      </c>
      <c r="H170" s="3">
        <v>30.986683086158184</v>
      </c>
      <c r="I170" s="4">
        <v>0.83760999293785288</v>
      </c>
      <c r="J170" s="3">
        <v>7.2173913043479336</v>
      </c>
      <c r="K170" s="3">
        <v>-10.408000000000047</v>
      </c>
      <c r="L170" s="4">
        <v>5.0398377873400084E-3</v>
      </c>
      <c r="M170" s="4">
        <v>5.6090219213021777E-2</v>
      </c>
      <c r="N170" s="4">
        <f t="shared" si="59"/>
        <v>6.9829077776396669E-4</v>
      </c>
      <c r="O170" s="4">
        <f t="shared" si="58"/>
        <v>-5.3891448129344275E-3</v>
      </c>
      <c r="P170" s="7">
        <v>209.17122661498567</v>
      </c>
      <c r="Q170" s="7">
        <v>-251.13816526111367</v>
      </c>
      <c r="R170" s="7">
        <v>-41.966938646128</v>
      </c>
      <c r="S170" s="4">
        <f t="shared" si="56"/>
        <v>0.83289302682252975</v>
      </c>
      <c r="T170" s="3">
        <v>4.091843749999998</v>
      </c>
      <c r="U170" s="3">
        <v>25.837708333333325</v>
      </c>
      <c r="V170" s="7">
        <v>477.40652173913037</v>
      </c>
      <c r="W170">
        <v>48</v>
      </c>
      <c r="X170" s="21">
        <f t="shared" si="62"/>
        <v>199.84521208924022</v>
      </c>
      <c r="Y170" s="21">
        <f t="shared" si="63"/>
        <v>-188.06273938697572</v>
      </c>
      <c r="Z170" s="21">
        <f t="shared" si="64"/>
        <v>11.782472702264428</v>
      </c>
      <c r="AA170" s="224">
        <f t="shared" si="65"/>
        <v>188.06273938697572</v>
      </c>
      <c r="AB170" s="199">
        <f t="shared" si="66"/>
        <v>1.0626518189656897</v>
      </c>
      <c r="AD170" s="13">
        <f t="shared" si="60"/>
        <v>26.417637242939428</v>
      </c>
      <c r="AE170" s="3">
        <f t="shared" si="61"/>
        <v>6.6900893361581968</v>
      </c>
      <c r="AG170" s="334">
        <v>41543</v>
      </c>
      <c r="AH170" s="349">
        <v>3.058646</v>
      </c>
      <c r="AI170" s="349">
        <v>7.5640000000000001</v>
      </c>
      <c r="AK170" s="226">
        <v>168</v>
      </c>
      <c r="AL170" s="229">
        <v>168</v>
      </c>
      <c r="AM170" s="227">
        <v>4.7535629999999998</v>
      </c>
      <c r="AN170" s="227">
        <v>7.5640000000000001</v>
      </c>
      <c r="AQ170" s="75">
        <v>241.53430230000001</v>
      </c>
      <c r="AR170" s="75">
        <v>-301.78157099999999</v>
      </c>
      <c r="AS170" s="244">
        <f t="shared" si="67"/>
        <v>268.82908317142858</v>
      </c>
      <c r="AT170" s="244">
        <f t="shared" si="68"/>
        <v>268.87348814285713</v>
      </c>
    </row>
    <row r="171" spans="1:46">
      <c r="A171" s="2">
        <v>41544</v>
      </c>
      <c r="B171" s="3">
        <v>27.722236370056493</v>
      </c>
      <c r="C171" s="3">
        <v>19.599354166666661</v>
      </c>
      <c r="D171" s="3">
        <v>10.990650994305341</v>
      </c>
      <c r="E171" s="7">
        <v>216.50785663841805</v>
      </c>
      <c r="F171" s="4">
        <v>0.98252500554013789</v>
      </c>
      <c r="G171" s="4">
        <v>2.0454735169491522</v>
      </c>
      <c r="H171" s="3">
        <v>31.67143908898305</v>
      </c>
      <c r="I171" s="4">
        <v>0.91123287429378486</v>
      </c>
      <c r="J171" s="3">
        <v>14.68885869565225</v>
      </c>
      <c r="K171" s="3">
        <v>-9.5772500000001219</v>
      </c>
      <c r="L171" s="4">
        <v>8.4884017355573077E-2</v>
      </c>
      <c r="M171" s="4">
        <v>6.4750407393286386E-2</v>
      </c>
      <c r="N171" s="4">
        <f t="shared" si="59"/>
        <v>5.7788027725188661E-3</v>
      </c>
      <c r="O171" s="4">
        <f t="shared" si="58"/>
        <v>-6.7608559234942764E-3</v>
      </c>
      <c r="P171" s="7">
        <v>286.91070518066238</v>
      </c>
      <c r="Q171" s="7">
        <v>-231.40800977744186</v>
      </c>
      <c r="R171" s="7">
        <v>55.502695403220514</v>
      </c>
      <c r="S171" s="4">
        <f t="shared" si="56"/>
        <v>1.2398477712876084</v>
      </c>
      <c r="T171" s="3">
        <v>5.1130416666666667</v>
      </c>
      <c r="U171" s="3">
        <v>24.841875000000002</v>
      </c>
      <c r="V171" s="7">
        <v>561.20434782608697</v>
      </c>
      <c r="W171">
        <v>48</v>
      </c>
      <c r="X171" s="21">
        <f t="shared" si="62"/>
        <v>197.31038456373011</v>
      </c>
      <c r="Y171" s="21">
        <f t="shared" si="63"/>
        <v>-186.56338368402365</v>
      </c>
      <c r="Z171" s="21">
        <f t="shared" si="64"/>
        <v>10.747000879706439</v>
      </c>
      <c r="AA171" s="224">
        <f t="shared" si="65"/>
        <v>186.56338368402365</v>
      </c>
      <c r="AB171" s="199">
        <f t="shared" si="66"/>
        <v>1.0576050919933373</v>
      </c>
      <c r="AD171" s="13">
        <f t="shared" si="60"/>
        <v>27.013443977760165</v>
      </c>
      <c r="AE171" s="3">
        <f t="shared" si="61"/>
        <v>6.6691781779660992</v>
      </c>
      <c r="AG171" s="334">
        <v>41544</v>
      </c>
      <c r="AH171" s="349">
        <v>4.9978749999999996</v>
      </c>
      <c r="AI171" s="349">
        <v>8.125</v>
      </c>
      <c r="AK171" s="226">
        <v>169</v>
      </c>
      <c r="AL171" s="228">
        <v>169</v>
      </c>
      <c r="AM171" s="225">
        <v>5.0517919999999998</v>
      </c>
      <c r="AN171" s="225">
        <v>8.125</v>
      </c>
      <c r="AQ171" s="75">
        <v>310.96553949999998</v>
      </c>
      <c r="AR171" s="75">
        <v>-270.39883200000003</v>
      </c>
      <c r="AS171" s="244">
        <f t="shared" si="67"/>
        <v>239.95359321428572</v>
      </c>
      <c r="AT171" s="244">
        <f t="shared" si="68"/>
        <v>229.92107742857141</v>
      </c>
    </row>
    <row r="172" spans="1:46">
      <c r="A172" s="2">
        <v>41545</v>
      </c>
      <c r="B172" s="3">
        <v>27.272453460451985</v>
      </c>
      <c r="C172" s="3">
        <v>19.745036899717515</v>
      </c>
      <c r="D172" s="3">
        <v>11.236502920752921</v>
      </c>
      <c r="E172" s="7">
        <v>219.61115157132767</v>
      </c>
      <c r="F172" s="4">
        <v>0.98975905557634991</v>
      </c>
      <c r="G172" s="4">
        <v>1.9986634887005648</v>
      </c>
      <c r="H172" s="3">
        <v>31.597324682203393</v>
      </c>
      <c r="I172" s="4">
        <v>1.0091255296610169</v>
      </c>
      <c r="J172" s="3">
        <v>9.4641304347827404</v>
      </c>
      <c r="K172" s="3">
        <v>-8.8575000000001438</v>
      </c>
      <c r="L172" s="4">
        <v>5.0984967842571317E-2</v>
      </c>
      <c r="M172" s="4">
        <v>3.5889631734142474E-2</v>
      </c>
      <c r="N172" s="4">
        <f t="shared" si="59"/>
        <v>5.3871793287199911E-3</v>
      </c>
      <c r="O172" s="4">
        <f t="shared" si="58"/>
        <v>-4.0518918130558164E-3</v>
      </c>
      <c r="P172" s="7">
        <v>216.62733200097827</v>
      </c>
      <c r="Q172" s="7">
        <v>-213.44135116162283</v>
      </c>
      <c r="R172" s="7">
        <v>3.1859808393554374</v>
      </c>
      <c r="S172" s="4">
        <f t="shared" si="56"/>
        <v>1.0149267272813642</v>
      </c>
      <c r="T172" s="3">
        <v>5.0225625000000003</v>
      </c>
      <c r="U172" s="3">
        <v>24.652708333333326</v>
      </c>
      <c r="V172" s="7">
        <v>550.13043478260875</v>
      </c>
      <c r="W172">
        <v>48</v>
      </c>
      <c r="X172" s="21">
        <f t="shared" si="62"/>
        <v>208.18521850268812</v>
      </c>
      <c r="Y172" s="21">
        <f t="shared" si="63"/>
        <v>-191.08584740316127</v>
      </c>
      <c r="Z172" s="21">
        <f t="shared" si="64"/>
        <v>17.099371099526874</v>
      </c>
      <c r="AA172" s="224">
        <f t="shared" si="65"/>
        <v>191.08584740316127</v>
      </c>
      <c r="AB172" s="199">
        <f t="shared" si="66"/>
        <v>1.0894852828291874</v>
      </c>
      <c r="AD172" s="13">
        <f t="shared" si="60"/>
        <v>26.948956974324787</v>
      </c>
      <c r="AE172" s="3">
        <f t="shared" si="61"/>
        <v>6.4538520480225969</v>
      </c>
      <c r="AG172" s="334">
        <v>41545</v>
      </c>
      <c r="AH172" s="349">
        <v>4.9861040000000001</v>
      </c>
      <c r="AI172" s="349">
        <v>7.3049999999999997</v>
      </c>
      <c r="AK172" s="226">
        <v>170</v>
      </c>
      <c r="AL172" s="229">
        <v>170</v>
      </c>
      <c r="AM172" s="227">
        <v>4.7921870000000002</v>
      </c>
      <c r="AN172" s="227">
        <v>7.9169999999999998</v>
      </c>
      <c r="AQ172" s="75">
        <v>219.8011592</v>
      </c>
      <c r="AR172" s="75">
        <v>-168.17581799999999</v>
      </c>
      <c r="AS172" s="244">
        <f t="shared" si="67"/>
        <v>241.86685908571425</v>
      </c>
      <c r="AT172" s="244">
        <f t="shared" si="68"/>
        <v>223.94188271428575</v>
      </c>
    </row>
    <row r="173" spans="1:46">
      <c r="A173" s="2">
        <v>41546</v>
      </c>
      <c r="B173" s="3">
        <v>26.894583668785312</v>
      </c>
      <c r="C173" s="3">
        <v>19.09394209039548</v>
      </c>
      <c r="D173" s="3">
        <v>10.863792948555876</v>
      </c>
      <c r="E173" s="7">
        <v>219.73188117937846</v>
      </c>
      <c r="F173" s="4">
        <v>0.98022340936603625</v>
      </c>
      <c r="G173" s="4">
        <v>1.932195798022599</v>
      </c>
      <c r="H173" s="3">
        <v>35.398899894067803</v>
      </c>
      <c r="I173" s="4">
        <v>0.97392761299435016</v>
      </c>
      <c r="J173" s="3">
        <v>8.1277173913044809</v>
      </c>
      <c r="K173" s="3">
        <v>-6.1715000000000568</v>
      </c>
      <c r="L173" s="4">
        <v>5.2184060052792705E-2</v>
      </c>
      <c r="M173" s="4">
        <v>1.8489284823413103E-2</v>
      </c>
      <c r="N173" s="4">
        <f t="shared" si="59"/>
        <v>6.4205062184645272E-3</v>
      </c>
      <c r="O173" s="4">
        <f t="shared" si="58"/>
        <v>-2.9959142547861836E-3</v>
      </c>
      <c r="P173" s="7">
        <v>168.80868429022047</v>
      </c>
      <c r="Q173" s="7">
        <v>-148.55974283576327</v>
      </c>
      <c r="R173" s="7">
        <v>20.248941454457196</v>
      </c>
      <c r="S173" s="4">
        <f t="shared" si="56"/>
        <v>1.1363016727677224</v>
      </c>
      <c r="T173" s="3">
        <v>2.8088750000000005</v>
      </c>
      <c r="U173" s="3">
        <v>24.329791666666665</v>
      </c>
      <c r="V173" s="7">
        <v>487.85</v>
      </c>
      <c r="W173">
        <v>48</v>
      </c>
      <c r="X173" s="21">
        <f t="shared" si="62"/>
        <v>184.69015083278777</v>
      </c>
      <c r="Y173" s="21">
        <f t="shared" si="63"/>
        <v>-177.29782924134477</v>
      </c>
      <c r="Z173" s="21">
        <f t="shared" si="64"/>
        <v>7.392321591442963</v>
      </c>
      <c r="AA173" s="224">
        <f t="shared" si="65"/>
        <v>177.29782924134477</v>
      </c>
      <c r="AB173" s="199">
        <f t="shared" si="66"/>
        <v>1.0416943716856244</v>
      </c>
      <c r="AD173" s="13">
        <f t="shared" si="60"/>
        <v>30.256710546126186</v>
      </c>
      <c r="AE173" s="3">
        <f t="shared" si="61"/>
        <v>6.1481006709039541</v>
      </c>
      <c r="AG173" s="334">
        <v>41546</v>
      </c>
      <c r="AH173" s="349">
        <v>3.6594380000000002</v>
      </c>
      <c r="AI173" s="349">
        <v>7.9169999999999998</v>
      </c>
      <c r="AK173" s="226">
        <v>171</v>
      </c>
      <c r="AL173" s="228">
        <v>171</v>
      </c>
      <c r="AM173" s="225">
        <v>2.4086249999999998</v>
      </c>
      <c r="AN173" s="225">
        <v>4.3609999999999998</v>
      </c>
      <c r="AQ173" s="75">
        <v>204.78315370000001</v>
      </c>
      <c r="AR173" s="75">
        <v>-257.16597999999999</v>
      </c>
      <c r="AS173" s="244">
        <f t="shared" si="67"/>
        <v>201.38279578571428</v>
      </c>
      <c r="AT173" s="244">
        <f t="shared" si="68"/>
        <v>196.50680857142859</v>
      </c>
    </row>
    <row r="174" spans="1:46">
      <c r="A174" s="2">
        <v>41547</v>
      </c>
      <c r="B174" s="3">
        <v>26.890722687146901</v>
      </c>
      <c r="C174" s="3">
        <v>19.441908015536729</v>
      </c>
      <c r="D174" s="3">
        <v>11.124941764413125</v>
      </c>
      <c r="E174" s="7">
        <v>220.22448799435028</v>
      </c>
      <c r="F174" s="4">
        <v>0.98436989061839142</v>
      </c>
      <c r="G174" s="4">
        <v>1.8895150070621469</v>
      </c>
      <c r="H174" s="3">
        <v>32.94032079802259</v>
      </c>
      <c r="I174" s="4">
        <v>0.92143608757062123</v>
      </c>
      <c r="J174" s="3">
        <v>8.0478260869566061</v>
      </c>
      <c r="K174" s="3">
        <v>-7.4970000000000345</v>
      </c>
      <c r="L174" s="4">
        <v>2.1469179368627512E-2</v>
      </c>
      <c r="M174" s="4">
        <v>5.0345871792361836E-2</v>
      </c>
      <c r="N174" s="4">
        <f t="shared" si="59"/>
        <v>2.6676992192243522E-3</v>
      </c>
      <c r="O174" s="4">
        <f t="shared" si="58"/>
        <v>-6.7154690932855286E-3</v>
      </c>
      <c r="P174" s="7">
        <v>182.99100765771468</v>
      </c>
      <c r="Q174" s="7">
        <v>-181.13630092301753</v>
      </c>
      <c r="R174" s="7">
        <v>1.854706734697146</v>
      </c>
      <c r="S174" s="4">
        <f t="shared" si="56"/>
        <v>1.0102392879022377</v>
      </c>
      <c r="T174" s="3">
        <v>3.1225312500000002</v>
      </c>
      <c r="U174" s="3">
        <v>25.009062499999999</v>
      </c>
      <c r="V174" s="7">
        <v>336.94347826086954</v>
      </c>
      <c r="W174">
        <v>48</v>
      </c>
      <c r="X174" s="21"/>
      <c r="Y174" s="21"/>
      <c r="Z174" s="21"/>
      <c r="AA174" s="223"/>
      <c r="AB174" s="223"/>
      <c r="AD174" s="13">
        <f t="shared" si="60"/>
        <v>28.117498947439589</v>
      </c>
      <c r="AE174" s="3">
        <f t="shared" si="61"/>
        <v>5.9517690324858741</v>
      </c>
      <c r="AG174" s="334">
        <v>41547</v>
      </c>
      <c r="AH174" s="349">
        <v>2.6903329999999999</v>
      </c>
      <c r="AI174" s="349">
        <v>4.3609999999999998</v>
      </c>
      <c r="AK174" s="226">
        <v>172</v>
      </c>
      <c r="AL174" s="229">
        <v>172</v>
      </c>
      <c r="AM174" s="227">
        <v>3.424042</v>
      </c>
      <c r="AN174" s="227">
        <v>6.3339999999999996</v>
      </c>
      <c r="AQ174" s="75">
        <v>221.07844679999999</v>
      </c>
      <c r="AR174" s="75">
        <v>-176.518506</v>
      </c>
      <c r="AS174" s="161"/>
      <c r="AT174" s="161"/>
    </row>
    <row r="175" spans="1:46">
      <c r="A175" s="2">
        <v>41548</v>
      </c>
      <c r="B175" s="3">
        <v>27.005950953389824</v>
      </c>
      <c r="C175" s="3">
        <v>19.25778001412429</v>
      </c>
      <c r="D175" s="3">
        <v>10.952801209165159</v>
      </c>
      <c r="E175" s="7">
        <v>222.09538863877117</v>
      </c>
      <c r="F175" s="4">
        <v>0.99364603407112106</v>
      </c>
      <c r="G175" s="4">
        <v>1.617241348870057</v>
      </c>
      <c r="H175" s="3">
        <v>33.869611405367216</v>
      </c>
      <c r="I175" s="4">
        <v>0.90263188559322038</v>
      </c>
      <c r="J175" s="3">
        <v>6.2638586956520639</v>
      </c>
      <c r="K175" s="3">
        <v>-4.9059999999999162</v>
      </c>
      <c r="L175" s="4">
        <v>2.5660634567597446E-2</v>
      </c>
      <c r="M175" s="4">
        <v>2.4468787896949219E-2</v>
      </c>
      <c r="N175" s="4">
        <f t="shared" si="59"/>
        <v>4.0966177262921465E-3</v>
      </c>
      <c r="O175" s="4">
        <f t="shared" si="58"/>
        <v>-4.9875230120158247E-3</v>
      </c>
      <c r="P175" s="7">
        <v>131.23183547552722</v>
      </c>
      <c r="Q175" s="7">
        <v>-118.33125090952477</v>
      </c>
      <c r="R175" s="7">
        <v>12.900584566002451</v>
      </c>
      <c r="S175" s="4">
        <f t="shared" si="56"/>
        <v>1.1090209430462807</v>
      </c>
      <c r="T175" s="3">
        <v>3.4169583333333331</v>
      </c>
      <c r="U175" s="3">
        <v>25.794479166666672</v>
      </c>
      <c r="V175" s="7">
        <v>496.35652173913053</v>
      </c>
      <c r="W175">
        <v>48</v>
      </c>
      <c r="X175" s="21"/>
      <c r="Y175" s="21"/>
      <c r="Z175" s="21"/>
      <c r="AA175" s="223"/>
      <c r="AB175" s="223"/>
      <c r="AD175" s="13">
        <f t="shared" si="60"/>
        <v>28.926075433337434</v>
      </c>
      <c r="AE175" s="3">
        <f t="shared" si="61"/>
        <v>4.699310204802261</v>
      </c>
      <c r="AG175" s="334">
        <v>41548</v>
      </c>
      <c r="AH175" s="349">
        <v>3.5944790000000002</v>
      </c>
      <c r="AI175" s="349">
        <v>6.3339999999999996</v>
      </c>
      <c r="AK175" s="226">
        <v>173</v>
      </c>
      <c r="AL175" s="228">
        <v>173</v>
      </c>
      <c r="AM175" s="225">
        <v>3.4593750000000001</v>
      </c>
      <c r="AN175" s="225">
        <v>6.6479999999999997</v>
      </c>
      <c r="AQ175" s="75">
        <v>147.97655549999999</v>
      </c>
      <c r="AR175" s="75">
        <v>-145.873503</v>
      </c>
      <c r="AS175" s="161"/>
      <c r="AT175" s="161"/>
    </row>
    <row r="176" spans="1:46">
      <c r="A176" s="2">
        <v>41549</v>
      </c>
      <c r="B176" s="3">
        <v>26.756294473870057</v>
      </c>
      <c r="C176" s="3">
        <v>18.539959569209042</v>
      </c>
      <c r="D176" s="3">
        <v>10.490913389598605</v>
      </c>
      <c r="E176" s="7">
        <v>220.04653292725982</v>
      </c>
      <c r="F176" s="4">
        <v>0.976222551735208</v>
      </c>
      <c r="G176" s="4">
        <v>1.9537535310734457</v>
      </c>
      <c r="H176" s="3">
        <v>38.669429731638417</v>
      </c>
      <c r="I176" s="4">
        <v>0.95657115112994384</v>
      </c>
      <c r="J176" s="3">
        <v>4.2633152173913285</v>
      </c>
      <c r="K176" s="3">
        <v>-3.9972500000000024</v>
      </c>
      <c r="L176" s="4">
        <v>4.4896633241145907E-2</v>
      </c>
      <c r="M176" s="4">
        <v>4.7332659205395838E-2</v>
      </c>
      <c r="N176" s="4">
        <f t="shared" si="59"/>
        <v>1.0530920410951368E-2</v>
      </c>
      <c r="O176" s="4">
        <f t="shared" si="58"/>
        <v>-1.1841305699017026E-2</v>
      </c>
      <c r="P176" s="7">
        <v>97.090264609425532</v>
      </c>
      <c r="Q176" s="7">
        <v>-97.069983820929536</v>
      </c>
      <c r="R176" s="7">
        <v>2.0280788495995239E-2</v>
      </c>
      <c r="S176" s="4">
        <f t="shared" si="56"/>
        <v>1.0002089295547161</v>
      </c>
      <c r="T176" s="3">
        <v>5.0761875000000005</v>
      </c>
      <c r="U176" s="3">
        <v>24.91447916666667</v>
      </c>
      <c r="V176" s="7">
        <v>267.73043478260871</v>
      </c>
      <c r="W176">
        <v>48</v>
      </c>
      <c r="X176" s="182"/>
      <c r="Y176" s="21"/>
      <c r="Z176" s="21"/>
      <c r="AA176" s="223"/>
      <c r="AB176" s="223"/>
      <c r="AD176" s="13">
        <f t="shared" si="60"/>
        <v>33.102401121481577</v>
      </c>
      <c r="AE176" s="3">
        <f t="shared" si="61"/>
        <v>6.2472662429378492</v>
      </c>
      <c r="AG176" s="334">
        <v>41549</v>
      </c>
      <c r="AH176" s="349">
        <v>5.0595210000000002</v>
      </c>
      <c r="AI176" s="349">
        <v>6.6929999999999996</v>
      </c>
      <c r="AK176" s="226">
        <v>174</v>
      </c>
      <c r="AL176" s="229">
        <v>174</v>
      </c>
      <c r="AM176" s="227">
        <v>5.2290609999999997</v>
      </c>
      <c r="AN176" s="227">
        <v>6.8659999999999997</v>
      </c>
      <c r="AQ176" s="75">
        <v>63.5404135</v>
      </c>
      <c r="AR176" s="75">
        <v>-55.633450000000003</v>
      </c>
      <c r="AS176" s="161"/>
      <c r="AT176" s="161"/>
    </row>
    <row r="177" spans="9:44">
      <c r="N177" s="4"/>
      <c r="O177" s="4"/>
      <c r="AG177" s="334">
        <v>41550</v>
      </c>
      <c r="AH177" s="349">
        <v>4.9796399999999998</v>
      </c>
      <c r="AI177" s="349">
        <v>6.8659999999999997</v>
      </c>
      <c r="AQ177" s="75" t="s">
        <v>214</v>
      </c>
      <c r="AR177" s="75" t="s">
        <v>214</v>
      </c>
    </row>
    <row r="178" spans="9:44">
      <c r="M178" s="161"/>
      <c r="N178" s="161"/>
      <c r="O178" s="161"/>
      <c r="P178" s="179" t="s">
        <v>127</v>
      </c>
      <c r="Q178" s="180"/>
      <c r="R178" s="180"/>
      <c r="S178" s="180"/>
      <c r="T178" s="4"/>
      <c r="U178" s="4"/>
      <c r="V178" s="4"/>
      <c r="W178" s="161"/>
      <c r="X178" s="179" t="s">
        <v>127</v>
      </c>
      <c r="Y178" s="180"/>
      <c r="Z178" s="180"/>
      <c r="AA178" s="180"/>
      <c r="AB178" s="179"/>
      <c r="AC178" s="179"/>
      <c r="AD178" s="179"/>
      <c r="AE178" s="179"/>
      <c r="AF178" s="179"/>
    </row>
    <row r="179" spans="9:44">
      <c r="I179" s="18" t="s">
        <v>130</v>
      </c>
      <c r="J179" s="181" t="s">
        <v>305</v>
      </c>
      <c r="K179" s="181" t="s">
        <v>64</v>
      </c>
      <c r="L179" s="181" t="s">
        <v>24</v>
      </c>
      <c r="M179" s="181" t="s">
        <v>25</v>
      </c>
      <c r="N179" s="181" t="s">
        <v>332</v>
      </c>
      <c r="O179" s="181"/>
      <c r="P179" s="181" t="s">
        <v>30</v>
      </c>
      <c r="Q179" s="181" t="s">
        <v>31</v>
      </c>
      <c r="R179" s="181" t="s">
        <v>28</v>
      </c>
      <c r="S179" s="181" t="s">
        <v>164</v>
      </c>
      <c r="T179" s="4"/>
      <c r="U179" s="4"/>
      <c r="V179" s="4"/>
      <c r="W179" s="18" t="s">
        <v>130</v>
      </c>
      <c r="X179" s="181" t="s">
        <v>30</v>
      </c>
      <c r="Y179" s="181" t="s">
        <v>31</v>
      </c>
      <c r="Z179" s="181" t="s">
        <v>28</v>
      </c>
      <c r="AA179" s="181" t="s">
        <v>164</v>
      </c>
      <c r="AB179" s="181"/>
      <c r="AI179" s="4">
        <f>MIN(AI3:AI177)</f>
        <v>3.3559999999999999</v>
      </c>
    </row>
    <row r="180" spans="9:44">
      <c r="I180" s="80" t="s">
        <v>45</v>
      </c>
      <c r="J180" s="3">
        <f>AVERAGE(J3:J83)</f>
        <v>3.3844326602752419</v>
      </c>
      <c r="K180" s="3">
        <f>-AVERAGE(K3:K83)</f>
        <v>4.6942119136789913</v>
      </c>
      <c r="L180" s="4">
        <f>AVERAGE(L3:L83)</f>
        <v>3.1715217884644493E-2</v>
      </c>
      <c r="M180" s="4">
        <f>AVERAGE(M3:M83)</f>
        <v>3.4104568634742621E-2</v>
      </c>
      <c r="N180" s="367">
        <f>AVERAGE(N3:O83)</f>
        <v>1.6185789525632408E-5</v>
      </c>
      <c r="O180" s="4"/>
      <c r="P180" s="3">
        <f>AVERAGE(P3:P83)</f>
        <v>110.20409044807832</v>
      </c>
      <c r="Q180" s="3">
        <f>AVERAGE(Q3:Q83)*-1</f>
        <v>113.47959557552964</v>
      </c>
      <c r="R180" s="3">
        <f>AVERAGE(R3:R83)</f>
        <v>-3.2755051274513067</v>
      </c>
      <c r="S180" s="4">
        <f>AVERAGE(S3:S83)</f>
        <v>0.8388735444765627</v>
      </c>
      <c r="T180" s="4"/>
      <c r="U180" s="4"/>
      <c r="V180" s="4"/>
      <c r="W180" s="80" t="s">
        <v>45</v>
      </c>
      <c r="X180" s="3">
        <f>AVERAGE(X3:X83)</f>
        <v>109.2889026150752</v>
      </c>
      <c r="Y180" s="3">
        <f>AVERAGE(Y3:Y83)*-1</f>
        <v>112.567114158678</v>
      </c>
      <c r="Z180" s="3">
        <f>AVERAGE(Z3:Z83)</f>
        <v>-3.2782115436028247</v>
      </c>
      <c r="AA180" s="4">
        <f>AVERAGE(AB3:AB83)</f>
        <v>0.95240446159342984</v>
      </c>
      <c r="AB180" s="4"/>
      <c r="AI180" t="e">
        <f>ma</f>
        <v>#NAME?</v>
      </c>
    </row>
    <row r="181" spans="9:44">
      <c r="I181" s="80" t="s">
        <v>128</v>
      </c>
      <c r="J181" s="3">
        <f>STDEV(J3:J83)/SQRT(J184)</f>
        <v>0.42889830946176916</v>
      </c>
      <c r="K181" s="3">
        <f>STDEV(K3:K83)/SQRT(K184)</f>
        <v>0.39217645189714639</v>
      </c>
      <c r="L181" s="4">
        <f>STDEV(L3:L83)/SQRT(L184)</f>
        <v>7.2920239690903504E-3</v>
      </c>
      <c r="M181" s="4">
        <f>STDEV(M3:M83)/SQRT(M184)</f>
        <v>7.9345117430810359E-3</v>
      </c>
      <c r="N181" s="328">
        <f>STDEV(N3:O83)/SQRT(N184)</f>
        <v>6.2608455993488034E-3</v>
      </c>
      <c r="O181" s="4"/>
      <c r="P181" s="3">
        <f>STDEV(P3:P83)/SQRT(P184)</f>
        <v>10.089596461001836</v>
      </c>
      <c r="Q181" s="3">
        <f>STDEV(Q3:Q83)/SQRT(Q184)</f>
        <v>9.3921595827421864</v>
      </c>
      <c r="R181" s="3">
        <f>STDEV(R3:R83)/SQRT(R184)</f>
        <v>4.4928037012806863</v>
      </c>
      <c r="S181" s="4">
        <f>STDEV(S3:S83)/SQRT(S184)</f>
        <v>0.29990068326416275</v>
      </c>
      <c r="T181" s="4"/>
      <c r="U181" s="4"/>
      <c r="V181" s="4"/>
      <c r="W181" s="80" t="s">
        <v>128</v>
      </c>
      <c r="X181" s="3">
        <f>STDEV(X3:X83)/SQRT(X184)</f>
        <v>6.0683728245265032</v>
      </c>
      <c r="Y181" s="3">
        <f>STDEV(Y3:Y83)/SQRT(Y184)</f>
        <v>5.5598369726162771</v>
      </c>
      <c r="Z181" s="3">
        <f>STDEV(Z3:Z83)/SQRT(Z184)</f>
        <v>1.2373757011467676</v>
      </c>
      <c r="AA181" s="4">
        <f>STDEV(AB3:AB83)/SQRT(AA184)</f>
        <v>1.5460520483079741E-2</v>
      </c>
      <c r="AB181" s="4"/>
    </row>
    <row r="182" spans="9:44">
      <c r="I182" s="80" t="s">
        <v>39</v>
      </c>
      <c r="J182" s="3">
        <f>MIN(J3:J83)</f>
        <v>-8.1335000000000139</v>
      </c>
      <c r="K182" s="3">
        <f t="array" ref="K182">MIN(K3:K83*-1)</f>
        <v>-5.8303571428570553</v>
      </c>
      <c r="L182" s="4">
        <f>MIN(L3:L83)</f>
        <v>-5.3443801241112254E-2</v>
      </c>
      <c r="M182" s="4">
        <f>MIN(M3:M83)</f>
        <v>-5.7220471061141323E-2</v>
      </c>
      <c r="N182" s="4">
        <f>MIN(N3:O83)</f>
        <v>-0.61162562914812224</v>
      </c>
      <c r="O182" s="4"/>
      <c r="P182" s="3">
        <f>MIN(P3:P83)</f>
        <v>-122.81276535189828</v>
      </c>
      <c r="Q182" s="3">
        <f>MIN(Q3:Q83)*-1</f>
        <v>410.33977261697146</v>
      </c>
      <c r="R182" s="3">
        <f>MIN(R3:R83)</f>
        <v>-92.651542577189872</v>
      </c>
      <c r="S182" s="4">
        <f>MIN(S3:S83)</f>
        <v>-20.95009905372148</v>
      </c>
      <c r="T182" s="4"/>
      <c r="U182" s="4"/>
      <c r="V182" s="4"/>
      <c r="W182" s="80" t="s">
        <v>39</v>
      </c>
      <c r="X182" s="3">
        <f>MIN(X3:X83)</f>
        <v>29.604032745957284</v>
      </c>
      <c r="Y182" s="3">
        <f>MIN(Y3:Y83)*-1</f>
        <v>239.05841704855604</v>
      </c>
      <c r="Z182" s="3">
        <f>MIN(Z3:Z83)</f>
        <v>-28.21774231349583</v>
      </c>
      <c r="AA182" s="4">
        <f>MIN(AB3:AB83)</f>
        <v>0.51625199688366352</v>
      </c>
      <c r="AB182" s="4"/>
    </row>
    <row r="183" spans="9:44">
      <c r="I183" s="80" t="s">
        <v>38</v>
      </c>
      <c r="J183" s="3">
        <f>MAX(J3:J83)</f>
        <v>13.43125</v>
      </c>
      <c r="K183" s="3">
        <f t="array" ref="K183">MAX(K3:K83*-1)</f>
        <v>17.11499999999986</v>
      </c>
      <c r="L183" s="4">
        <f>MAX(L3:L83)</f>
        <v>0.25284421246737454</v>
      </c>
      <c r="M183" s="4">
        <f>MAX(M3:M83)</f>
        <v>0.38835302275722633</v>
      </c>
      <c r="N183" s="4">
        <f>MAX(N3:O83)</f>
        <v>0.56983972677908568</v>
      </c>
      <c r="O183" s="4"/>
      <c r="P183" s="3">
        <f>MAX(P3:P83)</f>
        <v>404.24276387068306</v>
      </c>
      <c r="Q183" s="3">
        <f>MAX(Q3:Q83)*-1</f>
        <v>-138.87680402423678</v>
      </c>
      <c r="R183" s="3">
        <f>MAX(R3:R83)</f>
        <v>100.60000891766774</v>
      </c>
      <c r="S183" s="4">
        <f>MAX(S3:S83)</f>
        <v>8.6357320566088376</v>
      </c>
      <c r="T183" s="4"/>
      <c r="U183" s="4"/>
      <c r="V183" s="4"/>
      <c r="W183" s="80" t="s">
        <v>38</v>
      </c>
      <c r="X183" s="3">
        <f>MAX(X3:X83)</f>
        <v>243.86434693367758</v>
      </c>
      <c r="Y183" s="3">
        <f>MAX(Y3:Y83)*-1</f>
        <v>54.76598551181803</v>
      </c>
      <c r="Z183" s="3">
        <f>MAX(Z3:Z83)</f>
        <v>23.168068963560081</v>
      </c>
      <c r="AA183" s="4">
        <f>MAX(AB3:AB83)</f>
        <v>1.2505000122633965</v>
      </c>
      <c r="AB183" s="4"/>
    </row>
    <row r="184" spans="9:44">
      <c r="I184" s="80" t="s">
        <v>46</v>
      </c>
      <c r="J184" s="163">
        <f>COUNT(J3:J83)</f>
        <v>81</v>
      </c>
      <c r="K184" s="163">
        <f>COUNT(K3:K83)</f>
        <v>81</v>
      </c>
      <c r="L184" s="163">
        <f>COUNT(L3:L83)</f>
        <v>81</v>
      </c>
      <c r="M184" s="163">
        <f>COUNT(M3:M83)</f>
        <v>81</v>
      </c>
      <c r="N184" s="163">
        <f>COUNT(N3:O83)</f>
        <v>162</v>
      </c>
      <c r="O184" s="163"/>
      <c r="P184" s="163">
        <f>COUNT(P3:P83)</f>
        <v>81</v>
      </c>
      <c r="Q184" s="163">
        <f>COUNT(Q3:Q83)</f>
        <v>81</v>
      </c>
      <c r="R184" s="163">
        <f>COUNT(R3:R83)</f>
        <v>81</v>
      </c>
      <c r="S184" s="163">
        <f>COUNT(S3:S83)</f>
        <v>81</v>
      </c>
      <c r="T184" s="4"/>
      <c r="U184" s="4"/>
      <c r="V184" s="4"/>
      <c r="W184" s="80" t="s">
        <v>46</v>
      </c>
      <c r="X184" s="163">
        <f>COUNT(X3:X83)</f>
        <v>75</v>
      </c>
      <c r="Y184" s="163">
        <f>COUNT(Y3:Y83)</f>
        <v>75</v>
      </c>
      <c r="Z184" s="163">
        <f>COUNT(Z3:Z83)</f>
        <v>75</v>
      </c>
      <c r="AA184" s="163">
        <f>COUNT(AB3:AB83)</f>
        <v>75</v>
      </c>
      <c r="AB184" s="163"/>
    </row>
    <row r="185" spans="9:44">
      <c r="I185" s="164"/>
      <c r="J185" s="3"/>
      <c r="K185" s="3"/>
      <c r="L185" s="3"/>
      <c r="P185" s="3"/>
      <c r="Q185" s="3"/>
      <c r="R185" s="3"/>
      <c r="S185" s="3"/>
      <c r="T185" s="4"/>
      <c r="U185" s="4"/>
      <c r="V185" s="4"/>
      <c r="W185" s="164"/>
      <c r="X185" s="3"/>
      <c r="Y185" s="3"/>
      <c r="Z185" s="3"/>
      <c r="AA185" s="3"/>
      <c r="AB185" s="161"/>
    </row>
    <row r="186" spans="9:44">
      <c r="I186" s="18" t="s">
        <v>131</v>
      </c>
      <c r="J186" s="3"/>
      <c r="K186" s="3"/>
      <c r="L186" s="3"/>
      <c r="P186" s="3"/>
      <c r="Q186" s="3"/>
      <c r="R186" s="3"/>
      <c r="S186" s="3"/>
      <c r="T186" s="4"/>
      <c r="U186" s="4"/>
      <c r="V186" s="4"/>
      <c r="W186" s="18" t="s">
        <v>131</v>
      </c>
      <c r="X186" s="3"/>
      <c r="Y186" s="3"/>
      <c r="Z186" s="3"/>
      <c r="AA186" s="3"/>
      <c r="AB186" s="161"/>
    </row>
    <row r="187" spans="9:44">
      <c r="I187" s="80" t="s">
        <v>45</v>
      </c>
      <c r="J187" s="3">
        <f>AVERAGE(J93:J176)</f>
        <v>10.285628503649054</v>
      </c>
      <c r="K187" s="3">
        <f>AVERAGE(K93:K176)</f>
        <v>-11.823689057837969</v>
      </c>
      <c r="L187" s="3">
        <f>AVERAGE(L93:L176)</f>
        <v>-5.5426285047640633E-2</v>
      </c>
      <c r="M187" s="3">
        <f>AVERAGE(M93:M176)</f>
        <v>-2.6301657250648057E-2</v>
      </c>
      <c r="N187" s="3">
        <f>AVERAGE(N93:O176)</f>
        <v>4.378225321689873E-3</v>
      </c>
      <c r="P187" s="3">
        <f>AVERAGE(P93:P176)</f>
        <v>283.40614825070816</v>
      </c>
      <c r="Q187" s="3">
        <f>AVERAGE(Q93:Q176)*-1</f>
        <v>283.1372976140957</v>
      </c>
      <c r="R187" s="3">
        <f>AVERAGE(R93:R176)</f>
        <v>0.26885063661247849</v>
      </c>
      <c r="S187" s="4">
        <f>AVERAGE(S93:S176)</f>
        <v>0.9701294873288947</v>
      </c>
      <c r="T187" s="4"/>
      <c r="U187" s="4"/>
      <c r="V187" s="4"/>
      <c r="W187" s="80" t="s">
        <v>45</v>
      </c>
      <c r="X187" s="3">
        <f>AVERAGE(X93:X176)</f>
        <v>292.09041699877628</v>
      </c>
      <c r="Y187" s="3">
        <f>AVERAGE(Y93:Y176)*-1</f>
        <v>291.86041221992258</v>
      </c>
      <c r="Z187" s="3">
        <f>AVERAGE(Z93:Z176)</f>
        <v>0.23000477885372056</v>
      </c>
      <c r="AA187" s="4">
        <f>AVERAGE(AB93:AB176)</f>
        <v>1.0027332961767954</v>
      </c>
      <c r="AB187" s="4"/>
    </row>
    <row r="188" spans="9:44">
      <c r="I188" s="80" t="s">
        <v>128</v>
      </c>
      <c r="J188" s="3">
        <f>STDEV(J93:J176)/SQRT(J191)</f>
        <v>0.75518170686210495</v>
      </c>
      <c r="K188" s="3">
        <f>STDEV(K93:K176)/SQRT(K191)</f>
        <v>0.71049207980487639</v>
      </c>
      <c r="L188" s="3">
        <f>STDEV(L93:L176)/SQRT(L191)</f>
        <v>1.3926678366843264E-2</v>
      </c>
      <c r="M188" s="3">
        <f>STDEV(M93:M176)/SQRT(M191)</f>
        <v>1.2149278140799288E-2</v>
      </c>
      <c r="N188" s="3">
        <f>STDEV(N93:O176)/SQRT(N191)</f>
        <v>4.3167769783065109E-3</v>
      </c>
      <c r="P188" s="3">
        <f>STDEV(P93:P176)/SQRT(P191)</f>
        <v>16.469162302461207</v>
      </c>
      <c r="Q188" s="3">
        <f>STDEV(Q93:Q176)/SQRT(Q191)</f>
        <v>16.87201283710262</v>
      </c>
      <c r="R188" s="3">
        <f>STDEV(R93:R176)/SQRT(R191)</f>
        <v>7.6521594025508994</v>
      </c>
      <c r="S188" s="4">
        <f>STDEV(S93:S176)/SQRT(S191)</f>
        <v>0.10426014923069254</v>
      </c>
      <c r="T188" s="4"/>
      <c r="U188" s="4"/>
      <c r="V188" s="4"/>
      <c r="W188" s="80" t="s">
        <v>128</v>
      </c>
      <c r="X188" s="3">
        <f>STDEV(X93:X176)/SQRT(X191)</f>
        <v>12.171223737523803</v>
      </c>
      <c r="Y188" s="3">
        <f>STDEV(Y93:Y176)/SQRT(Y191)</f>
        <v>12.266860880861033</v>
      </c>
      <c r="Z188" s="3">
        <f>STDEV(Z93:Z176)/SQRT(Z191)</f>
        <v>2.6689115951693605</v>
      </c>
      <c r="AA188" s="4">
        <f>STDEV(AB93:AB176)/SQRT(AA191)</f>
        <v>7.6200188815432456E-3</v>
      </c>
      <c r="AB188" s="4"/>
    </row>
    <row r="189" spans="9:44">
      <c r="I189" s="80" t="s">
        <v>39</v>
      </c>
      <c r="J189" s="3">
        <f>MIN(J93:J176)</f>
        <v>-2.9953124999999834</v>
      </c>
      <c r="K189" s="3">
        <f>MIN(K93:K176)</f>
        <v>-33.585326086956641</v>
      </c>
      <c r="L189" s="3">
        <f>MIN(L93:L176)</f>
        <v>-0.51018414849818361</v>
      </c>
      <c r="M189" s="3">
        <f>MIN(M93:M176)</f>
        <v>-0.42259293868328801</v>
      </c>
      <c r="N189" s="3">
        <f>MIN(N93:O176)</f>
        <v>-8.9430001366033657E-2</v>
      </c>
      <c r="P189" s="3">
        <f>MIN(P93:P176)</f>
        <v>21.004930043889683</v>
      </c>
      <c r="Q189" s="3">
        <f>MIN(Q93:Q176)*-1</f>
        <v>803.36987820579441</v>
      </c>
      <c r="R189" s="3">
        <f>MIN(R93:R176)</f>
        <v>-217.05876676675874</v>
      </c>
      <c r="S189" s="4">
        <f>MIN(S93:S176)</f>
        <v>-6.1642176258904922</v>
      </c>
      <c r="T189" s="4"/>
      <c r="U189" s="4"/>
      <c r="V189" s="4"/>
      <c r="W189" s="80" t="s">
        <v>39</v>
      </c>
      <c r="X189" s="3">
        <f>MIN(X93:X176)</f>
        <v>175.3081396885878</v>
      </c>
      <c r="Y189" s="3">
        <f>MIN(Y93:Y176)*-1</f>
        <v>563.26449945276261</v>
      </c>
      <c r="Z189" s="3">
        <f>MIN(Z93:Z176)</f>
        <v>-85.023288086861257</v>
      </c>
      <c r="AA189" s="4">
        <f>MIN(AB93:AB176)</f>
        <v>0.84905264193027385</v>
      </c>
      <c r="AB189" s="4"/>
    </row>
    <row r="190" spans="9:44">
      <c r="I190" s="80" t="s">
        <v>38</v>
      </c>
      <c r="J190" s="3">
        <f>MAX(J93:J176)</f>
        <v>30.720410714285904</v>
      </c>
      <c r="K190" s="3">
        <f>MAX(K93:K176)</f>
        <v>0.45062499999997652</v>
      </c>
      <c r="L190" s="3">
        <f>MAX(L93:L176)</f>
        <v>0.24389742409972359</v>
      </c>
      <c r="M190" s="3">
        <f>MAX(M93:M176)</f>
        <v>0.30075786516392905</v>
      </c>
      <c r="N190" s="3">
        <f>MAX(N93:O176)</f>
        <v>0.66742383392831006</v>
      </c>
      <c r="P190" s="3">
        <f>MAX(P93:P176)</f>
        <v>783.37068303458773</v>
      </c>
      <c r="Q190" s="3">
        <f>MAX(Q93:Q176)*-1</f>
        <v>-3.5968112360650926</v>
      </c>
      <c r="R190" s="3">
        <f>MAX(R93:R176)</f>
        <v>222.76818889552536</v>
      </c>
      <c r="S190" s="4">
        <f>MAX(S93:S176)</f>
        <v>5.4093678970769243</v>
      </c>
      <c r="T190" s="4"/>
      <c r="U190" s="4"/>
      <c r="V190" s="4"/>
      <c r="W190" s="80" t="s">
        <v>38</v>
      </c>
      <c r="X190" s="3">
        <f>MAX(X93:X176)</f>
        <v>517.04469191041767</v>
      </c>
      <c r="Y190" s="3">
        <f>MAX(Y93:Y176)*-1</f>
        <v>177.29782924134477</v>
      </c>
      <c r="Z190" s="3">
        <f>MAX(Z93:Z176)</f>
        <v>65.715480283494827</v>
      </c>
      <c r="AA190" s="4">
        <f>MAX(AB93:AB176)</f>
        <v>1.1642764953723437</v>
      </c>
      <c r="AB190" s="4"/>
    </row>
    <row r="191" spans="9:44">
      <c r="I191" s="80" t="s">
        <v>46</v>
      </c>
      <c r="J191" s="3">
        <f>COUNT(J93:J176)</f>
        <v>84</v>
      </c>
      <c r="K191" s="3">
        <f>COUNT(K93:K176)</f>
        <v>84</v>
      </c>
      <c r="L191" s="163">
        <f>COUNT(L93:L176)</f>
        <v>84</v>
      </c>
      <c r="M191" s="163">
        <f>COUNT(M93:M176)</f>
        <v>84</v>
      </c>
      <c r="N191" s="163">
        <f>COUNT(N93:O176)</f>
        <v>168</v>
      </c>
      <c r="O191" s="163"/>
      <c r="P191" s="3">
        <f>COUNT(P93:P176)</f>
        <v>84</v>
      </c>
      <c r="Q191" s="3">
        <f>COUNT(Q93:Q176)</f>
        <v>84</v>
      </c>
      <c r="R191" s="3">
        <f>COUNT(R93:R176)</f>
        <v>84</v>
      </c>
      <c r="S191" s="3">
        <f>COUNT(S93:S176)</f>
        <v>84</v>
      </c>
      <c r="T191" s="4"/>
      <c r="U191" s="4"/>
      <c r="V191" s="4"/>
      <c r="W191" s="80" t="s">
        <v>46</v>
      </c>
      <c r="X191" s="3">
        <f>COUNT(X93:X176)</f>
        <v>78</v>
      </c>
      <c r="Y191" s="3">
        <f>COUNT(Y93:Y176)</f>
        <v>78</v>
      </c>
      <c r="Z191" s="3">
        <f>COUNT(Z93:Z176)</f>
        <v>78</v>
      </c>
      <c r="AA191" s="3">
        <f>COUNT(AB93:AB176)</f>
        <v>78</v>
      </c>
      <c r="AB191" s="3"/>
    </row>
    <row r="192" spans="9:44">
      <c r="I192" s="164"/>
      <c r="J192" s="163"/>
      <c r="K192" s="163"/>
      <c r="L192" s="163"/>
      <c r="M192" s="163"/>
      <c r="N192" s="163"/>
      <c r="O192" s="163"/>
      <c r="P192" s="163"/>
      <c r="Q192" s="163"/>
      <c r="R192" s="163"/>
      <c r="S192" s="163"/>
      <c r="T192" s="4"/>
      <c r="U192" s="4"/>
      <c r="V192" s="4"/>
      <c r="W192" s="164"/>
      <c r="X192" s="163"/>
      <c r="Y192" s="163"/>
      <c r="Z192" s="163"/>
      <c r="AA192" s="163"/>
      <c r="AB192" s="163"/>
    </row>
    <row r="193" spans="9:29">
      <c r="I193" s="18" t="s">
        <v>145</v>
      </c>
      <c r="M193" s="4"/>
      <c r="N193" s="4"/>
      <c r="O193" s="4"/>
      <c r="T193" s="4"/>
      <c r="U193" s="4"/>
      <c r="V193" s="4"/>
      <c r="W193" s="18" t="s">
        <v>145</v>
      </c>
      <c r="X193" s="4"/>
      <c r="Y193" s="4"/>
      <c r="Z193" s="4"/>
      <c r="AA193" s="4"/>
      <c r="AB193" s="4"/>
    </row>
    <row r="194" spans="9:29">
      <c r="I194" s="80" t="s">
        <v>45</v>
      </c>
      <c r="J194" s="3">
        <f>AVERAGE(J3:J176)</f>
        <v>6.8977687259928171</v>
      </c>
      <c r="K194" s="3">
        <f>AVERAGE(K3:K176)</f>
        <v>-8.3071373244963098</v>
      </c>
      <c r="L194" s="3">
        <f>AVERAGE(L3:L176)</f>
        <v>-1.2647729062700657E-2</v>
      </c>
      <c r="M194" s="328">
        <f>MEDIAN(M3:M176)</f>
        <v>4.5334067621916798E-3</v>
      </c>
      <c r="N194" s="366">
        <f>AVERAGE(N3:O176)</f>
        <v>2.2476506393713427E-3</v>
      </c>
      <c r="P194" s="3">
        <f>AVERAGE(P3:P176)</f>
        <v>198.37968351123533</v>
      </c>
      <c r="Q194" s="3">
        <f>AVERAGE(Q3:Q176)*-1</f>
        <v>199.44659424251034</v>
      </c>
      <c r="R194" s="3">
        <f>AVERAGE(R3:R176)</f>
        <v>-1.4711058293824715</v>
      </c>
      <c r="S194" s="4">
        <f>AVERAGE(S3:S176)</f>
        <v>0.90569475174684111</v>
      </c>
      <c r="T194" s="3"/>
      <c r="U194" s="4"/>
      <c r="V194" s="4"/>
      <c r="W194" s="80" t="s">
        <v>45</v>
      </c>
      <c r="X194" s="3">
        <f>AVERAGE(X3:X176)</f>
        <v>202.48183151656988</v>
      </c>
      <c r="Y194" s="3">
        <f>AVERAGE(Y3:Y176)*-1</f>
        <v>203.97154062127331</v>
      </c>
      <c r="Z194" s="3">
        <f>AVERAGE(Z3:Z176)</f>
        <v>-1.4897091047034081</v>
      </c>
      <c r="AA194" s="4">
        <f>AVERAGE(AB3:AB176)</f>
        <v>0.9780622988320089</v>
      </c>
      <c r="AB194" s="3"/>
    </row>
    <row r="195" spans="9:29">
      <c r="I195" s="80" t="s">
        <v>128</v>
      </c>
      <c r="J195" s="3">
        <f>STDEV(J3:J176)/SQRT(J198)</f>
        <v>0.5133866401980024</v>
      </c>
      <c r="K195" s="3">
        <f>STDEV(K3:K176)/SQRT(K198)</f>
        <v>0.49161242284836004</v>
      </c>
      <c r="L195" s="3">
        <f>STDEV(L3:L176)/SQRT(L198)</f>
        <v>8.6184094231661172E-3</v>
      </c>
      <c r="M195" s="4">
        <f>STDEV(M3:M176)/SQRT(M198)</f>
        <v>7.6161858892968568E-3</v>
      </c>
      <c r="N195" s="366">
        <f>STDEV(N3:O176)/SQRT(N198)</f>
        <v>3.7630549109434041E-3</v>
      </c>
      <c r="P195" s="3">
        <f>STDEV(P3:P176)/SQRT(P198)</f>
        <v>11.831144561770611</v>
      </c>
      <c r="Q195" s="3">
        <f>STDEV(Q3:Q176)/SQRT(Q198)</f>
        <v>11.69734019640596</v>
      </c>
      <c r="R195" s="3">
        <f>STDEV(R3:R176)/SQRT(R198)</f>
        <v>4.4653876516090554</v>
      </c>
      <c r="S195" s="4">
        <f>STDEV(S3:S176)/SQRT(S198)</f>
        <v>0.15609225004628766</v>
      </c>
      <c r="T195" s="3"/>
      <c r="U195" s="4"/>
      <c r="V195" s="4"/>
      <c r="W195" s="80" t="s">
        <v>128</v>
      </c>
      <c r="X195" s="3">
        <f>STDEV(X3:X176)/SQRT(X198)</f>
        <v>10.098811290148539</v>
      </c>
      <c r="Y195" s="3">
        <f>STDEV(Y3:Y176)/SQRT(Y198)</f>
        <v>9.9543886057403412</v>
      </c>
      <c r="Z195" s="3">
        <f>STDEV(Z3:Z176)/SQRT(Z198)</f>
        <v>1.491713358278226</v>
      </c>
      <c r="AA195" s="4">
        <f>STDEV(AB3:AB176)/SQRT(AA198)</f>
        <v>8.7294648034751052E-3</v>
      </c>
      <c r="AB195" s="3"/>
    </row>
    <row r="196" spans="9:29">
      <c r="I196" s="80" t="s">
        <v>39</v>
      </c>
      <c r="J196" s="3">
        <f>MIN(J3:J176)</f>
        <v>-8.1335000000000139</v>
      </c>
      <c r="K196" s="3">
        <f>MIN(K3:K176)</f>
        <v>-33.585326086956641</v>
      </c>
      <c r="L196" s="4">
        <f>MIN(L3:L176)</f>
        <v>-0.51018414849818361</v>
      </c>
      <c r="M196" s="4">
        <f>MIN(M3:M176)</f>
        <v>-0.42259293868328801</v>
      </c>
      <c r="N196" s="3">
        <f>MIN(N3:O176)</f>
        <v>-0.61162562914812224</v>
      </c>
      <c r="P196" s="3">
        <f>MIN(P3:P176)</f>
        <v>-122.81276535189828</v>
      </c>
      <c r="Q196" s="3">
        <f>MIN(Q3:Q176)*-1</f>
        <v>803.36987820579441</v>
      </c>
      <c r="R196" s="3">
        <f>MIN(R3:R176)</f>
        <v>-217.05876676675874</v>
      </c>
      <c r="S196" s="4">
        <f>MIN(S3:S176)</f>
        <v>-20.95009905372148</v>
      </c>
      <c r="T196" s="3"/>
      <c r="U196" s="4"/>
      <c r="V196" s="4"/>
      <c r="W196" s="80" t="s">
        <v>39</v>
      </c>
      <c r="X196" s="3">
        <f>MIN(X3:X176)</f>
        <v>29.604032745957284</v>
      </c>
      <c r="Y196" s="3">
        <f>MIN(Y3:Y176)*-1</f>
        <v>563.26449945276261</v>
      </c>
      <c r="Z196" s="3">
        <f>MIN(Z3:Z176)</f>
        <v>-85.023288086861257</v>
      </c>
      <c r="AA196" s="4">
        <f>MIN(AB3:AB176)</f>
        <v>0.51625199688366352</v>
      </c>
      <c r="AB196" s="3"/>
    </row>
    <row r="197" spans="9:29">
      <c r="I197" s="80" t="s">
        <v>38</v>
      </c>
      <c r="J197" s="3">
        <f>MAX(J3:J176)</f>
        <v>30.720410714285904</v>
      </c>
      <c r="K197" s="3">
        <f>MAX(K3:K176)</f>
        <v>5.8303571428570553</v>
      </c>
      <c r="L197" s="3">
        <f>MAX(L3:L176)</f>
        <v>0.25284421246737454</v>
      </c>
      <c r="M197" s="4">
        <f>MAX(M3:M176)</f>
        <v>0.38835302275722633</v>
      </c>
      <c r="N197" s="3">
        <f>MAX(N3:O176)</f>
        <v>0.66742383392831006</v>
      </c>
      <c r="P197" s="3">
        <f>MAX(P3:P176)</f>
        <v>783.37068303458773</v>
      </c>
      <c r="Q197" s="3">
        <f>MAX(Q3:Q176)*-1</f>
        <v>-138.87680402423678</v>
      </c>
      <c r="R197" s="3">
        <f>MAX(R3:R176)</f>
        <v>222.76818889552536</v>
      </c>
      <c r="S197" s="4">
        <f>MAX(S3:S176)</f>
        <v>8.6357320566088376</v>
      </c>
      <c r="T197" s="3"/>
      <c r="U197" s="4"/>
      <c r="V197" s="4"/>
      <c r="W197" s="80" t="s">
        <v>38</v>
      </c>
      <c r="X197" s="3">
        <f>MAX(X3:X176)</f>
        <v>517.04469191041767</v>
      </c>
      <c r="Y197" s="3">
        <f>MAX(Y3:Y176)*-1</f>
        <v>54.76598551181803</v>
      </c>
      <c r="Z197" s="3">
        <f>MAX(Z3:Z176)</f>
        <v>65.715480283494827</v>
      </c>
      <c r="AA197" s="4">
        <f>MAX(AB3:AB176)</f>
        <v>1.2505000122633965</v>
      </c>
      <c r="AB197" s="3"/>
    </row>
    <row r="198" spans="9:29">
      <c r="I198" s="80" t="s">
        <v>46</v>
      </c>
      <c r="J198" s="163">
        <f>COUNT(J3:J176)</f>
        <v>165</v>
      </c>
      <c r="K198" s="163">
        <f>COUNT(K3:K176)</f>
        <v>166</v>
      </c>
      <c r="L198" s="163">
        <f>COUNT(L3:L176)</f>
        <v>165</v>
      </c>
      <c r="M198" s="163">
        <f>COUNT(M3:M176)</f>
        <v>166</v>
      </c>
      <c r="N198" s="163">
        <f>COUNT(N3:O176)</f>
        <v>331</v>
      </c>
      <c r="O198" s="163"/>
      <c r="P198" s="163">
        <f>COUNT(P3:P176)</f>
        <v>165</v>
      </c>
      <c r="Q198" s="163">
        <f>COUNT(Q3:Q176)</f>
        <v>166</v>
      </c>
      <c r="R198" s="163">
        <f>COUNT(R3:R176)</f>
        <v>165</v>
      </c>
      <c r="S198" s="163">
        <f>COUNT(S3:S176)</f>
        <v>165</v>
      </c>
      <c r="T198" s="163"/>
      <c r="U198" s="4"/>
      <c r="V198" s="4"/>
      <c r="W198" s="80" t="s">
        <v>46</v>
      </c>
      <c r="X198" s="163">
        <f>COUNT(X3:X176)</f>
        <v>153</v>
      </c>
      <c r="Y198" s="163">
        <f>COUNT(Y3:Y176)</f>
        <v>153</v>
      </c>
      <c r="Z198" s="163">
        <f>COUNT(Z3:Z176)</f>
        <v>153</v>
      </c>
      <c r="AA198" s="163">
        <f>COUNT(AB3:AB176)</f>
        <v>153</v>
      </c>
      <c r="AB198" s="163"/>
    </row>
    <row r="199" spans="9:29">
      <c r="P199" s="19"/>
      <c r="Q199" s="19"/>
      <c r="R199" s="19"/>
      <c r="S199" s="19"/>
    </row>
    <row r="200" spans="9:29">
      <c r="L200" s="161"/>
      <c r="P200" s="179"/>
      <c r="Q200" s="179"/>
      <c r="R200" s="179"/>
      <c r="S200" s="179"/>
      <c r="W200" s="161"/>
      <c r="X200" s="179"/>
      <c r="Y200" s="180"/>
      <c r="Z200" s="180"/>
      <c r="AC200" s="179"/>
    </row>
    <row r="201" spans="9:29">
      <c r="L201" s="4">
        <f>0.5</f>
        <v>0.5</v>
      </c>
      <c r="M201" s="3" t="s">
        <v>335</v>
      </c>
      <c r="P201" s="181"/>
      <c r="Q201" s="181"/>
      <c r="R201" s="181"/>
      <c r="S201" s="181"/>
      <c r="W201" s="18"/>
      <c r="X201" s="181"/>
      <c r="Y201" s="181"/>
      <c r="Z201" s="181"/>
      <c r="AC201" s="181"/>
    </row>
    <row r="202" spans="9:29">
      <c r="M202" s="18"/>
      <c r="N202" s="18"/>
      <c r="O202" s="18"/>
      <c r="W202" s="18"/>
      <c r="X202" s="4"/>
      <c r="Y202" s="4"/>
      <c r="Z202" s="4"/>
      <c r="AC202" s="161"/>
    </row>
    <row r="203" spans="9:29">
      <c r="M203" s="80"/>
      <c r="N203" s="80"/>
      <c r="O203" s="80"/>
      <c r="P203" s="3"/>
      <c r="Q203" s="3"/>
      <c r="R203" s="3"/>
      <c r="S203" s="3"/>
      <c r="W203" s="80"/>
      <c r="X203" s="3"/>
      <c r="Y203" s="3"/>
      <c r="Z203" s="3"/>
      <c r="AC203" s="161"/>
    </row>
    <row r="204" spans="9:29">
      <c r="M204" s="80"/>
      <c r="N204" s="80"/>
      <c r="O204" s="80"/>
      <c r="P204" s="3"/>
      <c r="Q204" s="3"/>
      <c r="R204" s="3"/>
      <c r="S204" s="3"/>
      <c r="W204" s="80"/>
      <c r="X204" s="3"/>
      <c r="Y204" s="3"/>
      <c r="Z204" s="3"/>
      <c r="AC204" s="161"/>
    </row>
    <row r="205" spans="9:29">
      <c r="M205" s="80"/>
      <c r="N205" s="80"/>
      <c r="O205" s="80"/>
      <c r="P205" s="3"/>
      <c r="Q205" s="3"/>
      <c r="R205" s="3"/>
      <c r="S205" s="3"/>
      <c r="W205" s="80"/>
      <c r="X205" s="3"/>
      <c r="Y205" s="3"/>
      <c r="Z205" s="3"/>
      <c r="AC205" s="161"/>
    </row>
    <row r="206" spans="9:29">
      <c r="L206" s="80"/>
      <c r="P206" s="163"/>
      <c r="W206" s="80"/>
      <c r="X206" s="163"/>
      <c r="Y206" s="163"/>
      <c r="Z206" s="163"/>
      <c r="AC206" s="161"/>
    </row>
    <row r="207" spans="9:29">
      <c r="AC207" s="161"/>
    </row>
    <row r="208" spans="9:29">
      <c r="AC208" s="161"/>
    </row>
    <row r="209" spans="29:29">
      <c r="AC209" s="161"/>
    </row>
    <row r="210" spans="29:29">
      <c r="AC210" s="161"/>
    </row>
    <row r="211" spans="29:29">
      <c r="AC211" s="161"/>
    </row>
    <row r="212" spans="29:29">
      <c r="AC212" s="161"/>
    </row>
    <row r="213" spans="29:29">
      <c r="AC213" s="161"/>
    </row>
    <row r="214" spans="29:29">
      <c r="AC214" s="161"/>
    </row>
    <row r="215" spans="29:29">
      <c r="AC215" s="161"/>
    </row>
    <row r="216" spans="29:29">
      <c r="AC216" s="161"/>
    </row>
    <row r="217" spans="29:29">
      <c r="AC217" s="161"/>
    </row>
    <row r="218" spans="29:29">
      <c r="AC218" s="161"/>
    </row>
    <row r="219" spans="29:29">
      <c r="AC219" s="161"/>
    </row>
    <row r="220" spans="29:29">
      <c r="AC220" s="161"/>
    </row>
  </sheetData>
  <autoFilter ref="AG2:AI177"/>
  <phoneticPr fontId="40" type="noConversion"/>
  <conditionalFormatting sqref="Y3:Y174">
    <cfRule type="cellIs" dxfId="1" priority="1" stopIfTrue="1" operator="greaterThan">
      <formula>0</formula>
    </cfRule>
  </conditionalFormatting>
  <conditionalFormatting sqref="X3:X174">
    <cfRule type="cellIs" dxfId="0" priority="2" stopIfTrue="1" operator="lessThan">
      <formula>0</formula>
    </cfRule>
  </conditionalFormatting>
  <pageMargins left="0.7" right="0.7" top="0.75" bottom="0.75" header="0.3" footer="0.3"/>
  <pageSetup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8"/>
  <sheetViews>
    <sheetView workbookViewId="0">
      <selection activeCell="O24" sqref="O24"/>
    </sheetView>
  </sheetViews>
  <sheetFormatPr defaultRowHeight="13.2"/>
  <cols>
    <col min="10" max="11" width="9.33203125" bestFit="1" customWidth="1"/>
  </cols>
  <sheetData>
    <row r="1" spans="1:12">
      <c r="A1" t="s">
        <v>192</v>
      </c>
    </row>
    <row r="2" spans="1:12">
      <c r="A2" t="s">
        <v>191</v>
      </c>
      <c r="H2" t="s">
        <v>193</v>
      </c>
    </row>
    <row r="3" spans="1:12">
      <c r="A3" s="161" t="s">
        <v>2</v>
      </c>
      <c r="B3" s="161" t="s">
        <v>21</v>
      </c>
      <c r="C3" t="s">
        <v>190</v>
      </c>
      <c r="H3" t="s">
        <v>194</v>
      </c>
      <c r="I3" t="s">
        <v>195</v>
      </c>
      <c r="J3" t="s">
        <v>196</v>
      </c>
      <c r="K3" t="s">
        <v>197</v>
      </c>
      <c r="L3" t="s">
        <v>198</v>
      </c>
    </row>
    <row r="4" spans="1:12">
      <c r="A4" s="164">
        <v>41376</v>
      </c>
      <c r="B4" s="4">
        <v>0.85818644067796601</v>
      </c>
      <c r="C4" s="4">
        <v>4.6989999999999998</v>
      </c>
      <c r="J4" s="3">
        <v>80.019241790369719</v>
      </c>
      <c r="K4" s="3">
        <v>-97.070199659802469</v>
      </c>
      <c r="L4" s="4">
        <v>0.23069999999999999</v>
      </c>
    </row>
    <row r="5" spans="1:12">
      <c r="A5" s="164">
        <v>41377</v>
      </c>
      <c r="B5" s="4">
        <v>0.81616313559321985</v>
      </c>
      <c r="C5" s="4">
        <v>6.1920000000000002</v>
      </c>
      <c r="H5" s="4">
        <v>122.98092980335078</v>
      </c>
      <c r="I5" s="4">
        <v>-144.79506098534489</v>
      </c>
      <c r="J5" s="3">
        <v>113.15601562788798</v>
      </c>
      <c r="K5" s="3">
        <v>-96.993777792951363</v>
      </c>
      <c r="L5" s="4">
        <v>0.39219999999999999</v>
      </c>
    </row>
    <row r="6" spans="1:12">
      <c r="A6" s="164">
        <v>41378</v>
      </c>
      <c r="B6" s="4">
        <v>1.3527383474576269</v>
      </c>
      <c r="C6" s="4">
        <v>11.952</v>
      </c>
      <c r="H6" s="4">
        <v>48.860726805727239</v>
      </c>
      <c r="I6" s="4">
        <v>-50.86891192201859</v>
      </c>
      <c r="J6" s="3">
        <v>-122.81276535189828</v>
      </c>
      <c r="K6" s="3">
        <v>31.665044821652529</v>
      </c>
      <c r="L6" s="4">
        <v>0.40710000000000002</v>
      </c>
    </row>
    <row r="7" spans="1:12">
      <c r="A7" s="164">
        <v>41379</v>
      </c>
      <c r="B7" s="4">
        <v>0.77169279661016954</v>
      </c>
      <c r="C7" s="4">
        <v>5.22</v>
      </c>
      <c r="H7" s="4">
        <v>124.25015254674771</v>
      </c>
      <c r="I7" s="4">
        <v>-118.47552934544078</v>
      </c>
      <c r="J7" s="3">
        <v>79.288915060041134</v>
      </c>
      <c r="K7" s="3">
        <v>-44.796566924236139</v>
      </c>
      <c r="L7" s="4">
        <v>0.3881</v>
      </c>
    </row>
    <row r="8" spans="1:12">
      <c r="A8" s="164">
        <v>41380</v>
      </c>
      <c r="B8" s="4">
        <v>0.7784957627118646</v>
      </c>
      <c r="C8" s="4">
        <v>5.758</v>
      </c>
      <c r="H8" s="4">
        <v>140.88505160228894</v>
      </c>
      <c r="I8" s="4">
        <v>-78.624867991662128</v>
      </c>
      <c r="J8" s="3">
        <v>108.43965697164785</v>
      </c>
      <c r="K8" s="3">
        <v>-78.186568914508825</v>
      </c>
      <c r="L8" s="4">
        <v>0.37219999999999998</v>
      </c>
    </row>
    <row r="9" spans="1:12">
      <c r="A9" s="164">
        <v>41381</v>
      </c>
      <c r="B9" s="4">
        <v>0.82900847457627114</v>
      </c>
      <c r="C9" s="4">
        <v>5.4770000000000003</v>
      </c>
      <c r="H9" s="4">
        <v>170.91499144919416</v>
      </c>
      <c r="I9" s="4">
        <v>-207.72360280210859</v>
      </c>
      <c r="J9" s="3">
        <v>100.71368655031591</v>
      </c>
      <c r="K9" s="3">
        <v>-90.972072763515172</v>
      </c>
      <c r="L9" s="4">
        <v>0.29360000000000003</v>
      </c>
    </row>
    <row r="10" spans="1:12">
      <c r="A10" s="164">
        <v>41382</v>
      </c>
      <c r="B10" s="4">
        <v>1.1156154661016948</v>
      </c>
      <c r="C10" s="4">
        <v>5.274</v>
      </c>
      <c r="H10" s="4">
        <v>149.9810925594447</v>
      </c>
      <c r="I10" s="4">
        <v>-142.355631526407</v>
      </c>
      <c r="J10" s="3">
        <v>48.270261257364609</v>
      </c>
      <c r="K10" s="3">
        <v>-82.815584458966896</v>
      </c>
      <c r="L10" s="4">
        <v>0.26979999999999998</v>
      </c>
    </row>
    <row r="11" spans="1:12">
      <c r="A11" s="164">
        <v>41383</v>
      </c>
      <c r="B11" s="4">
        <v>1.8018654661016944</v>
      </c>
      <c r="C11" s="4">
        <v>11.457000000000001</v>
      </c>
      <c r="H11" s="4">
        <v>65.954387736326453</v>
      </c>
      <c r="I11" s="4">
        <v>-80.444148837817622</v>
      </c>
      <c r="J11" s="3">
        <v>36.410193027007956</v>
      </c>
      <c r="K11" s="3">
        <v>-63.340677883208244</v>
      </c>
      <c r="L11" s="4">
        <v>0.29420000000000002</v>
      </c>
    </row>
    <row r="12" spans="1:12">
      <c r="A12" s="164">
        <v>41384</v>
      </c>
      <c r="B12" s="4">
        <v>1.4375995762711853</v>
      </c>
      <c r="C12" s="4">
        <v>9.7929999999999993</v>
      </c>
      <c r="H12" s="4">
        <v>93.169473937363833</v>
      </c>
      <c r="I12" s="4">
        <v>-77.693046540062369</v>
      </c>
      <c r="J12" s="3">
        <v>290.741948648929</v>
      </c>
      <c r="K12" s="3">
        <v>-223.19431025022763</v>
      </c>
      <c r="L12" s="4">
        <v>0.14710000000000001</v>
      </c>
    </row>
    <row r="13" spans="1:12">
      <c r="A13" s="164">
        <v>41385</v>
      </c>
      <c r="B13" s="4">
        <v>1.1203644067796612</v>
      </c>
      <c r="C13" s="4">
        <v>7.4790000000000001</v>
      </c>
      <c r="H13" s="4">
        <v>106.14892889217134</v>
      </c>
      <c r="I13" s="4">
        <v>-85.352915681680358</v>
      </c>
      <c r="J13" s="3">
        <v>272.37645635874259</v>
      </c>
      <c r="K13" s="3">
        <v>-190.75885393446558</v>
      </c>
      <c r="L13" s="4">
        <v>0.14019999999999999</v>
      </c>
    </row>
    <row r="14" spans="1:12">
      <c r="A14" s="164">
        <v>41386</v>
      </c>
      <c r="B14" s="4">
        <v>0.888861228813559</v>
      </c>
      <c r="C14" s="4">
        <v>7.2619999999999996</v>
      </c>
      <c r="H14" s="4">
        <v>92.304547731648654</v>
      </c>
      <c r="I14" s="4">
        <v>-55.30104598823867</v>
      </c>
      <c r="J14" s="3">
        <v>162.08248258358714</v>
      </c>
      <c r="K14" s="3">
        <v>-170.55398142180732</v>
      </c>
      <c r="L14" s="4">
        <v>0.1605</v>
      </c>
    </row>
    <row r="15" spans="1:12">
      <c r="A15" s="164">
        <v>41387</v>
      </c>
      <c r="B15" s="4">
        <v>0.90044385593220311</v>
      </c>
      <c r="C15" s="4">
        <v>6.3970000000000002</v>
      </c>
      <c r="H15" s="4">
        <v>72.759158399503761</v>
      </c>
      <c r="I15" s="4">
        <v>-56.59042213995739</v>
      </c>
      <c r="J15" s="3">
        <v>157.95011985680551</v>
      </c>
      <c r="K15" s="3">
        <v>-130.72885068530238</v>
      </c>
      <c r="L15" s="4">
        <v>0.2702</v>
      </c>
    </row>
    <row r="16" spans="1:12">
      <c r="A16" s="164">
        <v>41388</v>
      </c>
      <c r="B16" s="4">
        <v>0.88474999999999993</v>
      </c>
      <c r="C16" s="4">
        <v>3.863</v>
      </c>
      <c r="H16" s="4">
        <v>14.810043863132995</v>
      </c>
      <c r="I16" s="4">
        <v>-50.836477709084569</v>
      </c>
      <c r="J16" s="3">
        <v>18.720419269290687</v>
      </c>
      <c r="K16" s="3">
        <v>-111.37196184648056</v>
      </c>
      <c r="L16" s="4">
        <v>0.38529999999999998</v>
      </c>
    </row>
    <row r="17" spans="1:12">
      <c r="A17" s="164">
        <v>41389</v>
      </c>
      <c r="B17" s="4">
        <v>0.9021663135593222</v>
      </c>
      <c r="C17" s="4">
        <v>8.0429999999999993</v>
      </c>
      <c r="H17" s="4">
        <v>71.734698833238909</v>
      </c>
      <c r="I17" s="4">
        <v>-44.503074141990012</v>
      </c>
      <c r="J17" s="3">
        <v>93.795041717106997</v>
      </c>
      <c r="K17" s="3">
        <v>-35.839463968007912</v>
      </c>
      <c r="L17" s="4">
        <v>0.37269999999999998</v>
      </c>
    </row>
    <row r="18" spans="1:12">
      <c r="A18" s="164">
        <v>41390</v>
      </c>
      <c r="B18" s="4">
        <v>1.0453739406779663</v>
      </c>
      <c r="C18" s="4">
        <v>7.9729999999999999</v>
      </c>
      <c r="H18" s="4">
        <v>56.478517932954951</v>
      </c>
      <c r="I18" s="4">
        <v>-55.922709339412336</v>
      </c>
      <c r="J18" s="3">
        <v>95.059495632308739</v>
      </c>
      <c r="K18" s="3">
        <v>-99.808520447174203</v>
      </c>
      <c r="L18" s="4">
        <v>0.51439999999999997</v>
      </c>
    </row>
    <row r="19" spans="1:12">
      <c r="A19" s="164">
        <v>41391</v>
      </c>
      <c r="B19" s="4">
        <v>1.0913974035340788</v>
      </c>
      <c r="C19" s="4">
        <v>5.0949999999999998</v>
      </c>
      <c r="H19" s="4">
        <v>100.82792556074384</v>
      </c>
      <c r="I19" s="4">
        <v>-71.241407177572626</v>
      </c>
      <c r="J19" s="3">
        <v>-19.388286311949166</v>
      </c>
      <c r="K19" s="3">
        <v>-12.163759234942351</v>
      </c>
      <c r="L19" s="4">
        <v>0.54079999999999995</v>
      </c>
    </row>
    <row r="20" spans="1:12">
      <c r="A20" s="164">
        <v>41392</v>
      </c>
      <c r="B20" s="4">
        <v>0.97894703389830529</v>
      </c>
      <c r="C20" s="4">
        <v>3.5760000000000001</v>
      </c>
      <c r="H20" s="4">
        <v>21.662773613884081</v>
      </c>
      <c r="I20" s="4">
        <v>-28.816387977479295</v>
      </c>
      <c r="J20" s="3">
        <v>-7.0049279182019291</v>
      </c>
      <c r="K20" s="3">
        <v>-30.513182058220146</v>
      </c>
      <c r="L20" s="4">
        <v>0.50580000000000003</v>
      </c>
    </row>
    <row r="21" spans="1:12">
      <c r="A21" s="164">
        <v>41393</v>
      </c>
      <c r="B21" s="4">
        <v>0.89504343220338967</v>
      </c>
      <c r="C21" s="4">
        <v>5.2249999999999996</v>
      </c>
      <c r="H21" s="4">
        <v>5.0801653097453636</v>
      </c>
      <c r="I21" s="4">
        <v>-2.7169564251331404</v>
      </c>
      <c r="J21" s="3">
        <v>11.593952864041608</v>
      </c>
      <c r="K21" s="3">
        <v>-28.33994004021838</v>
      </c>
      <c r="L21" s="4">
        <v>0.48709999999999998</v>
      </c>
    </row>
    <row r="22" spans="1:12">
      <c r="A22" s="164">
        <v>41394</v>
      </c>
      <c r="B22" s="4">
        <v>0.73570550847457616</v>
      </c>
      <c r="C22" s="4">
        <v>6.0129999999999999</v>
      </c>
      <c r="H22" s="4">
        <v>85.054725858521948</v>
      </c>
      <c r="I22" s="4">
        <v>-120.91676627696104</v>
      </c>
      <c r="J22" s="3">
        <v>14.452533969104056</v>
      </c>
      <c r="K22" s="3">
        <v>-83.3722332369274</v>
      </c>
      <c r="L22" s="4">
        <v>0.43540000000000001</v>
      </c>
    </row>
    <row r="23" spans="1:12">
      <c r="A23" s="164">
        <v>41395</v>
      </c>
      <c r="B23" s="4">
        <v>1.0126419491525427</v>
      </c>
      <c r="C23" s="4">
        <v>11.047000000000001</v>
      </c>
      <c r="H23" s="4">
        <v>95.810699727077676</v>
      </c>
      <c r="I23" s="4">
        <v>-133.14086798182643</v>
      </c>
      <c r="J23" s="3">
        <v>41.820333912191487</v>
      </c>
      <c r="K23" s="3">
        <v>-93.324799597235838</v>
      </c>
      <c r="L23" s="4">
        <v>0.36080000000000001</v>
      </c>
    </row>
    <row r="24" spans="1:12">
      <c r="A24" s="164">
        <v>41396</v>
      </c>
      <c r="B24" s="4">
        <v>0.91337817796610155</v>
      </c>
      <c r="C24" s="4">
        <v>11.257</v>
      </c>
      <c r="H24" s="4">
        <v>108.93229037312157</v>
      </c>
      <c r="I24" s="4">
        <v>-102.40614227107024</v>
      </c>
      <c r="J24" s="3">
        <v>128.79607024141504</v>
      </c>
      <c r="K24" s="3">
        <v>-115.33093396866235</v>
      </c>
      <c r="L24" s="4">
        <v>0.29709999999999998</v>
      </c>
    </row>
    <row r="25" spans="1:12">
      <c r="A25" s="164">
        <v>41397</v>
      </c>
      <c r="B25" s="4">
        <v>1.7509173728813556</v>
      </c>
      <c r="C25" s="4">
        <v>9.6880000000000006</v>
      </c>
      <c r="H25" s="4">
        <v>77.232658143334206</v>
      </c>
      <c r="I25" s="4">
        <v>-77.528697883407176</v>
      </c>
      <c r="J25" s="3">
        <v>127.62682675552006</v>
      </c>
      <c r="K25" s="3">
        <v>-129.47761540331368</v>
      </c>
      <c r="L25" s="4">
        <v>0.30709999999999998</v>
      </c>
    </row>
    <row r="26" spans="1:12">
      <c r="A26" s="164">
        <v>41398</v>
      </c>
      <c r="B26" s="4">
        <v>2.6542468220338979</v>
      </c>
      <c r="C26" s="4">
        <v>11.678000000000001</v>
      </c>
      <c r="H26" s="4">
        <v>138.93829815064089</v>
      </c>
      <c r="I26" s="4">
        <v>-156.64554879731315</v>
      </c>
      <c r="J26" s="3">
        <v>182.36887133273152</v>
      </c>
      <c r="K26" s="3">
        <v>-112.98222949813818</v>
      </c>
      <c r="L26" s="4">
        <v>0.1076</v>
      </c>
    </row>
    <row r="27" spans="1:12">
      <c r="A27" s="164">
        <v>41399</v>
      </c>
      <c r="B27" s="4">
        <v>4.0826970338983051</v>
      </c>
      <c r="C27" s="4">
        <v>12.858000000000001</v>
      </c>
      <c r="H27" s="4">
        <v>130.19586928849432</v>
      </c>
      <c r="I27" s="4">
        <v>-81.891807086748003</v>
      </c>
      <c r="J27" s="3">
        <v>71.069882337251116</v>
      </c>
      <c r="K27" s="3">
        <v>-89.039872747466802</v>
      </c>
      <c r="L27" s="4">
        <v>0.2137</v>
      </c>
    </row>
    <row r="28" spans="1:12">
      <c r="A28" s="164">
        <v>41400</v>
      </c>
      <c r="B28" s="4">
        <v>2.033645127118644</v>
      </c>
      <c r="C28" s="4">
        <v>10.404</v>
      </c>
      <c r="H28" s="4">
        <v>110.46743801694804</v>
      </c>
      <c r="I28" s="4">
        <v>-92.061076845654824</v>
      </c>
      <c r="J28" s="3">
        <v>96.345760780285076</v>
      </c>
      <c r="K28" s="3">
        <v>-136.7227057507892</v>
      </c>
      <c r="L28" s="4">
        <v>0.28320000000000001</v>
      </c>
    </row>
    <row r="29" spans="1:12">
      <c r="A29" s="164">
        <v>41401</v>
      </c>
      <c r="B29" s="4">
        <v>1.4230264830508477</v>
      </c>
      <c r="C29" s="4">
        <v>9.2349999999999994</v>
      </c>
      <c r="H29" s="4">
        <v>175.51538908484113</v>
      </c>
      <c r="I29" s="4">
        <v>-120.07141184228014</v>
      </c>
      <c r="J29" s="3">
        <v>26.520735265554858</v>
      </c>
      <c r="K29" s="3">
        <v>1.2659002326217563</v>
      </c>
      <c r="L29" s="4">
        <v>0.30880000000000002</v>
      </c>
    </row>
    <row r="30" spans="1:12">
      <c r="A30" s="164">
        <v>41402</v>
      </c>
      <c r="B30" s="4">
        <v>1.0062668376449599</v>
      </c>
      <c r="C30" s="4">
        <v>6.7480000000000002</v>
      </c>
      <c r="H30" s="4">
        <v>135.52680541209713</v>
      </c>
      <c r="I30" s="4">
        <v>-94.169053172776643</v>
      </c>
      <c r="J30" s="3">
        <v>-78.243119559091838</v>
      </c>
      <c r="K30" s="3">
        <v>138.87680402423678</v>
      </c>
      <c r="L30" s="4">
        <v>0.42020000000000002</v>
      </c>
    </row>
    <row r="31" spans="1:12">
      <c r="A31" s="164">
        <v>41403</v>
      </c>
      <c r="B31" s="4">
        <v>0.86443116169288015</v>
      </c>
      <c r="C31" s="4">
        <v>4.4660000000000002</v>
      </c>
      <c r="H31" s="4">
        <v>243.19913182652093</v>
      </c>
      <c r="I31" s="4">
        <v>-254.47627665440626</v>
      </c>
      <c r="J31" s="3">
        <v>-2.220944875189824</v>
      </c>
      <c r="K31" s="3">
        <v>-56.957964475818684</v>
      </c>
      <c r="L31" s="4">
        <v>0.34889999999999999</v>
      </c>
    </row>
    <row r="32" spans="1:12">
      <c r="A32" s="164">
        <v>41404</v>
      </c>
      <c r="B32" s="4">
        <v>0.8225455508474574</v>
      </c>
      <c r="C32" s="4">
        <v>9.5719999999999992</v>
      </c>
      <c r="H32" s="4">
        <v>135.20480943088677</v>
      </c>
      <c r="I32" s="4">
        <v>-128.62243049487597</v>
      </c>
      <c r="J32" s="3">
        <v>163.7581184131775</v>
      </c>
      <c r="K32" s="3">
        <v>-247.61433406942797</v>
      </c>
      <c r="L32" s="4">
        <v>0.57369999999999999</v>
      </c>
    </row>
    <row r="33" spans="1:12">
      <c r="A33" s="164">
        <v>41405</v>
      </c>
      <c r="B33" s="4">
        <v>0.59331885593220335</v>
      </c>
      <c r="C33" s="4">
        <v>5.14</v>
      </c>
      <c r="H33" s="4">
        <v>147.42700326035992</v>
      </c>
      <c r="I33" s="4">
        <v>-127.32763729071584</v>
      </c>
      <c r="J33" s="3">
        <v>159.66255607106268</v>
      </c>
      <c r="K33" s="3">
        <v>-114.93874131905696</v>
      </c>
      <c r="L33" s="4">
        <v>0.51170000000000004</v>
      </c>
    </row>
    <row r="34" spans="1:12">
      <c r="A34" s="164">
        <v>41406</v>
      </c>
      <c r="B34" s="4">
        <v>0.81916101694915222</v>
      </c>
      <c r="C34" s="4">
        <v>8.3119999999999994</v>
      </c>
      <c r="H34" s="4">
        <v>197.36762189105281</v>
      </c>
      <c r="I34" s="4">
        <v>-167.13133385857353</v>
      </c>
      <c r="J34" s="3">
        <v>139.15554374865525</v>
      </c>
      <c r="K34" s="3">
        <v>-121.6940221391453</v>
      </c>
      <c r="L34" s="4">
        <v>0.44419999999999998</v>
      </c>
    </row>
    <row r="35" spans="1:12">
      <c r="A35" s="164">
        <v>41407</v>
      </c>
      <c r="B35" s="4">
        <v>0.73421398305084706</v>
      </c>
      <c r="C35" s="4">
        <v>8.6880000000000006</v>
      </c>
      <c r="H35" s="4">
        <v>117.34117289119195</v>
      </c>
      <c r="I35" s="4">
        <v>-102.35585480117251</v>
      </c>
      <c r="J35" s="3">
        <v>64.528126817975476</v>
      </c>
      <c r="K35" s="3">
        <v>-7.4722242879910521</v>
      </c>
      <c r="L35" s="4">
        <v>0.47020000000000001</v>
      </c>
    </row>
    <row r="36" spans="1:12">
      <c r="A36" s="164">
        <v>41408</v>
      </c>
      <c r="B36" s="4">
        <v>0.76587182203389848</v>
      </c>
      <c r="C36" s="4">
        <v>4.4589999999999996</v>
      </c>
      <c r="H36" s="4">
        <v>76.981773935940936</v>
      </c>
      <c r="I36" s="4">
        <v>-38.863346098935317</v>
      </c>
      <c r="J36" s="3">
        <v>53.333235424581666</v>
      </c>
      <c r="K36" s="3">
        <v>-25.99696250627354</v>
      </c>
      <c r="L36" s="4">
        <v>0.42559999999999998</v>
      </c>
    </row>
    <row r="37" spans="1:12">
      <c r="A37" s="164">
        <v>41409</v>
      </c>
      <c r="B37" s="4">
        <v>0.79866065020455868</v>
      </c>
      <c r="C37" s="4">
        <v>4.6829999999999998</v>
      </c>
      <c r="H37" s="4">
        <v>115.74894289406846</v>
      </c>
      <c r="I37" s="4">
        <v>-139.18427141782826</v>
      </c>
      <c r="J37" s="3">
        <v>71.275258249447589</v>
      </c>
      <c r="K37" s="3">
        <v>-113.97563800036789</v>
      </c>
      <c r="L37" s="4">
        <v>0.46739999999999998</v>
      </c>
    </row>
    <row r="38" spans="1:12">
      <c r="A38" s="164">
        <v>41410</v>
      </c>
      <c r="B38" s="4">
        <v>0.6588591101694915</v>
      </c>
      <c r="C38" s="4">
        <v>3.7320000000000002</v>
      </c>
      <c r="H38" s="4">
        <v>159.55340403472019</v>
      </c>
      <c r="I38" s="4">
        <v>-133.05008587637536</v>
      </c>
      <c r="J38" s="3">
        <v>9.6866354518499058</v>
      </c>
      <c r="K38" s="3">
        <v>-43.436125177526769</v>
      </c>
      <c r="L38" s="4">
        <v>0.26469999999999999</v>
      </c>
    </row>
    <row r="39" spans="1:12">
      <c r="A39" s="164">
        <v>41411</v>
      </c>
      <c r="B39" s="4">
        <v>1.1203371883086783</v>
      </c>
      <c r="C39" s="4">
        <v>4.1760000000000002</v>
      </c>
      <c r="H39" s="4">
        <v>270.62813368537707</v>
      </c>
      <c r="I39" s="4">
        <v>-317.05638207149275</v>
      </c>
      <c r="J39" s="3">
        <v>44.919500720386338</v>
      </c>
      <c r="K39" s="3">
        <v>-84.735244177440535</v>
      </c>
      <c r="L39" s="4">
        <v>0.24809999999999999</v>
      </c>
    </row>
    <row r="40" spans="1:12">
      <c r="A40" s="164">
        <v>41412</v>
      </c>
      <c r="B40" s="4">
        <v>0.93560603606777926</v>
      </c>
      <c r="C40" s="4">
        <v>6.6349999999999998</v>
      </c>
      <c r="H40" s="4">
        <v>378.19070780361005</v>
      </c>
      <c r="I40" s="4">
        <v>-345.5490345471818</v>
      </c>
      <c r="J40" s="3">
        <v>71.956487306951729</v>
      </c>
      <c r="K40" s="3">
        <v>-88.353197547850101</v>
      </c>
      <c r="L40" s="4">
        <v>0.1678</v>
      </c>
    </row>
    <row r="41" spans="1:12">
      <c r="A41" s="164">
        <v>41413</v>
      </c>
      <c r="B41" s="4">
        <v>0.69740902749753386</v>
      </c>
      <c r="C41" s="4">
        <v>5.9059999999999997</v>
      </c>
      <c r="H41" s="4">
        <v>292.08152573229279</v>
      </c>
      <c r="I41" s="4">
        <v>-277.13671722455962</v>
      </c>
      <c r="J41" s="3">
        <v>68.264008216639894</v>
      </c>
      <c r="K41" s="3">
        <v>-92.511062537843529</v>
      </c>
      <c r="L41" s="4">
        <v>0.13109999999999999</v>
      </c>
    </row>
    <row r="42" spans="1:12">
      <c r="A42" s="164">
        <v>41414</v>
      </c>
      <c r="B42" s="4">
        <v>0.59430081907656063</v>
      </c>
      <c r="C42" s="4">
        <v>5.9889999999999999</v>
      </c>
      <c r="H42" s="4">
        <v>382.00478135942893</v>
      </c>
      <c r="I42" s="4">
        <v>-402.5401878397625</v>
      </c>
      <c r="J42" s="3">
        <v>102.31248727903321</v>
      </c>
      <c r="K42" s="3">
        <v>-88.747108589984521</v>
      </c>
      <c r="L42" s="4">
        <v>0.2424</v>
      </c>
    </row>
    <row r="43" spans="1:12">
      <c r="A43" s="164">
        <v>41415</v>
      </c>
      <c r="B43" s="4">
        <v>0.56216310486676313</v>
      </c>
      <c r="C43" s="4">
        <v>3.7160000000000002</v>
      </c>
      <c r="H43" s="4">
        <v>416.18414342550363</v>
      </c>
      <c r="I43" s="4">
        <v>-445.00510256362435</v>
      </c>
      <c r="J43" s="3">
        <v>118.6206082394539</v>
      </c>
      <c r="K43" s="3">
        <v>-133.6417024063141</v>
      </c>
      <c r="L43" s="4">
        <v>0.31319999999999998</v>
      </c>
    </row>
    <row r="44" spans="1:12">
      <c r="A44" s="164">
        <v>41416</v>
      </c>
      <c r="B44" s="4">
        <v>0.60049252773463069</v>
      </c>
      <c r="C44" s="4">
        <v>5.5510000000000002</v>
      </c>
      <c r="H44" s="4">
        <v>440.12395064563725</v>
      </c>
      <c r="I44" s="4">
        <v>-328.28763391283007</v>
      </c>
      <c r="J44" s="3">
        <v>60.889182315993324</v>
      </c>
      <c r="K44" s="3">
        <v>-46.724264067828408</v>
      </c>
      <c r="L44" s="4">
        <v>0.42680000000000001</v>
      </c>
    </row>
    <row r="45" spans="1:12">
      <c r="A45" s="164">
        <v>41417</v>
      </c>
      <c r="B45" s="4">
        <v>1.6965296676868167</v>
      </c>
      <c r="C45" s="4">
        <v>7.641</v>
      </c>
      <c r="H45" s="4">
        <v>229.0146178510372</v>
      </c>
      <c r="I45" s="4">
        <v>-192.03937591241987</v>
      </c>
      <c r="J45" s="3">
        <v>47.442767644985146</v>
      </c>
      <c r="K45" s="3">
        <v>-76.569170479454272</v>
      </c>
      <c r="L45" s="4">
        <v>0.52100000000000002</v>
      </c>
    </row>
    <row r="46" spans="1:12">
      <c r="A46" s="164">
        <v>41418</v>
      </c>
      <c r="B46" s="4">
        <v>1.0171334745762712</v>
      </c>
      <c r="C46" s="4">
        <v>6.7610000000000001</v>
      </c>
      <c r="H46" s="4">
        <v>188.84477250974214</v>
      </c>
      <c r="I46" s="4">
        <v>-189.65623069059649</v>
      </c>
      <c r="J46" s="3">
        <v>91.941620898676291</v>
      </c>
      <c r="K46" s="3">
        <v>-128.58741391137465</v>
      </c>
      <c r="L46" s="4">
        <v>0.55030000000000001</v>
      </c>
    </row>
    <row r="47" spans="1:12">
      <c r="A47" s="164">
        <v>41419</v>
      </c>
      <c r="B47" s="4">
        <v>0.91197984401043219</v>
      </c>
      <c r="C47" s="4">
        <v>9.2989999999999995</v>
      </c>
      <c r="H47" s="4">
        <v>252.20080459898656</v>
      </c>
      <c r="I47" s="4">
        <v>-294.6627694391176</v>
      </c>
      <c r="J47" s="3">
        <v>89.734523925799323</v>
      </c>
      <c r="K47" s="3">
        <v>-41.734266963530516</v>
      </c>
      <c r="L47" s="4">
        <v>0.56559999999999999</v>
      </c>
    </row>
    <row r="48" spans="1:12">
      <c r="A48" s="164">
        <v>41420</v>
      </c>
      <c r="B48" s="4">
        <v>0.93661530826016959</v>
      </c>
      <c r="C48" s="4">
        <v>4.7869999999999999</v>
      </c>
      <c r="H48" s="4">
        <v>188.20220521355731</v>
      </c>
      <c r="I48" s="4">
        <v>-54.646728316568755</v>
      </c>
      <c r="J48" s="3">
        <v>2.8133135015864768</v>
      </c>
      <c r="K48" s="3">
        <v>17.930205676424762</v>
      </c>
      <c r="L48" s="4">
        <v>0.58150000000000002</v>
      </c>
    </row>
    <row r="49" spans="1:12">
      <c r="A49" s="164">
        <v>41421</v>
      </c>
      <c r="B49" s="4">
        <v>0.77795495293931427</v>
      </c>
      <c r="C49" s="4">
        <v>3.3559999999999999</v>
      </c>
      <c r="H49" s="4">
        <v>127.18671611082669</v>
      </c>
      <c r="I49" s="4">
        <v>-170.9507192740877</v>
      </c>
      <c r="J49" s="3">
        <v>178.42945772835748</v>
      </c>
      <c r="K49" s="3">
        <v>-227.78127326011455</v>
      </c>
      <c r="L49" s="4">
        <v>0.57389999999999997</v>
      </c>
    </row>
    <row r="50" spans="1:12">
      <c r="A50" s="164">
        <v>41422</v>
      </c>
      <c r="B50" s="4">
        <v>0.78267652359014894</v>
      </c>
      <c r="C50" s="4">
        <v>3.851</v>
      </c>
      <c r="H50" s="4">
        <v>289.65019537446761</v>
      </c>
      <c r="I50" s="4">
        <v>-289.37414062297262</v>
      </c>
      <c r="J50" s="3">
        <v>150.40706841803296</v>
      </c>
      <c r="K50" s="3">
        <v>-183.77888265917505</v>
      </c>
      <c r="L50" s="4">
        <v>0.46360000000000001</v>
      </c>
    </row>
    <row r="51" spans="1:12">
      <c r="A51" s="164">
        <v>41423</v>
      </c>
      <c r="B51" s="4">
        <v>0.95411970338983032</v>
      </c>
      <c r="C51" s="4">
        <v>5.1379999999999999</v>
      </c>
      <c r="H51" s="4">
        <v>323.67415621793521</v>
      </c>
      <c r="I51" s="4">
        <v>-280.54152439807183</v>
      </c>
      <c r="J51" s="3">
        <v>167.87190316946192</v>
      </c>
      <c r="K51" s="3">
        <v>-173.68248730522299</v>
      </c>
      <c r="L51" s="4">
        <v>0.3705</v>
      </c>
    </row>
    <row r="52" spans="1:12">
      <c r="A52" s="164">
        <v>41424</v>
      </c>
      <c r="B52" s="4">
        <v>1.0643739406779666</v>
      </c>
      <c r="C52" s="4">
        <v>6.0140000000000002</v>
      </c>
      <c r="H52" s="4">
        <v>238.3502647760271</v>
      </c>
      <c r="I52" s="4">
        <v>-216.46174188672958</v>
      </c>
      <c r="J52" s="3">
        <v>157.97169775393382</v>
      </c>
      <c r="K52" s="3">
        <v>-134.59076116129694</v>
      </c>
      <c r="L52" s="4">
        <v>0.30470000000000003</v>
      </c>
    </row>
    <row r="53" spans="1:12">
      <c r="A53" s="164">
        <v>41425</v>
      </c>
      <c r="B53" s="4">
        <v>1.0668538135593228</v>
      </c>
      <c r="C53" s="4">
        <v>5.0810000000000004</v>
      </c>
      <c r="H53" s="4">
        <v>318.86338312199535</v>
      </c>
      <c r="I53" s="4">
        <v>-320.57001002536788</v>
      </c>
      <c r="J53" s="3">
        <v>124.18396564089821</v>
      </c>
      <c r="K53" s="3">
        <v>-116.27487241613125</v>
      </c>
      <c r="L53" s="4">
        <v>0.14760000000000001</v>
      </c>
    </row>
    <row r="54" spans="1:12">
      <c r="A54" s="164">
        <v>41426</v>
      </c>
      <c r="B54" s="4">
        <v>1.177951593475387</v>
      </c>
      <c r="C54" s="4">
        <v>3.42</v>
      </c>
      <c r="H54" s="4">
        <v>451.7127999987959</v>
      </c>
      <c r="I54" s="4">
        <v>-434.42689758139807</v>
      </c>
      <c r="J54" s="3">
        <v>191.71680329252945</v>
      </c>
      <c r="K54" s="3">
        <v>-154.87586614359023</v>
      </c>
      <c r="L54" s="4">
        <v>0.1734</v>
      </c>
    </row>
    <row r="55" spans="1:12">
      <c r="A55" s="164">
        <v>41427</v>
      </c>
      <c r="B55" s="4">
        <v>1.5461470944309923</v>
      </c>
      <c r="C55" s="4">
        <v>5.8330000000000002</v>
      </c>
      <c r="H55" s="4">
        <v>240.28059340170367</v>
      </c>
      <c r="I55" s="4">
        <v>-181.01248306193452</v>
      </c>
      <c r="J55" s="3">
        <v>71.543296134211388</v>
      </c>
      <c r="K55" s="3">
        <v>-88.871720221622382</v>
      </c>
      <c r="L55" s="4">
        <v>0.21529999999999999</v>
      </c>
    </row>
    <row r="56" spans="1:12">
      <c r="A56" s="164">
        <v>41428</v>
      </c>
      <c r="B56" s="4">
        <v>0.71247138081970096</v>
      </c>
      <c r="C56" s="4">
        <v>3.93</v>
      </c>
      <c r="H56" s="4">
        <v>363.15611377419435</v>
      </c>
      <c r="I56" s="4">
        <v>-358.16056265575901</v>
      </c>
      <c r="J56" s="3">
        <v>101.00446963374627</v>
      </c>
      <c r="K56" s="3">
        <v>-112.58211724334029</v>
      </c>
      <c r="L56" s="4">
        <v>0.35799999999999998</v>
      </c>
    </row>
    <row r="57" spans="1:12">
      <c r="A57" s="164">
        <v>41429</v>
      </c>
      <c r="B57" s="4">
        <v>1.0646481999962243</v>
      </c>
      <c r="C57" s="4">
        <v>3.7309999999999999</v>
      </c>
      <c r="H57" s="4">
        <v>320.40466338286473</v>
      </c>
      <c r="I57" s="4">
        <v>-267.61922606698101</v>
      </c>
      <c r="J57" s="3">
        <v>-29.673917206574224</v>
      </c>
      <c r="K57" s="3">
        <v>8.2130348420365991</v>
      </c>
      <c r="L57" s="4">
        <v>0.36320000000000002</v>
      </c>
    </row>
    <row r="58" spans="1:12">
      <c r="A58" s="164">
        <v>41430</v>
      </c>
      <c r="B58" s="4">
        <v>0.58796608533548533</v>
      </c>
      <c r="C58" s="4">
        <v>3.7130000000000001</v>
      </c>
      <c r="H58" s="4">
        <v>269.93717380925136</v>
      </c>
      <c r="I58" s="4">
        <v>-314.76301338005874</v>
      </c>
      <c r="J58" s="3">
        <v>62.800030698826447</v>
      </c>
      <c r="K58" s="3">
        <v>-85.277404685591904</v>
      </c>
      <c r="L58" s="4">
        <v>0.39860000000000001</v>
      </c>
    </row>
    <row r="59" spans="1:12">
      <c r="A59" s="164">
        <v>41431</v>
      </c>
      <c r="B59" s="4">
        <v>0.64203495762711837</v>
      </c>
      <c r="C59" s="4">
        <v>9.2880000000000003</v>
      </c>
      <c r="H59" s="4">
        <v>214.82910356111847</v>
      </c>
      <c r="I59" s="4">
        <v>-141.62279014034129</v>
      </c>
      <c r="J59" s="3">
        <v>65.068899850260337</v>
      </c>
      <c r="K59" s="3">
        <v>-21.208562669404465</v>
      </c>
      <c r="L59" s="4">
        <v>0.42099999999999999</v>
      </c>
    </row>
    <row r="60" spans="1:12">
      <c r="A60" s="164">
        <v>41432</v>
      </c>
      <c r="B60" s="4">
        <v>2.358931144067796</v>
      </c>
      <c r="C60" s="4">
        <v>7.2110000000000003</v>
      </c>
      <c r="H60" s="4">
        <v>142.02397400292705</v>
      </c>
      <c r="I60" s="4">
        <v>-194.41252578950909</v>
      </c>
      <c r="J60" s="3">
        <v>104.99102663979477</v>
      </c>
      <c r="K60" s="3">
        <v>-148.37731367290843</v>
      </c>
      <c r="L60" s="4">
        <v>0.52949999999999997</v>
      </c>
    </row>
    <row r="61" spans="1:12">
      <c r="A61" s="164">
        <v>41433</v>
      </c>
      <c r="B61" s="4">
        <v>1.0814433107121266</v>
      </c>
      <c r="C61" s="4">
        <v>4.4279999999999999</v>
      </c>
      <c r="H61" s="4">
        <v>450.02612614436765</v>
      </c>
      <c r="I61" s="4">
        <v>-382.43234821834142</v>
      </c>
      <c r="J61" s="3">
        <v>82.814509236203989</v>
      </c>
      <c r="K61" s="3">
        <v>-73.96086360834407</v>
      </c>
      <c r="L61" s="4">
        <v>0.49120000000000003</v>
      </c>
    </row>
    <row r="62" spans="1:12">
      <c r="A62" s="164">
        <v>41434</v>
      </c>
      <c r="B62" s="4">
        <v>4.4883453389830512</v>
      </c>
      <c r="C62" s="4">
        <v>8.3740000000000006</v>
      </c>
      <c r="H62" s="4">
        <v>47.380851568471357</v>
      </c>
      <c r="I62" s="4">
        <v>-84.638174826879293</v>
      </c>
      <c r="J62" s="3">
        <v>31.325122595282892</v>
      </c>
      <c r="K62" s="3">
        <v>-78.211952505234365</v>
      </c>
      <c r="L62" s="4">
        <v>0.49559999999999998</v>
      </c>
    </row>
    <row r="63" spans="1:12">
      <c r="A63" s="164">
        <v>41435</v>
      </c>
      <c r="B63" s="4">
        <v>1.154976694915254</v>
      </c>
      <c r="C63" s="4">
        <v>6.1269999999999998</v>
      </c>
      <c r="H63" s="4">
        <v>214.31728283732176</v>
      </c>
      <c r="I63" s="4">
        <v>-165.75081168102054</v>
      </c>
      <c r="J63" s="3">
        <v>107.43210478318109</v>
      </c>
      <c r="K63" s="3">
        <v>-47.347137531111358</v>
      </c>
      <c r="L63" s="4">
        <v>0.49409999999999998</v>
      </c>
    </row>
    <row r="64" spans="1:12">
      <c r="A64" s="164">
        <v>41436</v>
      </c>
      <c r="B64" s="4">
        <v>1.1143821045095834</v>
      </c>
      <c r="C64" s="4">
        <v>6.56</v>
      </c>
      <c r="H64" s="4">
        <v>357.86874743868901</v>
      </c>
      <c r="I64" s="4">
        <v>-371.07499647280235</v>
      </c>
      <c r="J64" s="3">
        <v>145.50200471459473</v>
      </c>
      <c r="K64" s="3">
        <v>-118.4306550878116</v>
      </c>
      <c r="L64" s="4">
        <v>0.42420000000000002</v>
      </c>
    </row>
    <row r="65" spans="1:12">
      <c r="A65" s="164">
        <v>41437</v>
      </c>
      <c r="B65" s="4">
        <v>1.2533454076513388</v>
      </c>
      <c r="C65" s="4">
        <v>6.8739999999999997</v>
      </c>
      <c r="H65" s="4">
        <v>423.71798542572378</v>
      </c>
      <c r="I65" s="4">
        <v>-403.77723997180664</v>
      </c>
      <c r="J65" s="3">
        <v>118.23055685565149</v>
      </c>
      <c r="K65" s="3">
        <v>-135.17926051423612</v>
      </c>
      <c r="L65" s="4">
        <v>0.39529999999999998</v>
      </c>
    </row>
    <row r="66" spans="1:12">
      <c r="A66" s="164">
        <v>41438</v>
      </c>
      <c r="B66" s="4">
        <v>2.7053777231302125</v>
      </c>
      <c r="C66" s="4">
        <v>10.225</v>
      </c>
      <c r="H66" s="4">
        <v>253.32067343374135</v>
      </c>
      <c r="I66" s="4">
        <v>-157.38486889114455</v>
      </c>
      <c r="J66" s="3">
        <v>136.1842372652803</v>
      </c>
      <c r="K66" s="3">
        <v>-180.80288384470225</v>
      </c>
      <c r="L66" s="4">
        <v>0.3352</v>
      </c>
    </row>
    <row r="67" spans="1:12">
      <c r="A67" s="164">
        <v>41439</v>
      </c>
      <c r="B67" s="4">
        <v>0.83870041526903039</v>
      </c>
      <c r="C67" s="4">
        <v>8.3019999999999996</v>
      </c>
      <c r="H67" s="4">
        <v>239.99189867233622</v>
      </c>
      <c r="I67" s="4">
        <v>-220.09052569087248</v>
      </c>
      <c r="J67" s="3">
        <v>113.95336666645511</v>
      </c>
      <c r="K67" s="3">
        <v>-94.968428456147194</v>
      </c>
      <c r="L67" s="4">
        <v>0.25309999999999999</v>
      </c>
    </row>
    <row r="68" spans="1:12">
      <c r="A68" s="164">
        <v>41440</v>
      </c>
      <c r="B68" s="4">
        <v>0.81679591722249578</v>
      </c>
      <c r="C68" s="4">
        <v>5.4729999999999999</v>
      </c>
      <c r="H68" s="4">
        <v>413.73893853039328</v>
      </c>
      <c r="I68" s="4">
        <v>-394.3610370790658</v>
      </c>
      <c r="J68" s="3">
        <v>339.13841476154988</v>
      </c>
      <c r="K68" s="3">
        <v>-309.4974272239948</v>
      </c>
      <c r="L68" s="4">
        <v>0.1452</v>
      </c>
    </row>
    <row r="69" spans="1:12">
      <c r="A69" s="164">
        <v>41441</v>
      </c>
      <c r="B69" s="4">
        <v>1.1181205093957256</v>
      </c>
      <c r="C69" s="4">
        <v>5.0519999999999996</v>
      </c>
      <c r="H69" s="4">
        <v>241.51615498210595</v>
      </c>
      <c r="I69" s="4">
        <v>-236.60049972087126</v>
      </c>
      <c r="J69" s="3">
        <v>85.300015888748774</v>
      </c>
      <c r="K69" s="3">
        <v>-101.84689539319042</v>
      </c>
      <c r="L69" s="4">
        <v>0.2225</v>
      </c>
    </row>
    <row r="70" spans="1:12">
      <c r="A70" s="164">
        <v>41442</v>
      </c>
      <c r="B70" s="4">
        <v>1.9569674416418839</v>
      </c>
      <c r="C70" s="4">
        <v>7.0090000000000003</v>
      </c>
      <c r="H70" s="4">
        <v>283.52944475195557</v>
      </c>
      <c r="I70" s="4">
        <v>-245.87918231982886</v>
      </c>
      <c r="J70" s="3">
        <v>110.15365891681374</v>
      </c>
      <c r="K70" s="3">
        <v>-125.3279827548436</v>
      </c>
      <c r="L70" s="4">
        <v>0.20760000000000001</v>
      </c>
    </row>
    <row r="71" spans="1:12">
      <c r="A71" s="164">
        <v>41443</v>
      </c>
      <c r="B71" s="4">
        <v>1.7657173873074505</v>
      </c>
      <c r="C71" s="4">
        <v>9.32</v>
      </c>
      <c r="H71" s="4">
        <v>135.24614509075246</v>
      </c>
      <c r="I71" s="4">
        <v>-64.343560610894087</v>
      </c>
      <c r="J71" s="3">
        <v>152.76707808238061</v>
      </c>
      <c r="K71" s="3">
        <v>-164.52465384472282</v>
      </c>
      <c r="L71" s="4">
        <v>0.40039999999999998</v>
      </c>
    </row>
    <row r="72" spans="1:12">
      <c r="A72" s="164">
        <v>41444</v>
      </c>
      <c r="B72" s="4">
        <v>0.78663378149176078</v>
      </c>
      <c r="C72" s="4">
        <v>5.7359999999999998</v>
      </c>
      <c r="H72" s="4">
        <v>486.77155796806858</v>
      </c>
      <c r="I72" s="4">
        <v>-565.45959507220891</v>
      </c>
      <c r="J72" s="3">
        <v>404.24276387068306</v>
      </c>
      <c r="K72" s="3">
        <v>-374.96397197354747</v>
      </c>
      <c r="L72" s="4">
        <v>0.42720000000000002</v>
      </c>
    </row>
    <row r="73" spans="1:12">
      <c r="A73" s="164">
        <v>41445</v>
      </c>
      <c r="B73" s="4">
        <v>1.0131390893710808</v>
      </c>
      <c r="C73" s="4">
        <v>4.8659999999999997</v>
      </c>
      <c r="H73" s="4">
        <v>311.21038437043711</v>
      </c>
      <c r="I73" s="4">
        <v>-236.98816406094835</v>
      </c>
      <c r="J73" s="3">
        <v>376.9653035662501</v>
      </c>
      <c r="K73" s="3">
        <v>-410.33977261697146</v>
      </c>
      <c r="L73" s="4">
        <v>0.50880000000000003</v>
      </c>
    </row>
    <row r="74" spans="1:12">
      <c r="A74" s="164">
        <v>41446</v>
      </c>
      <c r="B74" s="4">
        <v>0.95136285588890701</v>
      </c>
      <c r="C74" s="4">
        <v>6.016</v>
      </c>
      <c r="H74" s="4">
        <v>129.97369399382325</v>
      </c>
      <c r="I74" s="4">
        <v>-68.339965294426491</v>
      </c>
      <c r="J74" s="3">
        <v>238.48319344931701</v>
      </c>
      <c r="K74" s="3">
        <v>-186.90821553262163</v>
      </c>
      <c r="L74" s="4">
        <v>0.5141</v>
      </c>
    </row>
    <row r="75" spans="1:12">
      <c r="A75" s="164">
        <v>41447</v>
      </c>
      <c r="B75" s="4">
        <v>1.0342401991291339</v>
      </c>
      <c r="C75" s="4">
        <v>4.5223139999999997</v>
      </c>
      <c r="H75" s="4">
        <v>307.92677930047535</v>
      </c>
      <c r="I75" s="4">
        <v>-260.39779483658401</v>
      </c>
      <c r="J75" s="3">
        <v>207.28188233574357</v>
      </c>
      <c r="K75" s="3">
        <v>-179.04746953566433</v>
      </c>
      <c r="L75" s="4">
        <v>0.57850000000000001</v>
      </c>
    </row>
    <row r="76" spans="1:12">
      <c r="A76" s="164">
        <v>41448</v>
      </c>
      <c r="B76" s="4">
        <v>1.0480382869249394</v>
      </c>
      <c r="C76" s="4">
        <v>5.8289999999999997</v>
      </c>
      <c r="H76" s="4">
        <v>6.8966010938872762</v>
      </c>
      <c r="I76" s="4">
        <v>-14.561095115860226</v>
      </c>
      <c r="J76" s="3">
        <v>27.675466223757397</v>
      </c>
      <c r="K76" s="3">
        <v>-70.594396147530034</v>
      </c>
      <c r="L76" s="4">
        <v>0.62860000000000005</v>
      </c>
    </row>
    <row r="77" spans="1:12">
      <c r="A77" s="164">
        <v>41449</v>
      </c>
      <c r="B77" s="4">
        <v>0.79910691482812879</v>
      </c>
      <c r="C77" s="4">
        <v>3.9761009999999999</v>
      </c>
      <c r="H77" s="4">
        <v>174.51856063227905</v>
      </c>
      <c r="I77" s="4">
        <v>-182.44812385465167</v>
      </c>
      <c r="J77" s="3">
        <v>123.25652038723655</v>
      </c>
      <c r="K77" s="3">
        <v>-95.397467067578646</v>
      </c>
      <c r="L77" s="4">
        <v>0.5706</v>
      </c>
    </row>
    <row r="78" spans="1:12">
      <c r="A78" s="164">
        <v>41450</v>
      </c>
      <c r="B78" s="4">
        <v>0.83324744137297102</v>
      </c>
      <c r="C78" s="4">
        <v>3.64236</v>
      </c>
      <c r="H78" s="4">
        <v>162.88271596207144</v>
      </c>
      <c r="I78" s="4">
        <v>-132.37969122254952</v>
      </c>
      <c r="J78" s="3">
        <v>205.19147290275706</v>
      </c>
      <c r="K78" s="3">
        <v>-201.68275716374586</v>
      </c>
      <c r="L78" s="4">
        <v>0.53090000000000004</v>
      </c>
    </row>
    <row r="79" spans="1:12">
      <c r="A79" s="164">
        <v>41451</v>
      </c>
      <c r="B79" s="4">
        <v>0.86736783534456352</v>
      </c>
      <c r="C79" s="4">
        <v>5.0068479999999997</v>
      </c>
      <c r="H79" s="4">
        <v>107.36280776601716</v>
      </c>
      <c r="I79" s="4">
        <v>-95.33971831804908</v>
      </c>
      <c r="J79" s="3">
        <v>179.54508373322582</v>
      </c>
      <c r="K79" s="3">
        <v>-204.72175145139661</v>
      </c>
      <c r="L79" s="4">
        <v>0.4103</v>
      </c>
    </row>
    <row r="80" spans="1:12">
      <c r="A80" s="164">
        <v>41452</v>
      </c>
      <c r="B80" s="4">
        <v>2.0187766562222653</v>
      </c>
      <c r="C80" s="4">
        <v>5.0068479999999997</v>
      </c>
      <c r="H80" s="4">
        <v>232.37165742935585</v>
      </c>
      <c r="I80" s="4">
        <v>-263.21170632777819</v>
      </c>
      <c r="J80" s="3">
        <v>114.93277991271366</v>
      </c>
      <c r="K80" s="3">
        <v>-167.04068807514778</v>
      </c>
      <c r="L80" s="4">
        <v>0.24540000000000001</v>
      </c>
    </row>
    <row r="81" spans="1:12">
      <c r="A81" s="164">
        <v>41453</v>
      </c>
      <c r="B81" s="4">
        <v>2.0530938998145785</v>
      </c>
      <c r="C81" s="4">
        <v>8.9830000000000005</v>
      </c>
      <c r="H81" s="4">
        <v>254.28095236620231</v>
      </c>
      <c r="I81" s="4">
        <v>-228.98375474503729</v>
      </c>
      <c r="J81" s="3">
        <v>132.59851137975801</v>
      </c>
      <c r="K81" s="3">
        <v>-141.88671558952976</v>
      </c>
      <c r="L81" s="4">
        <v>0.1971</v>
      </c>
    </row>
    <row r="82" spans="1:12">
      <c r="A82" s="164">
        <v>41454</v>
      </c>
      <c r="B82" s="4">
        <v>1.2476535909157562</v>
      </c>
      <c r="C82" s="4">
        <v>10.183</v>
      </c>
      <c r="H82" s="4">
        <v>224.45450502531963</v>
      </c>
      <c r="I82" s="4">
        <v>-214.47450589810953</v>
      </c>
      <c r="J82" s="3">
        <v>257.92984501273088</v>
      </c>
      <c r="K82" s="3">
        <v>-303.24684846048569</v>
      </c>
      <c r="L82" s="4">
        <v>0.13420000000000001</v>
      </c>
    </row>
    <row r="83" spans="1:12">
      <c r="A83" s="164">
        <v>41455</v>
      </c>
      <c r="B83" s="4">
        <v>0.86065466101694865</v>
      </c>
      <c r="C83" s="4">
        <v>5.3019999999999996</v>
      </c>
      <c r="H83" s="4">
        <v>107.01003330220995</v>
      </c>
      <c r="I83" s="4">
        <v>-63.99202065483415</v>
      </c>
      <c r="J83" s="3">
        <v>246.40375963745862</v>
      </c>
      <c r="K83" s="3">
        <v>-145.80375071979088</v>
      </c>
      <c r="L83" s="4">
        <v>0.27689999999999998</v>
      </c>
    </row>
    <row r="84" spans="1:12">
      <c r="A84" s="164">
        <v>41456</v>
      </c>
      <c r="B84" s="4">
        <v>1.2787023305084748</v>
      </c>
      <c r="C84" s="4">
        <v>7.2060000000000004</v>
      </c>
      <c r="H84" s="4">
        <v>115.37883416535293</v>
      </c>
      <c r="I84" s="4">
        <v>-114.92015289614642</v>
      </c>
      <c r="J84" s="3">
        <v>154.66614034366688</v>
      </c>
      <c r="K84" s="3">
        <v>-169.37691953432858</v>
      </c>
      <c r="L84" s="4">
        <v>0.29509999999999997</v>
      </c>
    </row>
    <row r="85" spans="1:12">
      <c r="A85" s="164">
        <v>41457</v>
      </c>
      <c r="B85" s="4"/>
      <c r="C85" s="4">
        <v>3.7130000000000001</v>
      </c>
      <c r="H85" s="4"/>
      <c r="I85" s="4"/>
      <c r="J85" s="3"/>
      <c r="K85" s="3"/>
      <c r="L85" s="4"/>
    </row>
    <row r="86" spans="1:12">
      <c r="A86" s="164">
        <v>41458</v>
      </c>
      <c r="B86" s="4"/>
      <c r="C86" s="4">
        <v>7.8979999999999997</v>
      </c>
      <c r="H86" s="4"/>
      <c r="I86" s="4"/>
      <c r="J86" s="3"/>
      <c r="K86" s="3"/>
      <c r="L86" s="4"/>
    </row>
    <row r="87" spans="1:12">
      <c r="A87" s="164">
        <v>41459</v>
      </c>
      <c r="B87" s="4"/>
      <c r="C87" s="4">
        <v>7.1289999999999996</v>
      </c>
      <c r="H87" s="4"/>
      <c r="I87" s="4"/>
      <c r="J87" s="3"/>
      <c r="K87" s="3"/>
      <c r="L87" s="4"/>
    </row>
    <row r="88" spans="1:12">
      <c r="A88" s="164">
        <v>41460</v>
      </c>
      <c r="B88" s="4"/>
      <c r="C88" s="4">
        <v>9.4879999999999995</v>
      </c>
      <c r="H88" s="4"/>
      <c r="I88" s="4"/>
      <c r="J88" s="3"/>
      <c r="K88" s="3"/>
      <c r="L88" s="4"/>
    </row>
    <row r="89" spans="1:12">
      <c r="A89" s="164">
        <v>41461</v>
      </c>
      <c r="B89" s="4"/>
      <c r="C89" s="4">
        <v>10.215</v>
      </c>
      <c r="H89" s="4"/>
      <c r="I89" s="4"/>
      <c r="J89" s="3"/>
      <c r="K89" s="3"/>
      <c r="L89" s="4"/>
    </row>
    <row r="90" spans="1:12">
      <c r="A90" s="164">
        <v>41462</v>
      </c>
      <c r="B90" s="4"/>
      <c r="C90" s="4">
        <v>3.391</v>
      </c>
      <c r="H90" s="4"/>
      <c r="I90" s="4"/>
      <c r="J90" s="3"/>
      <c r="K90" s="3"/>
      <c r="L90" s="4"/>
    </row>
    <row r="91" spans="1:12">
      <c r="A91" s="164">
        <v>41463</v>
      </c>
      <c r="B91" s="4"/>
      <c r="C91" s="4">
        <v>4.351</v>
      </c>
      <c r="H91" s="4"/>
      <c r="I91" s="4"/>
      <c r="J91" s="3"/>
      <c r="K91" s="3"/>
      <c r="L91" s="4"/>
    </row>
    <row r="92" spans="1:12">
      <c r="A92" s="164">
        <v>41464</v>
      </c>
      <c r="B92" s="4"/>
      <c r="C92" s="4">
        <v>4.8780000000000001</v>
      </c>
      <c r="H92" s="4"/>
      <c r="I92" s="4"/>
      <c r="J92" s="3"/>
      <c r="K92" s="3"/>
      <c r="L92" s="4"/>
    </row>
    <row r="93" spans="1:12">
      <c r="A93" s="164">
        <v>41465</v>
      </c>
      <c r="B93" s="4"/>
      <c r="C93" s="4">
        <v>6.4340000000000002</v>
      </c>
      <c r="H93" s="4"/>
      <c r="I93" s="4">
        <v>-99.099556779778084</v>
      </c>
      <c r="J93" s="3"/>
      <c r="K93" s="3">
        <v>-132.75440305477707</v>
      </c>
      <c r="L93" s="4">
        <v>0.21290000000000001</v>
      </c>
    </row>
    <row r="94" spans="1:12">
      <c r="A94" s="164">
        <v>41466</v>
      </c>
      <c r="B94" s="4">
        <v>1.4889187853107344</v>
      </c>
      <c r="C94" s="4">
        <v>8.6460000000000008</v>
      </c>
      <c r="H94" s="4">
        <v>93.617107787856284</v>
      </c>
      <c r="I94" s="4">
        <v>-146.4999643118212</v>
      </c>
      <c r="J94" s="3">
        <v>185.15823247462853</v>
      </c>
      <c r="K94" s="3">
        <v>-230.01600818903583</v>
      </c>
      <c r="L94" s="4">
        <v>0.36149999999999999</v>
      </c>
    </row>
    <row r="95" spans="1:12">
      <c r="A95" s="164">
        <v>41467</v>
      </c>
      <c r="B95" s="4">
        <v>1.2825337998760167</v>
      </c>
      <c r="C95" s="4">
        <v>6.0720000000000001</v>
      </c>
      <c r="H95" s="4">
        <v>211.64242624694521</v>
      </c>
      <c r="I95" s="4">
        <v>-141.29111739464628</v>
      </c>
      <c r="J95" s="3">
        <v>230.86548268128089</v>
      </c>
      <c r="K95" s="3">
        <v>-196.25003674644714</v>
      </c>
      <c r="L95" s="4">
        <v>0.26200000000000001</v>
      </c>
    </row>
    <row r="96" spans="1:12">
      <c r="A96" s="164">
        <v>41468</v>
      </c>
      <c r="B96" s="4">
        <v>1.4025169491525424</v>
      </c>
      <c r="C96" s="4">
        <v>8.157</v>
      </c>
      <c r="H96" s="4">
        <v>30.266391793658144</v>
      </c>
      <c r="I96" s="4">
        <v>-26.177718913863515</v>
      </c>
      <c r="J96" s="3">
        <v>99.157664126796334</v>
      </c>
      <c r="K96" s="3">
        <v>-108.57514635560803</v>
      </c>
      <c r="L96" s="4">
        <v>0.1988</v>
      </c>
    </row>
    <row r="97" spans="1:12">
      <c r="A97" s="164">
        <v>41469</v>
      </c>
      <c r="B97" s="4">
        <v>1.2046098163841805</v>
      </c>
      <c r="C97" s="4">
        <v>6.0529999999999999</v>
      </c>
      <c r="H97" s="4">
        <v>117.89854797277505</v>
      </c>
      <c r="I97" s="4">
        <v>-158.29295201431449</v>
      </c>
      <c r="J97" s="3">
        <v>221.04711051315806</v>
      </c>
      <c r="K97" s="3">
        <v>-191.15798714227304</v>
      </c>
      <c r="L97" s="4">
        <v>0.1968</v>
      </c>
    </row>
    <row r="98" spans="1:12">
      <c r="A98" s="164">
        <v>41470</v>
      </c>
      <c r="B98" s="4">
        <v>1.4619856991525426</v>
      </c>
      <c r="C98" s="4">
        <v>8.2810000000000006</v>
      </c>
      <c r="H98" s="4">
        <v>138.93967060493708</v>
      </c>
      <c r="I98" s="4">
        <v>-154.34413063134548</v>
      </c>
      <c r="J98" s="3">
        <v>236.90293492025521</v>
      </c>
      <c r="K98" s="3">
        <v>-289.61913577605264</v>
      </c>
      <c r="L98" s="4">
        <v>0.19320000000000001</v>
      </c>
    </row>
    <row r="99" spans="1:12">
      <c r="A99" s="164">
        <v>41471</v>
      </c>
      <c r="B99" s="4">
        <v>1.3512528248587568</v>
      </c>
      <c r="C99" s="4">
        <v>10.340999999999999</v>
      </c>
      <c r="H99" s="4">
        <v>77.264395874816913</v>
      </c>
      <c r="I99" s="4">
        <v>-79.081653385430343</v>
      </c>
      <c r="J99" s="3">
        <v>165.33660622489137</v>
      </c>
      <c r="K99" s="3">
        <v>-177.99557196950451</v>
      </c>
      <c r="L99" s="4">
        <v>0.2273</v>
      </c>
    </row>
    <row r="100" spans="1:12">
      <c r="A100" s="164">
        <v>41472</v>
      </c>
      <c r="B100" s="4">
        <v>1.2433881574115684</v>
      </c>
      <c r="C100" s="4">
        <v>6.18</v>
      </c>
      <c r="H100" s="4">
        <v>285.05061812288415</v>
      </c>
      <c r="I100" s="4">
        <v>-384.73178686336718</v>
      </c>
      <c r="J100" s="3">
        <v>375.44197033355766</v>
      </c>
      <c r="K100" s="3">
        <v>-331.96970767193295</v>
      </c>
      <c r="L100" s="4">
        <v>0.373</v>
      </c>
    </row>
    <row r="101" spans="1:12">
      <c r="A101" s="164">
        <v>41473</v>
      </c>
      <c r="B101" s="4">
        <v>1.4539471035570106</v>
      </c>
      <c r="C101" s="4">
        <v>5.5860000000000003</v>
      </c>
      <c r="H101" s="4">
        <v>255.15249455875511</v>
      </c>
      <c r="I101" s="4">
        <v>-160.82090104824937</v>
      </c>
      <c r="J101" s="3">
        <v>282.23867446171334</v>
      </c>
      <c r="K101" s="3">
        <v>-288.06724250103491</v>
      </c>
      <c r="L101" s="4">
        <v>0.4546</v>
      </c>
    </row>
    <row r="102" spans="1:12">
      <c r="A102" s="164">
        <v>41474</v>
      </c>
      <c r="B102" s="4">
        <v>1.6218241525423729</v>
      </c>
      <c r="C102" s="4">
        <v>6.9279999999999999</v>
      </c>
      <c r="H102" s="4">
        <v>7.9146881747038291</v>
      </c>
      <c r="I102" s="4">
        <v>-33.296373184205763</v>
      </c>
      <c r="J102" s="3">
        <v>21.004930043889683</v>
      </c>
      <c r="K102" s="3">
        <v>-107.69754255042473</v>
      </c>
      <c r="L102" s="4">
        <v>0.53139999999999998</v>
      </c>
    </row>
    <row r="103" spans="1:12">
      <c r="A103" s="164">
        <v>41475</v>
      </c>
      <c r="B103" s="4">
        <v>3.019507944915254</v>
      </c>
      <c r="C103" s="4">
        <v>9.0670000000000002</v>
      </c>
      <c r="H103" s="4">
        <v>39.005846456921581</v>
      </c>
      <c r="I103" s="4">
        <v>-65.604354391591187</v>
      </c>
      <c r="J103" s="3">
        <v>179.08299063989901</v>
      </c>
      <c r="K103" s="3">
        <v>-236.93354888270574</v>
      </c>
      <c r="L103" s="4">
        <v>0.56679999999999997</v>
      </c>
    </row>
    <row r="104" spans="1:12">
      <c r="A104" s="164">
        <v>41476</v>
      </c>
      <c r="B104" s="4">
        <v>2.4677138064971751</v>
      </c>
      <c r="C104" s="4">
        <v>13.016</v>
      </c>
      <c r="H104" s="4">
        <v>63.403369969265874</v>
      </c>
      <c r="I104" s="4">
        <v>-92.714923929761966</v>
      </c>
      <c r="J104" s="3">
        <v>181.88027889781011</v>
      </c>
      <c r="K104" s="3">
        <v>-223.17884444108662</v>
      </c>
      <c r="L104" s="4">
        <v>0.57630000000000003</v>
      </c>
    </row>
    <row r="105" spans="1:12">
      <c r="A105" s="164">
        <v>41477</v>
      </c>
      <c r="B105" s="4">
        <v>2.2694706920903958</v>
      </c>
      <c r="C105" s="4">
        <v>10.92</v>
      </c>
      <c r="H105" s="4">
        <v>55.19353172625069</v>
      </c>
      <c r="I105" s="4">
        <v>-73.057022222767543</v>
      </c>
      <c r="J105" s="3">
        <v>22.171527218353411</v>
      </c>
      <c r="K105" s="3">
        <v>3.5968112360650926</v>
      </c>
      <c r="L105" s="4">
        <v>0.63139999999999996</v>
      </c>
    </row>
    <row r="106" spans="1:12">
      <c r="A106" s="164">
        <v>41478</v>
      </c>
      <c r="B106" s="4">
        <v>2.2559186087570624</v>
      </c>
      <c r="C106" s="4">
        <v>11.068</v>
      </c>
      <c r="H106" s="4">
        <v>130.52104645971698</v>
      </c>
      <c r="I106" s="4">
        <v>-126.0776955836912</v>
      </c>
      <c r="J106" s="3">
        <v>210.06933603205258</v>
      </c>
      <c r="K106" s="3">
        <v>-204.53295165738444</v>
      </c>
      <c r="L106" s="4">
        <v>0.51029999999999998</v>
      </c>
    </row>
    <row r="107" spans="1:12">
      <c r="A107" s="164">
        <v>41479</v>
      </c>
      <c r="B107" s="4">
        <v>1.6715044138418083</v>
      </c>
      <c r="C107" s="4">
        <v>10.067</v>
      </c>
      <c r="H107" s="4">
        <v>141.75158278663989</v>
      </c>
      <c r="I107" s="4">
        <v>-135.11943932711327</v>
      </c>
      <c r="J107" s="3">
        <v>360.14728663434255</v>
      </c>
      <c r="K107" s="3">
        <v>-262.72281139534795</v>
      </c>
      <c r="L107" s="4">
        <v>0.39140000000000003</v>
      </c>
    </row>
    <row r="108" spans="1:12">
      <c r="A108" s="164">
        <v>41480</v>
      </c>
      <c r="B108" s="4">
        <v>1.4606375862970484</v>
      </c>
      <c r="C108" s="4">
        <v>8.8350000000000009</v>
      </c>
      <c r="H108" s="4">
        <v>159.55958633310499</v>
      </c>
      <c r="I108" s="4">
        <v>-97.635169771617015</v>
      </c>
      <c r="J108" s="3">
        <v>379.97238452772359</v>
      </c>
      <c r="K108" s="3">
        <v>-375.15510141190691</v>
      </c>
      <c r="L108" s="4">
        <v>0.2447</v>
      </c>
    </row>
    <row r="109" spans="1:12">
      <c r="A109" s="164">
        <v>41481</v>
      </c>
      <c r="B109" s="4">
        <v>1.4378945332562907</v>
      </c>
      <c r="C109" s="4">
        <v>5.9550000000000001</v>
      </c>
      <c r="H109" s="4">
        <v>141.88089489714139</v>
      </c>
      <c r="I109" s="4">
        <v>-146.04897504442084</v>
      </c>
      <c r="J109" s="3">
        <v>318.90408978110855</v>
      </c>
      <c r="K109" s="3">
        <v>-248.92822079427469</v>
      </c>
      <c r="L109" s="4">
        <v>0.14199999999999999</v>
      </c>
    </row>
    <row r="110" spans="1:12">
      <c r="A110" s="164">
        <v>41482</v>
      </c>
      <c r="B110" s="4">
        <v>1.4647891949152536</v>
      </c>
      <c r="C110" s="4">
        <v>8.0470000000000006</v>
      </c>
      <c r="H110" s="4">
        <v>59.991237144616861</v>
      </c>
      <c r="I110" s="4">
        <v>-86.093199402503345</v>
      </c>
      <c r="J110" s="3">
        <v>125.73968973987404</v>
      </c>
      <c r="K110" s="3">
        <v>-191.68751365786855</v>
      </c>
      <c r="L110" s="4">
        <v>0.1953</v>
      </c>
    </row>
    <row r="111" spans="1:12">
      <c r="A111" s="164">
        <v>41483</v>
      </c>
      <c r="B111" s="4">
        <v>1.3903652895480227</v>
      </c>
      <c r="C111" s="4">
        <v>8.8140000000000001</v>
      </c>
      <c r="H111" s="4">
        <v>97.770318702164374</v>
      </c>
      <c r="I111" s="4">
        <v>-82.415993130405184</v>
      </c>
      <c r="J111" s="3">
        <v>252.99791348069414</v>
      </c>
      <c r="K111" s="3">
        <v>-240.83147254064986</v>
      </c>
      <c r="L111" s="4">
        <v>0.22409999999999999</v>
      </c>
    </row>
    <row r="112" spans="1:12">
      <c r="A112" s="164">
        <v>41484</v>
      </c>
      <c r="B112" s="4">
        <v>1.2325476694915258</v>
      </c>
      <c r="C112" s="4">
        <v>4.01</v>
      </c>
      <c r="H112" s="4">
        <v>60.423911211344993</v>
      </c>
      <c r="I112" s="4">
        <v>-34.511557159114439</v>
      </c>
      <c r="J112" s="3">
        <v>329.92395484554726</v>
      </c>
      <c r="K112" s="3">
        <v>-263.6084608399604</v>
      </c>
      <c r="L112" s="4">
        <v>0.311</v>
      </c>
    </row>
    <row r="113" spans="1:12">
      <c r="A113" s="164">
        <v>41485</v>
      </c>
      <c r="B113" s="4">
        <v>1.3622959039548024</v>
      </c>
      <c r="C113" s="4">
        <v>4.7</v>
      </c>
      <c r="H113" s="4">
        <v>176.10255222593085</v>
      </c>
      <c r="I113" s="4">
        <v>-215.48197678265254</v>
      </c>
      <c r="J113" s="3">
        <v>195.03164848950914</v>
      </c>
      <c r="K113" s="3">
        <v>-188.66780748084022</v>
      </c>
      <c r="L113" s="4">
        <v>0.36809999999999998</v>
      </c>
    </row>
    <row r="114" spans="1:12">
      <c r="A114" s="164">
        <v>41486</v>
      </c>
      <c r="B114" s="4">
        <v>1.4539924081920896</v>
      </c>
      <c r="C114" s="4">
        <v>5.077</v>
      </c>
      <c r="H114" s="4">
        <v>146.39516376042636</v>
      </c>
      <c r="I114" s="4">
        <v>-114.4071212038794</v>
      </c>
      <c r="J114" s="3">
        <v>246.46072402079608</v>
      </c>
      <c r="K114" s="3">
        <v>-294.62983209566073</v>
      </c>
      <c r="L114" s="4">
        <v>0.39589999999999997</v>
      </c>
    </row>
    <row r="115" spans="1:12">
      <c r="A115" s="164">
        <v>41487</v>
      </c>
      <c r="B115" s="4">
        <v>1.4622438206214692</v>
      </c>
      <c r="C115" s="4">
        <v>8.7609999999999992</v>
      </c>
      <c r="H115" s="4">
        <v>73.196875309671199</v>
      </c>
      <c r="I115" s="4">
        <v>-107.88012032246297</v>
      </c>
      <c r="J115" s="3">
        <v>198.15298541566614</v>
      </c>
      <c r="K115" s="3">
        <v>-231.51154534796183</v>
      </c>
      <c r="L115" s="4">
        <v>0.42509999999999998</v>
      </c>
    </row>
    <row r="116" spans="1:12">
      <c r="A116" s="164">
        <v>41488</v>
      </c>
      <c r="B116" s="4">
        <v>1.7095048499893235</v>
      </c>
      <c r="C116" s="4">
        <v>4.4720000000000004</v>
      </c>
      <c r="H116" s="4">
        <v>240.39244055159773</v>
      </c>
      <c r="I116" s="4">
        <v>-186.51887537649105</v>
      </c>
      <c r="J116" s="3">
        <v>255.01338033974713</v>
      </c>
      <c r="K116" s="3">
        <v>-222.7913785020346</v>
      </c>
      <c r="L116" s="4">
        <v>0.4</v>
      </c>
    </row>
    <row r="117" spans="1:12">
      <c r="A117" s="164">
        <v>41489</v>
      </c>
      <c r="B117" s="4">
        <v>1.8906703742937847</v>
      </c>
      <c r="C117" s="4">
        <v>6.4619999999999997</v>
      </c>
      <c r="H117" s="4">
        <v>137.76314353991825</v>
      </c>
      <c r="I117" s="4">
        <v>-138.86015333067155</v>
      </c>
      <c r="J117" s="3">
        <v>248.23130317072454</v>
      </c>
      <c r="K117" s="3">
        <v>-322.07428030519623</v>
      </c>
      <c r="L117" s="4">
        <v>0.44629999999999997</v>
      </c>
    </row>
    <row r="118" spans="1:12">
      <c r="A118" s="164">
        <v>41490</v>
      </c>
      <c r="B118" s="4">
        <v>1.9807683615819203</v>
      </c>
      <c r="C118" s="4">
        <v>8.1180000000000003</v>
      </c>
      <c r="H118" s="4">
        <v>71.757479137815054</v>
      </c>
      <c r="I118" s="4">
        <v>-86.231469028252548</v>
      </c>
      <c r="J118" s="3">
        <v>260.00219426600097</v>
      </c>
      <c r="K118" s="3">
        <v>-251.63941578754626</v>
      </c>
      <c r="L118" s="4">
        <v>0.38119999999999998</v>
      </c>
    </row>
    <row r="119" spans="1:12">
      <c r="A119" s="164">
        <v>41491</v>
      </c>
      <c r="B119" s="4">
        <v>1.6892002025991995</v>
      </c>
      <c r="C119" s="4">
        <v>7.319</v>
      </c>
      <c r="H119" s="4">
        <v>69.712859616228712</v>
      </c>
      <c r="I119" s="4">
        <v>-43.651342638041292</v>
      </c>
      <c r="J119" s="3">
        <v>257.30716260184664</v>
      </c>
      <c r="K119" s="3">
        <v>-261.13488197265161</v>
      </c>
      <c r="L119" s="4">
        <v>0.42980000000000002</v>
      </c>
    </row>
    <row r="120" spans="1:12">
      <c r="A120" s="164">
        <v>41492</v>
      </c>
      <c r="B120" s="4">
        <v>1.6063679378531068</v>
      </c>
      <c r="C120" s="4">
        <v>6.9240000000000004</v>
      </c>
      <c r="H120" s="4">
        <v>20.107457056171302</v>
      </c>
      <c r="I120" s="4">
        <v>-61.1782569130472</v>
      </c>
      <c r="J120" s="3">
        <v>169.0094538364437</v>
      </c>
      <c r="K120" s="3">
        <v>-140.68985869374296</v>
      </c>
      <c r="L120" s="4">
        <v>0.36799999999999999</v>
      </c>
    </row>
    <row r="121" spans="1:12">
      <c r="A121" s="164">
        <v>41493</v>
      </c>
      <c r="B121" s="4">
        <v>1.6097496468926566</v>
      </c>
      <c r="C121" s="4">
        <v>4.0179999999999998</v>
      </c>
      <c r="H121" s="4">
        <v>125.45474292616711</v>
      </c>
      <c r="I121" s="4">
        <v>-67.775029070892671</v>
      </c>
      <c r="J121" s="3">
        <v>171.06935773393445</v>
      </c>
      <c r="K121" s="3">
        <v>-142.15392763858077</v>
      </c>
      <c r="L121" s="4">
        <v>0.28149999999999997</v>
      </c>
    </row>
    <row r="122" spans="1:12">
      <c r="A122" s="164">
        <v>41494</v>
      </c>
      <c r="B122" s="4">
        <v>1.5863298022598868</v>
      </c>
      <c r="C122" s="4">
        <v>6.1689999999999996</v>
      </c>
      <c r="H122" s="4">
        <v>69.241497821218857</v>
      </c>
      <c r="I122" s="4">
        <v>-76.480017981662812</v>
      </c>
      <c r="J122" s="3">
        <v>150.72367895399435</v>
      </c>
      <c r="K122" s="3">
        <v>-171.88451196908923</v>
      </c>
      <c r="L122" s="4">
        <v>0.21440000000000001</v>
      </c>
    </row>
    <row r="123" spans="1:12">
      <c r="A123" s="164">
        <v>41495</v>
      </c>
      <c r="B123" s="4">
        <v>1.4425995762711867</v>
      </c>
      <c r="C123" s="4">
        <v>4.3109999999999999</v>
      </c>
      <c r="H123" s="4">
        <v>11.173004014191301</v>
      </c>
      <c r="I123" s="4">
        <v>-5.8968445242457479</v>
      </c>
      <c r="J123" s="3">
        <v>281.7791158219207</v>
      </c>
      <c r="K123" s="3">
        <v>-307.75383061347094</v>
      </c>
      <c r="L123" s="4">
        <v>0.14760000000000001</v>
      </c>
    </row>
    <row r="124" spans="1:12">
      <c r="A124" s="164">
        <v>41496</v>
      </c>
      <c r="B124" s="4">
        <v>1.4697591807909609</v>
      </c>
      <c r="C124" s="4">
        <v>5.0659999999999998</v>
      </c>
      <c r="H124" s="4">
        <v>77.350493733662461</v>
      </c>
      <c r="I124" s="4">
        <v>-61.80093831733025</v>
      </c>
      <c r="J124" s="3">
        <v>262.3389565794547</v>
      </c>
      <c r="K124" s="3">
        <v>-190.83472048302664</v>
      </c>
      <c r="L124" s="4">
        <v>0.15690000000000001</v>
      </c>
    </row>
    <row r="125" spans="1:12">
      <c r="A125" s="164">
        <v>41497</v>
      </c>
      <c r="B125" s="4">
        <v>1.5149911622276033</v>
      </c>
      <c r="C125" s="4">
        <v>8.0220000000000002</v>
      </c>
      <c r="H125" s="4">
        <v>108.06396076941557</v>
      </c>
      <c r="I125" s="4">
        <v>-139.75339759336791</v>
      </c>
      <c r="J125" s="3">
        <v>176.78824023693431</v>
      </c>
      <c r="K125" s="3">
        <v>-194.46888461155959</v>
      </c>
      <c r="L125" s="4">
        <v>0.15490000000000001</v>
      </c>
    </row>
    <row r="126" spans="1:12">
      <c r="A126" s="164">
        <v>41498</v>
      </c>
      <c r="B126" s="4">
        <v>1.4924832274011302</v>
      </c>
      <c r="C126" s="4">
        <v>5.0119999999999996</v>
      </c>
      <c r="H126" s="4">
        <v>68.39481296930785</v>
      </c>
      <c r="I126" s="4">
        <v>-42.268803600628829</v>
      </c>
      <c r="J126" s="3">
        <v>253.33578676878264</v>
      </c>
      <c r="K126" s="3">
        <v>-249.26461132436197</v>
      </c>
      <c r="L126" s="4">
        <v>0.17319999999999999</v>
      </c>
    </row>
    <row r="127" spans="1:12">
      <c r="A127" s="164">
        <v>41499</v>
      </c>
      <c r="B127" s="4">
        <v>2.3775496115819217</v>
      </c>
      <c r="C127" s="4">
        <v>9.3719999999999999</v>
      </c>
      <c r="H127" s="4">
        <v>172.65293533296162</v>
      </c>
      <c r="I127" s="4">
        <v>-287.17953229073697</v>
      </c>
      <c r="J127" s="3">
        <v>168.40387122618458</v>
      </c>
      <c r="K127" s="3">
        <v>-232.1635314663416</v>
      </c>
      <c r="L127" s="4">
        <v>0.33250000000000002</v>
      </c>
    </row>
    <row r="128" spans="1:12">
      <c r="A128" s="164">
        <v>41500</v>
      </c>
      <c r="B128" s="4">
        <v>2.2202326977401126</v>
      </c>
      <c r="C128" s="4">
        <v>8.7509999999999994</v>
      </c>
      <c r="H128" s="4">
        <v>336.06601825628417</v>
      </c>
      <c r="I128" s="4">
        <v>-357.56838780703828</v>
      </c>
      <c r="J128" s="3">
        <v>230.7404593388064</v>
      </c>
      <c r="K128" s="3">
        <v>-210.79554404724632</v>
      </c>
      <c r="L128" s="4">
        <v>0.39800000000000002</v>
      </c>
    </row>
    <row r="129" spans="1:12">
      <c r="A129" s="164">
        <v>41501</v>
      </c>
      <c r="B129" s="4">
        <v>1.6433741172316383</v>
      </c>
      <c r="C129" s="4">
        <v>6.585</v>
      </c>
      <c r="H129" s="4">
        <v>376.26338871213648</v>
      </c>
      <c r="I129" s="4">
        <v>-410.44387201950701</v>
      </c>
      <c r="J129" s="3">
        <v>368.79329960343574</v>
      </c>
      <c r="K129" s="3">
        <v>-428.79591425289618</v>
      </c>
      <c r="L129" s="4">
        <v>0.46829999999999999</v>
      </c>
    </row>
    <row r="130" spans="1:12">
      <c r="A130" s="164">
        <v>41502</v>
      </c>
      <c r="B130" s="4">
        <v>1.4616864406779662</v>
      </c>
      <c r="C130" s="4">
        <v>4.407</v>
      </c>
      <c r="H130" s="4">
        <v>303.71536617198467</v>
      </c>
      <c r="I130" s="4">
        <v>-310.21158515693759</v>
      </c>
      <c r="J130" s="3">
        <v>265.43056248889087</v>
      </c>
      <c r="K130" s="3">
        <v>-235.06316850570022</v>
      </c>
      <c r="L130" s="4">
        <v>0.47899999999999998</v>
      </c>
    </row>
    <row r="131" spans="1:12">
      <c r="A131" s="164">
        <v>41503</v>
      </c>
      <c r="B131" s="4">
        <v>1.893167549435028</v>
      </c>
      <c r="C131" s="4">
        <v>8.5609999999999999</v>
      </c>
      <c r="H131" s="4">
        <v>172.22440584064003</v>
      </c>
      <c r="I131" s="4">
        <v>-104.45929525719643</v>
      </c>
      <c r="J131" s="3">
        <v>191.83692934512339</v>
      </c>
      <c r="K131" s="3">
        <v>-156.79699680108806</v>
      </c>
      <c r="L131" s="4">
        <v>0.49220000000000003</v>
      </c>
    </row>
    <row r="132" spans="1:12">
      <c r="A132" s="164">
        <v>41504</v>
      </c>
      <c r="B132" s="4">
        <v>1.5604486228813561</v>
      </c>
      <c r="C132" s="4">
        <v>9.3829999999999991</v>
      </c>
      <c r="H132" s="4">
        <v>74.078638156737981</v>
      </c>
      <c r="I132" s="4">
        <v>-39.826913226066864</v>
      </c>
      <c r="J132" s="3">
        <v>230.10734614750058</v>
      </c>
      <c r="K132" s="3">
        <v>-187.71122020870826</v>
      </c>
      <c r="L132" s="4">
        <v>0.51359999999999995</v>
      </c>
    </row>
    <row r="133" spans="1:12">
      <c r="A133" s="164">
        <v>41505</v>
      </c>
      <c r="B133" s="4">
        <v>1.5171925396862285</v>
      </c>
      <c r="C133" s="4">
        <v>4.72</v>
      </c>
      <c r="H133" s="4">
        <v>167.6155422027727</v>
      </c>
      <c r="I133" s="4">
        <v>-141.84937052464255</v>
      </c>
      <c r="J133" s="3">
        <v>361.09876922403663</v>
      </c>
      <c r="K133" s="3">
        <v>-183.98477329511414</v>
      </c>
      <c r="L133" s="4">
        <v>0.45529999999999998</v>
      </c>
    </row>
    <row r="134" spans="1:12">
      <c r="A134" s="164">
        <v>41506</v>
      </c>
      <c r="B134" s="4">
        <v>1.6280646186440684</v>
      </c>
      <c r="C134" s="4">
        <v>4.665</v>
      </c>
      <c r="H134" s="4">
        <v>89.721357918487996</v>
      </c>
      <c r="I134" s="4">
        <v>-87.25187542281148</v>
      </c>
      <c r="J134" s="3">
        <v>102.3756945448046</v>
      </c>
      <c r="K134" s="3">
        <v>-163.72231608948292</v>
      </c>
      <c r="L134" s="4">
        <v>0.41249999999999998</v>
      </c>
    </row>
    <row r="135" spans="1:12">
      <c r="A135" s="164">
        <v>41507</v>
      </c>
      <c r="B135" s="4">
        <v>1.6024959257848375</v>
      </c>
      <c r="C135" s="4">
        <v>5.7530000000000001</v>
      </c>
      <c r="H135" s="4">
        <v>201.891380870961</v>
      </c>
      <c r="I135" s="4">
        <v>-190.68331880936483</v>
      </c>
      <c r="J135" s="3">
        <v>320.78517299649764</v>
      </c>
      <c r="K135" s="3">
        <v>-379.31039532050539</v>
      </c>
      <c r="L135" s="4">
        <v>0.31809999999999999</v>
      </c>
    </row>
    <row r="136" spans="1:12">
      <c r="A136" s="164">
        <v>41508</v>
      </c>
      <c r="B136" s="4">
        <v>1.678840042372882</v>
      </c>
      <c r="C136" s="4">
        <v>5.532</v>
      </c>
      <c r="H136" s="4">
        <v>163.15287487341806</v>
      </c>
      <c r="I136" s="4">
        <v>-165.21130378381858</v>
      </c>
      <c r="J136" s="3">
        <v>216.00513086644304</v>
      </c>
      <c r="K136" s="3">
        <v>-231.23128868420088</v>
      </c>
      <c r="L136" s="4">
        <v>0.16689999999999999</v>
      </c>
    </row>
    <row r="137" spans="1:12">
      <c r="A137" s="164">
        <v>41509</v>
      </c>
      <c r="B137" s="4">
        <v>1.6430656779661017</v>
      </c>
      <c r="C137" s="4">
        <v>4.3639999999999999</v>
      </c>
      <c r="H137" s="4">
        <v>45.206860807983517</v>
      </c>
      <c r="I137" s="4">
        <v>-63.425735263571198</v>
      </c>
      <c r="J137" s="3">
        <v>128.53238826121884</v>
      </c>
      <c r="K137" s="3">
        <v>-235.23847063581997</v>
      </c>
      <c r="L137" s="4">
        <v>0.14949999999999999</v>
      </c>
    </row>
    <row r="138" spans="1:12">
      <c r="A138" s="164">
        <v>41510</v>
      </c>
      <c r="B138" s="4">
        <v>1.5012402895480221</v>
      </c>
      <c r="C138" s="4">
        <v>7.06</v>
      </c>
      <c r="H138" s="4">
        <v>69.680845775204091</v>
      </c>
      <c r="I138" s="4">
        <v>-112.13285272320269</v>
      </c>
      <c r="J138" s="3">
        <v>332.59500958142911</v>
      </c>
      <c r="K138" s="3">
        <v>-382.32466296467834</v>
      </c>
      <c r="L138" s="4">
        <v>0.14369999999999999</v>
      </c>
    </row>
    <row r="139" spans="1:12">
      <c r="A139" s="164">
        <v>41511</v>
      </c>
      <c r="B139" s="4">
        <v>1.61778169138418</v>
      </c>
      <c r="C139" s="4">
        <v>9.6669999999999998</v>
      </c>
      <c r="H139" s="4">
        <v>291.9323873325236</v>
      </c>
      <c r="I139" s="4">
        <v>-275.55605265047785</v>
      </c>
      <c r="J139" s="3">
        <v>395.6833332404056</v>
      </c>
      <c r="K139" s="3">
        <v>-290.35652117263726</v>
      </c>
      <c r="L139" s="4">
        <v>0.2273</v>
      </c>
    </row>
    <row r="140" spans="1:12">
      <c r="A140" s="164">
        <v>41512</v>
      </c>
      <c r="B140" s="4">
        <v>1.5198375850524208</v>
      </c>
      <c r="C140" s="4">
        <v>9.2669999999999995</v>
      </c>
      <c r="H140" s="4">
        <v>229.62064126156488</v>
      </c>
      <c r="I140" s="4">
        <v>-232.08088797988444</v>
      </c>
      <c r="J140" s="3">
        <v>396.6649920686865</v>
      </c>
      <c r="K140" s="3">
        <v>-299.92456824598798</v>
      </c>
      <c r="L140" s="4">
        <v>0.21859999999999999</v>
      </c>
    </row>
    <row r="141" spans="1:12">
      <c r="A141" s="164">
        <v>41513</v>
      </c>
      <c r="B141" s="4">
        <v>1.534148764704047</v>
      </c>
      <c r="C141" s="4">
        <v>5.7489999999999997</v>
      </c>
      <c r="H141" s="4">
        <v>185.45196342037511</v>
      </c>
      <c r="I141" s="4">
        <v>-173.38905464502554</v>
      </c>
      <c r="J141" s="3">
        <v>401.29431779344031</v>
      </c>
      <c r="K141" s="3">
        <v>-315.30055413809839</v>
      </c>
      <c r="L141" s="4">
        <v>0.27460000000000001</v>
      </c>
    </row>
    <row r="142" spans="1:12">
      <c r="A142" s="164">
        <v>41514</v>
      </c>
      <c r="B142" s="4">
        <v>1.4764470338983042</v>
      </c>
      <c r="C142" s="4">
        <v>4.7750000000000004</v>
      </c>
      <c r="H142" s="4">
        <v>239.55456259285864</v>
      </c>
      <c r="I142" s="4">
        <v>-281.85818581886645</v>
      </c>
      <c r="J142" s="3">
        <v>479.49646385509868</v>
      </c>
      <c r="K142" s="3">
        <v>-488.61356403102741</v>
      </c>
      <c r="L142" s="4">
        <v>0.34200000000000003</v>
      </c>
    </row>
    <row r="143" spans="1:12">
      <c r="A143" s="164">
        <v>41515</v>
      </c>
      <c r="B143" s="4">
        <v>1.5716645111800174</v>
      </c>
      <c r="C143" s="4">
        <v>6.4779999999999998</v>
      </c>
      <c r="H143" s="4">
        <v>314.10093870280775</v>
      </c>
      <c r="I143" s="4">
        <v>-257.02293914259769</v>
      </c>
      <c r="J143" s="3">
        <v>670.2608694156703</v>
      </c>
      <c r="K143" s="3">
        <v>-709.92298686290565</v>
      </c>
      <c r="L143" s="4">
        <v>0.39900000000000002</v>
      </c>
    </row>
    <row r="144" spans="1:12">
      <c r="A144" s="164">
        <v>41516</v>
      </c>
      <c r="B144" s="4">
        <v>2.3052034593143937</v>
      </c>
      <c r="C144" s="4">
        <v>8.4979999999999993</v>
      </c>
      <c r="H144" s="4">
        <v>317.24185379271461</v>
      </c>
      <c r="I144" s="4">
        <v>-279.5591479946022</v>
      </c>
      <c r="J144" s="3">
        <v>520.61163171144472</v>
      </c>
      <c r="K144" s="3">
        <v>-631.63161946825539</v>
      </c>
      <c r="L144" s="4">
        <v>0.40560000000000002</v>
      </c>
    </row>
    <row r="145" spans="1:12">
      <c r="A145" s="164">
        <v>41517</v>
      </c>
      <c r="B145" s="4">
        <v>2.2928808581465856</v>
      </c>
      <c r="C145" s="4">
        <v>9.8360000000000003</v>
      </c>
      <c r="H145" s="4">
        <v>119.59672884388527</v>
      </c>
      <c r="I145" s="4">
        <v>-85.42018733709574</v>
      </c>
      <c r="J145" s="3">
        <v>273.28975890178492</v>
      </c>
      <c r="K145" s="3">
        <v>-50.521570006259566</v>
      </c>
      <c r="L145" s="4">
        <v>0.378</v>
      </c>
    </row>
    <row r="146" spans="1:12">
      <c r="A146" s="164">
        <v>41518</v>
      </c>
      <c r="B146" s="4">
        <v>1.3978173582700173</v>
      </c>
      <c r="C146" s="4">
        <v>8.0180000000000007</v>
      </c>
      <c r="H146" s="4">
        <v>161.17881672428413</v>
      </c>
      <c r="I146" s="4">
        <v>-75.539169315528028</v>
      </c>
      <c r="J146" s="3">
        <v>395.57240280286504</v>
      </c>
      <c r="K146" s="3">
        <v>-433.66751611445289</v>
      </c>
      <c r="L146" s="4">
        <v>0.34289999999999998</v>
      </c>
    </row>
    <row r="147" spans="1:12">
      <c r="A147" s="164">
        <v>41519</v>
      </c>
      <c r="B147" s="4">
        <v>1.1754643037817438</v>
      </c>
      <c r="C147" s="4">
        <v>7.1180000000000003</v>
      </c>
      <c r="H147" s="4">
        <v>235.71786744734848</v>
      </c>
      <c r="I147" s="4">
        <v>-218.5201261853405</v>
      </c>
      <c r="J147" s="3">
        <v>626.45614524078098</v>
      </c>
      <c r="K147" s="3">
        <v>-617.30595396091758</v>
      </c>
      <c r="L147" s="4">
        <v>0.33850000000000002</v>
      </c>
    </row>
    <row r="148" spans="1:12">
      <c r="A148" s="164">
        <v>41520</v>
      </c>
      <c r="B148" s="4">
        <v>0.94412519509739912</v>
      </c>
      <c r="C148" s="4">
        <v>5.8310000000000004</v>
      </c>
      <c r="H148" s="4">
        <v>198.15263382874025</v>
      </c>
      <c r="I148" s="4">
        <v>-161.51339086144156</v>
      </c>
      <c r="J148" s="3">
        <v>499.2255879202317</v>
      </c>
      <c r="K148" s="3">
        <v>-438.48884008731363</v>
      </c>
      <c r="L148" s="4">
        <v>0.33119999999999999</v>
      </c>
    </row>
    <row r="149" spans="1:12">
      <c r="A149" s="164">
        <v>41521</v>
      </c>
      <c r="B149" s="4">
        <v>1.2354658820060094</v>
      </c>
      <c r="C149" s="4">
        <v>4.1909999999999998</v>
      </c>
      <c r="H149" s="4">
        <v>128.14192129070304</v>
      </c>
      <c r="I149" s="4">
        <v>-34.115636552245626</v>
      </c>
      <c r="J149" s="3">
        <v>633.89644738014601</v>
      </c>
      <c r="K149" s="3">
        <v>-506.93618881193197</v>
      </c>
      <c r="L149" s="4">
        <v>0.26119999999999999</v>
      </c>
    </row>
    <row r="150" spans="1:12">
      <c r="A150" s="164">
        <v>41522</v>
      </c>
      <c r="B150" s="4">
        <v>1.1504105934100457</v>
      </c>
      <c r="C150" s="4">
        <v>3.867</v>
      </c>
      <c r="H150" s="4">
        <v>81.414246848999397</v>
      </c>
      <c r="I150" s="4">
        <v>-95.643833945311627</v>
      </c>
      <c r="J150" s="3">
        <v>487.03473981731088</v>
      </c>
      <c r="K150" s="3">
        <v>-430.77852810461911</v>
      </c>
      <c r="L150" s="4">
        <v>0.1913</v>
      </c>
    </row>
    <row r="151" spans="1:12">
      <c r="A151" s="164">
        <v>41523</v>
      </c>
      <c r="B151" s="4">
        <v>1.4995449836120063</v>
      </c>
      <c r="C151" s="4">
        <v>4.6529999999999996</v>
      </c>
      <c r="H151" s="4">
        <v>116.5186816337184</v>
      </c>
      <c r="I151" s="4">
        <v>-99.669250587619587</v>
      </c>
      <c r="J151" s="3">
        <v>344.7413129806302</v>
      </c>
      <c r="K151" s="3">
        <v>-322.50943597379126</v>
      </c>
      <c r="L151" s="4">
        <v>0.1356</v>
      </c>
    </row>
    <row r="152" spans="1:12">
      <c r="A152" s="164">
        <v>41524</v>
      </c>
      <c r="B152" s="4">
        <v>1.7496257150908265</v>
      </c>
      <c r="C152" s="4">
        <v>4.3710000000000004</v>
      </c>
      <c r="H152" s="4">
        <v>140.45256096037426</v>
      </c>
      <c r="I152" s="4">
        <v>-117.6266305825494</v>
      </c>
      <c r="J152" s="3">
        <v>328.94153390164468</v>
      </c>
      <c r="K152" s="3">
        <v>-365.1000670536684</v>
      </c>
      <c r="L152" s="4">
        <v>0.1525</v>
      </c>
    </row>
    <row r="153" spans="1:12">
      <c r="A153" s="164">
        <v>41525</v>
      </c>
      <c r="B153" s="4">
        <v>1.637146818331306</v>
      </c>
      <c r="C153" s="4">
        <v>3.7759999999999998</v>
      </c>
      <c r="H153" s="4">
        <v>145.1076681011254</v>
      </c>
      <c r="I153" s="4">
        <v>-175.40865513002711</v>
      </c>
      <c r="J153" s="3">
        <v>449.88921290910673</v>
      </c>
      <c r="K153" s="3">
        <v>-565.52084671774696</v>
      </c>
      <c r="L153" s="4">
        <v>0.23680000000000001</v>
      </c>
    </row>
    <row r="154" spans="1:12">
      <c r="A154" s="164">
        <v>41526</v>
      </c>
      <c r="B154" s="4">
        <v>2.2716984794392943</v>
      </c>
      <c r="C154" s="4">
        <v>5.3730000000000002</v>
      </c>
      <c r="H154" s="4">
        <v>335.04512956083113</v>
      </c>
      <c r="I154" s="4">
        <v>-477.81936303728764</v>
      </c>
      <c r="J154" s="3">
        <v>728.64311751472712</v>
      </c>
      <c r="K154" s="3">
        <v>-666.11942766768846</v>
      </c>
      <c r="L154" s="4">
        <v>0.28689999999999999</v>
      </c>
    </row>
    <row r="155" spans="1:12">
      <c r="A155" s="164">
        <v>41527</v>
      </c>
      <c r="B155" s="4">
        <v>1.8924635891380428</v>
      </c>
      <c r="C155" s="4">
        <v>6.4710000000000001</v>
      </c>
      <c r="H155" s="4">
        <v>289.5764976088131</v>
      </c>
      <c r="I155" s="4">
        <v>-191.9373323934434</v>
      </c>
      <c r="J155" s="3">
        <v>190.499831706565</v>
      </c>
      <c r="K155" s="3">
        <v>-407.55859847332374</v>
      </c>
      <c r="L155" s="4">
        <v>0.3453</v>
      </c>
    </row>
    <row r="156" spans="1:12">
      <c r="A156" s="164">
        <v>41528</v>
      </c>
      <c r="B156" s="4">
        <v>1.4144691633470732</v>
      </c>
      <c r="C156" s="4">
        <v>6.9429999999999996</v>
      </c>
      <c r="H156" s="4">
        <v>247.97746240242407</v>
      </c>
      <c r="I156" s="4">
        <v>-344.87742799478508</v>
      </c>
      <c r="J156" s="3">
        <v>783.37068303458773</v>
      </c>
      <c r="K156" s="3">
        <v>-803.36987820579441</v>
      </c>
      <c r="L156" s="4">
        <v>0.36849999999999999</v>
      </c>
    </row>
    <row r="157" spans="1:12">
      <c r="A157" s="164">
        <v>41529</v>
      </c>
      <c r="B157" s="4">
        <v>1.5205347724575653</v>
      </c>
      <c r="C157" s="4">
        <v>4.7720000000000002</v>
      </c>
      <c r="H157" s="4">
        <v>423.53404491526953</v>
      </c>
      <c r="I157" s="4">
        <v>-559.33231873469981</v>
      </c>
      <c r="J157" s="3">
        <v>321.25938571830994</v>
      </c>
      <c r="K157" s="3">
        <v>-403.94756753351771</v>
      </c>
      <c r="L157" s="4">
        <v>0.44090000000000001</v>
      </c>
    </row>
    <row r="158" spans="1:12">
      <c r="A158" s="164">
        <v>41530</v>
      </c>
      <c r="B158" s="4">
        <v>1.6737377528734347</v>
      </c>
      <c r="C158" s="4">
        <v>6.1050000000000004</v>
      </c>
      <c r="H158" s="4">
        <v>484.18275175411725</v>
      </c>
      <c r="I158" s="4">
        <v>-497.73999932971969</v>
      </c>
      <c r="J158" s="3">
        <v>545.08471477636806</v>
      </c>
      <c r="K158" s="3">
        <v>-731.23511051759829</v>
      </c>
      <c r="L158" s="4">
        <v>0.46</v>
      </c>
    </row>
    <row r="159" spans="1:12">
      <c r="A159" s="164">
        <v>41531</v>
      </c>
      <c r="B159" s="4">
        <v>1.6828483403954804</v>
      </c>
      <c r="C159" s="4">
        <v>7.2350000000000003</v>
      </c>
      <c r="H159" s="4">
        <v>230.10463625663471</v>
      </c>
      <c r="I159" s="4">
        <v>-128.88109210613396</v>
      </c>
      <c r="J159" s="3">
        <v>433.16438610502894</v>
      </c>
      <c r="K159" s="3">
        <v>-299.02649269683343</v>
      </c>
      <c r="L159" s="4">
        <v>0.42980000000000002</v>
      </c>
    </row>
    <row r="160" spans="1:12">
      <c r="A160" s="164">
        <v>41532</v>
      </c>
      <c r="B160" s="4">
        <v>1.3155995748225406</v>
      </c>
      <c r="C160" s="4">
        <v>5.774</v>
      </c>
      <c r="H160" s="4">
        <v>190.02237793654828</v>
      </c>
      <c r="I160" s="4">
        <v>-141.82488376735606</v>
      </c>
      <c r="J160" s="3">
        <v>334.57156246043922</v>
      </c>
      <c r="K160" s="3">
        <v>-230.35807430379649</v>
      </c>
      <c r="L160" s="4">
        <v>0.41020000000000001</v>
      </c>
    </row>
    <row r="161" spans="1:12">
      <c r="A161" s="164">
        <v>41533</v>
      </c>
      <c r="B161" s="4">
        <v>1.2365888430255207</v>
      </c>
      <c r="C161" s="4">
        <v>11.298999999999999</v>
      </c>
      <c r="H161" s="4">
        <v>152.87400896546032</v>
      </c>
      <c r="I161" s="4">
        <v>-202.51299628873079</v>
      </c>
      <c r="J161" s="3">
        <v>200.20407887141434</v>
      </c>
      <c r="K161" s="3">
        <v>-241.05569793152142</v>
      </c>
      <c r="L161" s="4">
        <v>0.3427</v>
      </c>
    </row>
    <row r="162" spans="1:12">
      <c r="A162" s="164">
        <v>41534</v>
      </c>
      <c r="B162" s="4">
        <v>1.3543748273590674</v>
      </c>
      <c r="C162" s="4">
        <v>9.8569999999999993</v>
      </c>
      <c r="H162" s="4">
        <v>283.84521716052342</v>
      </c>
      <c r="I162" s="4">
        <v>-215.09283092426625</v>
      </c>
      <c r="J162" s="3">
        <v>297.0193841966381</v>
      </c>
      <c r="K162" s="3">
        <v>-315.6522866984709</v>
      </c>
      <c r="L162" s="4">
        <v>0.29759999999999998</v>
      </c>
    </row>
    <row r="163" spans="1:12">
      <c r="A163" s="164">
        <v>41535</v>
      </c>
      <c r="B163" s="4">
        <v>0.88562285700370158</v>
      </c>
      <c r="C163" s="4">
        <v>8.8350000000000009</v>
      </c>
      <c r="H163" s="4">
        <v>98.30040539051582</v>
      </c>
      <c r="I163" s="4">
        <v>-118.80268687343667</v>
      </c>
      <c r="J163" s="3">
        <v>192.85608651874318</v>
      </c>
      <c r="K163" s="3">
        <v>-202.99010236807942</v>
      </c>
      <c r="L163" s="4">
        <v>0.16900000000000001</v>
      </c>
    </row>
    <row r="164" spans="1:12">
      <c r="A164" s="164">
        <v>41536</v>
      </c>
      <c r="B164" s="4">
        <v>0.85417196327683576</v>
      </c>
      <c r="C164" s="4">
        <v>8.8249999999999993</v>
      </c>
      <c r="H164" s="4">
        <v>150.13972913719016</v>
      </c>
      <c r="I164" s="4">
        <v>-170.4294761443316</v>
      </c>
      <c r="J164" s="3">
        <v>76.31325588868998</v>
      </c>
      <c r="K164" s="3">
        <v>-77.077729988582021</v>
      </c>
      <c r="L164" s="4">
        <v>0.27679999999999999</v>
      </c>
    </row>
    <row r="165" spans="1:12">
      <c r="A165" s="164">
        <v>41537</v>
      </c>
      <c r="B165" s="4">
        <v>1.3940285638105321</v>
      </c>
      <c r="C165" s="4">
        <v>5.2750000000000004</v>
      </c>
      <c r="H165" s="4">
        <v>214.63262182994657</v>
      </c>
      <c r="I165" s="4">
        <v>-264.97659507178582</v>
      </c>
      <c r="J165" s="3">
        <v>266.8464563323966</v>
      </c>
      <c r="K165" s="3">
        <v>-352.14049500454558</v>
      </c>
      <c r="L165" s="4">
        <v>0.25030000000000002</v>
      </c>
    </row>
    <row r="166" spans="1:12">
      <c r="A166" s="164">
        <v>41538</v>
      </c>
      <c r="B166" s="4">
        <v>1.5116453036723165</v>
      </c>
      <c r="C166" s="4">
        <v>9.1620000000000008</v>
      </c>
      <c r="H166" s="4">
        <v>83.646939775490537</v>
      </c>
      <c r="I166" s="4">
        <v>-97.4192355058494</v>
      </c>
      <c r="J166" s="3">
        <v>301.93079877305127</v>
      </c>
      <c r="K166" s="3">
        <v>-250.23477705123776</v>
      </c>
      <c r="L166" s="4">
        <v>0.19750000000000001</v>
      </c>
    </row>
    <row r="167" spans="1:12">
      <c r="A167" s="164">
        <v>41539</v>
      </c>
      <c r="B167" s="4">
        <v>0.87997687146892678</v>
      </c>
      <c r="C167" s="4">
        <v>6.5540000000000003</v>
      </c>
      <c r="H167" s="4">
        <v>158.12081386574889</v>
      </c>
      <c r="I167" s="4">
        <v>-172.79371411358997</v>
      </c>
      <c r="J167" s="3">
        <v>201.07268941823051</v>
      </c>
      <c r="K167" s="3">
        <v>-261.2430266461962</v>
      </c>
      <c r="L167" s="4">
        <v>0.36</v>
      </c>
    </row>
    <row r="168" spans="1:12">
      <c r="A168" s="164">
        <v>41540</v>
      </c>
      <c r="B168" s="4">
        <v>0.90594648541850964</v>
      </c>
      <c r="C168" s="4">
        <v>6.2939999999999996</v>
      </c>
      <c r="H168" s="4">
        <v>227.43695270262339</v>
      </c>
      <c r="I168" s="4">
        <v>-250.74758800992021</v>
      </c>
      <c r="J168" s="3">
        <v>200.73480033628522</v>
      </c>
      <c r="K168" s="3">
        <v>-191.63179084368215</v>
      </c>
      <c r="L168" s="4">
        <v>0.38679999999999998</v>
      </c>
    </row>
    <row r="169" spans="1:12">
      <c r="A169" s="164">
        <v>41541</v>
      </c>
      <c r="B169" s="4">
        <v>0.96026942090395495</v>
      </c>
      <c r="C169" s="4">
        <v>8.5190000000000001</v>
      </c>
      <c r="H169" s="4">
        <v>205.44315444383057</v>
      </c>
      <c r="I169" s="4">
        <v>-259.32572303153313</v>
      </c>
      <c r="J169" s="3">
        <v>55.107997902821111</v>
      </c>
      <c r="K169" s="3">
        <v>-86.674004875561707</v>
      </c>
      <c r="L169" s="4">
        <v>0.30199999999999999</v>
      </c>
    </row>
    <row r="170" spans="1:12">
      <c r="A170" s="164">
        <v>41542</v>
      </c>
      <c r="B170" s="4">
        <v>1.0207865272412895</v>
      </c>
      <c r="C170" s="4">
        <v>4.2140000000000004</v>
      </c>
      <c r="H170" s="4">
        <v>269.9631589679546</v>
      </c>
      <c r="I170" s="4">
        <v>-215.17813867155138</v>
      </c>
      <c r="J170" s="3">
        <v>261.55573829872822</v>
      </c>
      <c r="K170" s="3">
        <v>-193.58611095364483</v>
      </c>
      <c r="L170" s="4">
        <v>0.35470000000000002</v>
      </c>
    </row>
    <row r="171" spans="1:12">
      <c r="A171" s="164">
        <v>41543</v>
      </c>
      <c r="B171" s="4">
        <v>1.1284605345436061</v>
      </c>
      <c r="C171" s="4">
        <v>7.5640000000000001</v>
      </c>
      <c r="H171" s="4">
        <v>275.70855425322986</v>
      </c>
      <c r="I171" s="4">
        <v>-295.2129827535428</v>
      </c>
      <c r="J171" s="3">
        <v>209.17122661498567</v>
      </c>
      <c r="K171" s="3">
        <v>-251.13816526111367</v>
      </c>
      <c r="L171" s="4">
        <v>0.34649999999999997</v>
      </c>
    </row>
    <row r="172" spans="1:12">
      <c r="A172" s="164">
        <v>41544</v>
      </c>
      <c r="B172" s="4">
        <v>1.1016146027348357</v>
      </c>
      <c r="C172" s="4">
        <v>8.125</v>
      </c>
      <c r="H172" s="4">
        <v>256.48416329363545</v>
      </c>
      <c r="I172" s="4">
        <v>-262.03978246907161</v>
      </c>
      <c r="J172" s="3">
        <v>286.91070518066238</v>
      </c>
      <c r="K172" s="3">
        <v>-231.40800977744186</v>
      </c>
      <c r="L172" s="4">
        <v>0.34589999999999999</v>
      </c>
    </row>
    <row r="173" spans="1:12">
      <c r="A173" s="164">
        <v>41545</v>
      </c>
      <c r="B173" s="4">
        <v>1.3600845610776551</v>
      </c>
      <c r="C173" s="4">
        <v>7.3049999999999997</v>
      </c>
      <c r="H173" s="4">
        <v>296.41429901535264</v>
      </c>
      <c r="I173" s="4">
        <v>-287.87885989334063</v>
      </c>
      <c r="J173" s="3">
        <v>216.62733200097827</v>
      </c>
      <c r="K173" s="3">
        <v>-213.44135116162283</v>
      </c>
      <c r="L173" s="4">
        <v>0.28870000000000001</v>
      </c>
    </row>
    <row r="174" spans="1:12">
      <c r="A174" s="164">
        <v>41546</v>
      </c>
      <c r="B174" s="4">
        <v>1.1939825211864414</v>
      </c>
      <c r="C174" s="4">
        <v>7.9169999999999998</v>
      </c>
      <c r="H174" s="4">
        <v>123.34795692450248</v>
      </c>
      <c r="I174" s="4">
        <v>-147.49254530210123</v>
      </c>
      <c r="J174" s="3">
        <v>168.80868429022047</v>
      </c>
      <c r="K174" s="3">
        <v>-148.55974283576327</v>
      </c>
      <c r="L174" s="4">
        <v>0.29459999999999997</v>
      </c>
    </row>
    <row r="175" spans="1:12">
      <c r="A175" s="164">
        <v>41547</v>
      </c>
      <c r="B175" s="4">
        <v>1.1979556850282491</v>
      </c>
      <c r="C175" s="4">
        <v>4.3609999999999998</v>
      </c>
      <c r="H175" s="4">
        <v>127.25117968757957</v>
      </c>
      <c r="I175" s="4">
        <v>-112.28796114183041</v>
      </c>
      <c r="J175" s="3">
        <v>182.99100765771468</v>
      </c>
      <c r="K175" s="3">
        <v>-181.13630092301753</v>
      </c>
      <c r="L175" s="4">
        <v>0.23730000000000001</v>
      </c>
    </row>
    <row r="176" spans="1:12">
      <c r="A176" s="164">
        <v>41548</v>
      </c>
      <c r="B176" s="4">
        <v>1.1969412076271186</v>
      </c>
      <c r="C176" s="4">
        <v>6.3339999999999996</v>
      </c>
      <c r="H176" s="4">
        <v>201.38539486763804</v>
      </c>
      <c r="I176" s="4">
        <v>-236.37001900606788</v>
      </c>
      <c r="J176" s="3">
        <v>131.23183547552722</v>
      </c>
      <c r="K176" s="3">
        <v>-118.33125090952477</v>
      </c>
      <c r="L176" s="4">
        <v>0.16250000000000001</v>
      </c>
    </row>
    <row r="177" spans="1:12">
      <c r="A177" s="164">
        <v>41549</v>
      </c>
      <c r="B177" s="4">
        <v>1.1469403248587569</v>
      </c>
      <c r="C177" s="4">
        <v>6.6929999999999996</v>
      </c>
      <c r="H177" s="4">
        <v>112.37700254629888</v>
      </c>
      <c r="I177" s="4">
        <v>-65.263937511900195</v>
      </c>
      <c r="J177" s="3">
        <v>97.090264609425532</v>
      </c>
      <c r="K177" s="3">
        <v>-97.069983820929536</v>
      </c>
      <c r="L177" s="4">
        <v>0.11509999999999999</v>
      </c>
    </row>
    <row r="178" spans="1:12">
      <c r="C178" s="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350"/>
  <sheetViews>
    <sheetView workbookViewId="0">
      <selection activeCell="A24" sqref="A24"/>
    </sheetView>
  </sheetViews>
  <sheetFormatPr defaultRowHeight="13.2"/>
  <cols>
    <col min="1" max="1" width="4.109375" bestFit="1" customWidth="1"/>
    <col min="4" max="4" width="6.33203125" bestFit="1" customWidth="1"/>
  </cols>
  <sheetData>
    <row r="1" spans="1:4">
      <c r="A1" t="s">
        <v>44</v>
      </c>
    </row>
    <row r="2" spans="1:4">
      <c r="A2" s="5" t="s">
        <v>29</v>
      </c>
      <c r="B2" s="5" t="s">
        <v>2</v>
      </c>
      <c r="C2" s="5" t="s">
        <v>15</v>
      </c>
      <c r="D2" s="5" t="s">
        <v>42</v>
      </c>
    </row>
    <row r="3" spans="1:4">
      <c r="A3" t="s">
        <v>41</v>
      </c>
      <c r="B3" s="2">
        <f>'SP01'!A3</f>
        <v>41376</v>
      </c>
      <c r="C3" s="4">
        <f>'SP01'!C3</f>
        <v>22.21816603892027</v>
      </c>
      <c r="D3" s="4">
        <v>16.978687696170738</v>
      </c>
    </row>
    <row r="4" spans="1:4">
      <c r="A4" t="s">
        <v>41</v>
      </c>
      <c r="B4" s="2">
        <f>'SP01'!A4</f>
        <v>41377</v>
      </c>
      <c r="C4" s="4">
        <f>'SP01'!C4</f>
        <v>22.640152542372874</v>
      </c>
      <c r="D4" s="4">
        <v>15.944847457627118</v>
      </c>
    </row>
    <row r="5" spans="1:4">
      <c r="A5" t="s">
        <v>41</v>
      </c>
      <c r="B5" s="2">
        <f>'SP01'!A5</f>
        <v>41378</v>
      </c>
      <c r="C5" s="4">
        <f>'SP01'!C5</f>
        <v>24.429520127118632</v>
      </c>
      <c r="D5" s="4">
        <v>15.062862994350285</v>
      </c>
    </row>
    <row r="6" spans="1:4">
      <c r="A6" t="s">
        <v>41</v>
      </c>
      <c r="B6" s="2">
        <f>'SP01'!A6</f>
        <v>41379</v>
      </c>
      <c r="C6" s="4">
        <f>'SP01'!C6</f>
        <v>23.964330508474575</v>
      </c>
      <c r="D6" s="4">
        <v>15.602390713276831</v>
      </c>
    </row>
    <row r="7" spans="1:4">
      <c r="A7" t="s">
        <v>41</v>
      </c>
      <c r="B7" s="2">
        <f>'SP01'!A7</f>
        <v>41380</v>
      </c>
      <c r="C7" s="4">
        <f>'SP01'!C7</f>
        <v>23.684876412429375</v>
      </c>
      <c r="D7" s="4">
        <v>15.079151836158189</v>
      </c>
    </row>
    <row r="8" spans="1:4">
      <c r="A8" t="s">
        <v>41</v>
      </c>
      <c r="B8" s="2">
        <f>'SP01'!A8</f>
        <v>41381</v>
      </c>
      <c r="C8" s="4">
        <f>'SP01'!C8</f>
        <v>23.220986935028247</v>
      </c>
      <c r="D8" s="4">
        <v>15.636722281073453</v>
      </c>
    </row>
    <row r="9" spans="1:4">
      <c r="A9" t="s">
        <v>41</v>
      </c>
      <c r="B9" s="2">
        <f>'SP01'!A9</f>
        <v>41382</v>
      </c>
      <c r="C9" s="4">
        <f>'SP01'!C9</f>
        <v>23.632603107344632</v>
      </c>
      <c r="D9" s="4">
        <v>15.205149011299442</v>
      </c>
    </row>
    <row r="10" spans="1:4">
      <c r="A10" t="s">
        <v>41</v>
      </c>
      <c r="B10" s="2">
        <f>'SP01'!A10</f>
        <v>41383</v>
      </c>
      <c r="C10" s="4">
        <f>'SP01'!C10</f>
        <v>23.144691031073449</v>
      </c>
      <c r="D10" s="4">
        <v>16.300857168079094</v>
      </c>
    </row>
    <row r="11" spans="1:4">
      <c r="A11" t="s">
        <v>41</v>
      </c>
      <c r="B11" s="2">
        <f>'SP01'!A11</f>
        <v>41384</v>
      </c>
      <c r="C11" s="4">
        <f>'SP01'!C11</f>
        <v>22.841987994350276</v>
      </c>
      <c r="D11" s="4">
        <v>17.121345692090397</v>
      </c>
    </row>
    <row r="12" spans="1:4">
      <c r="A12" t="s">
        <v>41</v>
      </c>
      <c r="B12" s="2">
        <f>'SP01'!A12</f>
        <v>41385</v>
      </c>
      <c r="C12" s="4">
        <f>'SP01'!C12</f>
        <v>21.416925141242928</v>
      </c>
      <c r="D12" s="4">
        <v>18.510155543785316</v>
      </c>
    </row>
    <row r="13" spans="1:4">
      <c r="A13" t="s">
        <v>41</v>
      </c>
      <c r="B13" s="2">
        <f>'SP01'!A13</f>
        <v>41386</v>
      </c>
      <c r="C13" s="4">
        <f>'SP01'!C13</f>
        <v>20.527373764124299</v>
      </c>
      <c r="D13" s="4">
        <v>20.474858050847459</v>
      </c>
    </row>
    <row r="14" spans="1:4">
      <c r="A14" t="s">
        <v>41</v>
      </c>
      <c r="B14" s="2">
        <f>'SP01'!A14</f>
        <v>41387</v>
      </c>
      <c r="C14" s="4">
        <f>'SP01'!C14</f>
        <v>19.100513947740115</v>
      </c>
      <c r="D14" s="4">
        <v>25.134566913841809</v>
      </c>
    </row>
    <row r="15" spans="1:4">
      <c r="A15" t="s">
        <v>41</v>
      </c>
      <c r="B15" s="2">
        <f>'SP01'!A15</f>
        <v>41388</v>
      </c>
      <c r="C15" s="4">
        <f>'SP01'!C15</f>
        <v>19.703350105932202</v>
      </c>
      <c r="D15" s="4">
        <v>22.97193396892655</v>
      </c>
    </row>
    <row r="16" spans="1:4">
      <c r="A16" t="s">
        <v>41</v>
      </c>
      <c r="B16" s="2">
        <f>'SP01'!A16</f>
        <v>41389</v>
      </c>
      <c r="C16" s="4">
        <f>'SP01'!C16</f>
        <v>21.346641242937849</v>
      </c>
      <c r="D16" s="4">
        <v>19.657340042372891</v>
      </c>
    </row>
    <row r="17" spans="1:4">
      <c r="A17" t="s">
        <v>41</v>
      </c>
      <c r="B17" s="2">
        <f>'SP01'!A17</f>
        <v>41390</v>
      </c>
      <c r="C17" s="4">
        <f>'SP01'!C17</f>
        <v>18.561802789548029</v>
      </c>
      <c r="D17" s="4">
        <v>26.885162782485882</v>
      </c>
    </row>
    <row r="18" spans="1:4">
      <c r="A18" t="s">
        <v>41</v>
      </c>
      <c r="B18" s="2">
        <f>'SP01'!A18</f>
        <v>41391</v>
      </c>
      <c r="C18" s="4">
        <f>'SP01'!C18</f>
        <v>20.796891813919945</v>
      </c>
      <c r="D18" s="4">
        <v>22.038764514965738</v>
      </c>
    </row>
    <row r="19" spans="1:4">
      <c r="A19" t="s">
        <v>41</v>
      </c>
      <c r="B19" s="2">
        <f>'SP01'!A19</f>
        <v>41392</v>
      </c>
      <c r="C19" s="4">
        <f>'SP01'!C19</f>
        <v>21.810017302259883</v>
      </c>
      <c r="D19" s="4">
        <v>19.078468749999995</v>
      </c>
    </row>
    <row r="20" spans="1:4">
      <c r="A20" t="s">
        <v>41</v>
      </c>
      <c r="B20" s="2">
        <f>'SP01'!A20</f>
        <v>41393</v>
      </c>
      <c r="C20" s="4">
        <f>'SP01'!C20</f>
        <v>23.788679378531068</v>
      </c>
      <c r="D20" s="4">
        <v>16.897520480225989</v>
      </c>
    </row>
    <row r="21" spans="1:4">
      <c r="A21" t="s">
        <v>41</v>
      </c>
      <c r="B21" s="2">
        <f>'SP01'!A21</f>
        <v>41394</v>
      </c>
      <c r="C21" s="4">
        <f>'SP01'!C21</f>
        <v>24.706439795197749</v>
      </c>
      <c r="D21" s="4">
        <v>15.743362111581925</v>
      </c>
    </row>
    <row r="22" spans="1:4">
      <c r="A22" t="s">
        <v>41</v>
      </c>
      <c r="B22" s="2">
        <f>'SP01'!A22</f>
        <v>41395</v>
      </c>
      <c r="C22" s="4">
        <f>'SP01'!C22</f>
        <v>27.15217637711865</v>
      </c>
      <c r="D22" s="4">
        <v>13.048155896892657</v>
      </c>
    </row>
    <row r="23" spans="1:4">
      <c r="A23" t="s">
        <v>41</v>
      </c>
      <c r="B23" s="2">
        <f>'SP01'!A23</f>
        <v>41396</v>
      </c>
      <c r="C23" s="4">
        <f>'SP01'!C23</f>
        <v>27.19479201977401</v>
      </c>
      <c r="D23" s="4">
        <v>13.375208686440685</v>
      </c>
    </row>
    <row r="24" spans="1:4">
      <c r="A24" t="s">
        <v>41</v>
      </c>
      <c r="B24" s="2">
        <f>'SP01'!A24</f>
        <v>41397</v>
      </c>
      <c r="C24" s="4">
        <f>'SP01'!C24</f>
        <v>25.626908721751416</v>
      </c>
      <c r="D24" s="4">
        <v>16.665166313559322</v>
      </c>
    </row>
    <row r="25" spans="1:4">
      <c r="A25" t="s">
        <v>41</v>
      </c>
      <c r="B25" s="2">
        <f>'SP01'!A25</f>
        <v>41398</v>
      </c>
      <c r="C25" s="4">
        <f>'SP01'!C25</f>
        <v>23.794778248587573</v>
      </c>
      <c r="D25" s="4">
        <v>19.635106638418076</v>
      </c>
    </row>
    <row r="26" spans="1:4">
      <c r="A26" t="s">
        <v>41</v>
      </c>
      <c r="B26" s="2">
        <f>'SP01'!A26</f>
        <v>41399</v>
      </c>
      <c r="C26" s="4">
        <f>'SP01'!C26</f>
        <v>23.810814088983054</v>
      </c>
      <c r="D26" s="4">
        <v>19.428061440677961</v>
      </c>
    </row>
    <row r="27" spans="1:4">
      <c r="A27" t="s">
        <v>41</v>
      </c>
      <c r="B27" s="2">
        <f>'SP01'!A27</f>
        <v>41400</v>
      </c>
      <c r="C27" s="4">
        <f>'SP01'!C27</f>
        <v>23.706143185028253</v>
      </c>
      <c r="D27" s="4">
        <v>18.527721751412439</v>
      </c>
    </row>
    <row r="28" spans="1:4">
      <c r="A28" t="s">
        <v>41</v>
      </c>
      <c r="B28" s="2">
        <f>'SP01'!A28</f>
        <v>41401</v>
      </c>
      <c r="C28" s="4">
        <f>'SP01'!C28</f>
        <v>24.353506532485881</v>
      </c>
      <c r="D28" s="4">
        <v>17.452755296610167</v>
      </c>
    </row>
    <row r="29" spans="1:4">
      <c r="A29" t="s">
        <v>41</v>
      </c>
      <c r="B29" s="2">
        <f>'SP01'!A29</f>
        <v>41402</v>
      </c>
      <c r="C29" s="4">
        <f>'SP01'!C29</f>
        <v>24.476784158489448</v>
      </c>
      <c r="D29" s="4">
        <v>16.66449556137874</v>
      </c>
    </row>
    <row r="30" spans="1:4">
      <c r="A30" t="s">
        <v>41</v>
      </c>
      <c r="B30" s="2">
        <f>'SP01'!A30</f>
        <v>41403</v>
      </c>
      <c r="C30" s="4">
        <f>'SP01'!C30</f>
        <v>23.575590541417132</v>
      </c>
      <c r="D30" s="4">
        <v>17.105841820027386</v>
      </c>
    </row>
    <row r="31" spans="1:4">
      <c r="A31" t="s">
        <v>41</v>
      </c>
      <c r="B31" s="2">
        <f>'SP01'!A31</f>
        <v>41404</v>
      </c>
      <c r="C31" s="4">
        <f>'SP01'!C31</f>
        <v>24.252236405367231</v>
      </c>
      <c r="D31" s="4">
        <v>16.716005826271186</v>
      </c>
    </row>
    <row r="32" spans="1:4">
      <c r="A32" t="s">
        <v>41</v>
      </c>
      <c r="B32" s="2">
        <f>'SP01'!A32</f>
        <v>41405</v>
      </c>
      <c r="C32" s="4">
        <f>'SP01'!C32</f>
        <v>25.241649187853113</v>
      </c>
      <c r="D32" s="4">
        <v>15.739791666666662</v>
      </c>
    </row>
    <row r="33" spans="1:4">
      <c r="A33" t="s">
        <v>41</v>
      </c>
      <c r="B33" s="2">
        <f>'SP01'!A33</f>
        <v>41406</v>
      </c>
      <c r="C33" s="4">
        <f>'SP01'!C33</f>
        <v>25.789768008474592</v>
      </c>
      <c r="D33" s="4">
        <v>14.572978460451976</v>
      </c>
    </row>
    <row r="34" spans="1:4">
      <c r="A34" t="s">
        <v>41</v>
      </c>
      <c r="B34" s="2">
        <f>'SP01'!A34</f>
        <v>41407</v>
      </c>
      <c r="C34" s="4">
        <f>'SP01'!C34</f>
        <v>24.409184322033894</v>
      </c>
      <c r="D34" s="4">
        <v>16.131154484463281</v>
      </c>
    </row>
    <row r="35" spans="1:4">
      <c r="A35" t="s">
        <v>41</v>
      </c>
      <c r="B35" s="2">
        <f>'SP01'!A35</f>
        <v>41408</v>
      </c>
      <c r="C35" s="4">
        <f>'SP01'!C35</f>
        <v>21.864791843220331</v>
      </c>
      <c r="D35" s="4">
        <v>18.063752648305087</v>
      </c>
    </row>
    <row r="36" spans="1:4">
      <c r="A36" t="s">
        <v>41</v>
      </c>
      <c r="B36" s="2">
        <f>'SP01'!A36</f>
        <v>41409</v>
      </c>
      <c r="C36" s="4">
        <f>'SP01'!C36</f>
        <v>22.79996597262809</v>
      </c>
      <c r="D36" s="4">
        <v>16.060657988992794</v>
      </c>
    </row>
    <row r="37" spans="1:4">
      <c r="A37" t="s">
        <v>41</v>
      </c>
      <c r="B37" s="2">
        <f>'SP01'!A37</f>
        <v>41410</v>
      </c>
      <c r="C37" s="4">
        <f>'SP01'!C37</f>
        <v>24.374225105932208</v>
      </c>
      <c r="D37" s="4">
        <v>14.80262199858757</v>
      </c>
    </row>
    <row r="38" spans="1:4">
      <c r="A38" t="s">
        <v>41</v>
      </c>
      <c r="B38" s="2">
        <f>'SP01'!A38</f>
        <v>41411</v>
      </c>
      <c r="C38" s="4">
        <f>'SP01'!C38</f>
        <v>24.728405529410963</v>
      </c>
      <c r="D38" s="4">
        <v>14.083356059127501</v>
      </c>
    </row>
    <row r="39" spans="1:4">
      <c r="A39" t="s">
        <v>41</v>
      </c>
      <c r="B39" s="2">
        <f>'SP01'!A39</f>
        <v>41412</v>
      </c>
      <c r="C39" s="4">
        <f>'SP01'!C39</f>
        <v>25.893389472323211</v>
      </c>
      <c r="D39" s="4">
        <v>12.097104862701306</v>
      </c>
    </row>
    <row r="40" spans="1:4">
      <c r="A40" t="s">
        <v>41</v>
      </c>
      <c r="B40" s="2">
        <f>'SP01'!A40</f>
        <v>41413</v>
      </c>
      <c r="C40" s="4">
        <f>'SP01'!C40</f>
        <v>25.809465742772513</v>
      </c>
      <c r="D40" s="4">
        <v>11.308570380832814</v>
      </c>
    </row>
    <row r="41" spans="1:4">
      <c r="A41" t="s">
        <v>41</v>
      </c>
      <c r="B41" s="2">
        <f>'SP01'!A41</f>
        <v>41414</v>
      </c>
      <c r="C41" s="4">
        <f>'SP01'!C41</f>
        <v>25.996840779015262</v>
      </c>
      <c r="D41" s="4">
        <v>10.496460318402949</v>
      </c>
    </row>
    <row r="42" spans="1:4">
      <c r="A42" t="s">
        <v>41</v>
      </c>
      <c r="B42" s="2">
        <f>'SP01'!A42</f>
        <v>41415</v>
      </c>
      <c r="C42" s="4">
        <f>'SP01'!C42</f>
        <v>24.510055207970797</v>
      </c>
      <c r="D42" s="4">
        <v>11.035966440849938</v>
      </c>
    </row>
    <row r="43" spans="1:4">
      <c r="A43" t="s">
        <v>41</v>
      </c>
      <c r="B43" s="2">
        <f>'SP01'!A43</f>
        <v>41416</v>
      </c>
      <c r="C43" s="4">
        <f>'SP01'!C43</f>
        <v>24.229914346720417</v>
      </c>
      <c r="D43" s="4">
        <v>11.514361405368449</v>
      </c>
    </row>
    <row r="44" spans="1:4">
      <c r="A44" t="s">
        <v>41</v>
      </c>
      <c r="B44" s="2">
        <f>'SP01'!A44</f>
        <v>41417</v>
      </c>
      <c r="C44" s="4">
        <f>'SP01'!C44</f>
        <v>25.013482161887193</v>
      </c>
      <c r="D44" s="4">
        <v>11.786222442392138</v>
      </c>
    </row>
    <row r="45" spans="1:4">
      <c r="A45" t="s">
        <v>41</v>
      </c>
      <c r="B45" s="2">
        <f>'SP01'!A45</f>
        <v>41418</v>
      </c>
      <c r="C45" s="4">
        <f>'SP01'!C45</f>
        <v>26.634729343220346</v>
      </c>
      <c r="D45" s="4">
        <v>11.773352048022602</v>
      </c>
    </row>
    <row r="46" spans="1:4">
      <c r="A46" t="s">
        <v>41</v>
      </c>
      <c r="B46" s="2">
        <f>'SP01'!A46</f>
        <v>41419</v>
      </c>
      <c r="C46" s="4">
        <f>'SP01'!C46</f>
        <v>26.274259060314375</v>
      </c>
      <c r="D46" s="4">
        <v>11.658921061553629</v>
      </c>
    </row>
    <row r="47" spans="1:4">
      <c r="A47" t="s">
        <v>41</v>
      </c>
      <c r="B47" s="2">
        <f>'SP01'!A47</f>
        <v>41420</v>
      </c>
      <c r="C47" s="4">
        <f>'SP01'!C47</f>
        <v>26.680667219204722</v>
      </c>
      <c r="D47" s="4">
        <v>11.239142133546409</v>
      </c>
    </row>
    <row r="48" spans="1:4">
      <c r="A48" t="s">
        <v>41</v>
      </c>
      <c r="B48" s="2">
        <f>'SP01'!A48</f>
        <v>41421</v>
      </c>
      <c r="C48" s="4">
        <f>'SP01'!C48</f>
        <v>25.755000178200216</v>
      </c>
      <c r="D48" s="4">
        <v>11.779439977324438</v>
      </c>
    </row>
    <row r="49" spans="1:4">
      <c r="A49" t="s">
        <v>41</v>
      </c>
      <c r="B49" s="2">
        <f>'SP01'!A49</f>
        <v>41422</v>
      </c>
      <c r="C49" s="4">
        <f>'SP01'!C49</f>
        <v>26.83292821583143</v>
      </c>
      <c r="D49" s="4">
        <v>10.500445373768537</v>
      </c>
    </row>
    <row r="50" spans="1:4">
      <c r="A50" t="s">
        <v>41</v>
      </c>
      <c r="B50" s="2">
        <f>'SP01'!A50</f>
        <v>41423</v>
      </c>
      <c r="C50" s="4">
        <f>'SP01'!C50</f>
        <v>27.463314265536713</v>
      </c>
      <c r="D50" s="4">
        <v>10.008929201977397</v>
      </c>
    </row>
    <row r="51" spans="1:4">
      <c r="A51" t="s">
        <v>41</v>
      </c>
      <c r="B51" s="2">
        <f>'SP01'!A51</f>
        <v>41424</v>
      </c>
      <c r="C51" s="4">
        <f>'SP01'!C51</f>
        <v>27.830065854519773</v>
      </c>
      <c r="D51" s="4">
        <v>10.023328213276836</v>
      </c>
    </row>
    <row r="52" spans="1:4">
      <c r="A52" t="s">
        <v>41</v>
      </c>
      <c r="B52" s="2">
        <f>'SP01'!A52</f>
        <v>41425</v>
      </c>
      <c r="C52" s="4">
        <f>'SP01'!C52</f>
        <v>27.620430614406775</v>
      </c>
      <c r="D52" s="4">
        <v>10.406097281073448</v>
      </c>
    </row>
    <row r="53" spans="1:4">
      <c r="A53" t="s">
        <v>41</v>
      </c>
      <c r="B53" s="2">
        <f>'SP01'!A53</f>
        <v>41426</v>
      </c>
      <c r="C53" s="4">
        <f>'SP01'!C53</f>
        <v>26.683757384514905</v>
      </c>
      <c r="D53" s="4">
        <v>11.332889120758439</v>
      </c>
    </row>
    <row r="54" spans="1:4">
      <c r="A54" t="s">
        <v>41</v>
      </c>
      <c r="B54" s="2">
        <f>'SP01'!A54</f>
        <v>41427</v>
      </c>
      <c r="C54" s="4">
        <f>'SP01'!C54</f>
        <v>25.716775352846437</v>
      </c>
      <c r="D54" s="4">
        <v>11.865699278869569</v>
      </c>
    </row>
    <row r="55" spans="1:4">
      <c r="A55" t="s">
        <v>41</v>
      </c>
      <c r="B55" s="2">
        <f>'SP01'!A55</f>
        <v>41428</v>
      </c>
      <c r="C55" s="4">
        <f>'SP01'!C55</f>
        <v>24.886524389552601</v>
      </c>
      <c r="D55" s="4">
        <v>11.990935739415336</v>
      </c>
    </row>
    <row r="56" spans="1:4">
      <c r="A56" t="s">
        <v>41</v>
      </c>
      <c r="B56" s="2">
        <f>'SP01'!A56</f>
        <v>41429</v>
      </c>
      <c r="C56" s="4">
        <f>'SP01'!C56</f>
        <v>26.071560624124853</v>
      </c>
      <c r="D56" s="4">
        <v>11.477708018011723</v>
      </c>
    </row>
    <row r="57" spans="1:4">
      <c r="A57" t="s">
        <v>41</v>
      </c>
      <c r="B57" s="2">
        <f>'SP01'!A57</f>
        <v>41430</v>
      </c>
      <c r="C57" s="4">
        <f>'SP01'!C57</f>
        <v>26.920201829286579</v>
      </c>
      <c r="D57" s="4">
        <v>10.698709930475333</v>
      </c>
    </row>
    <row r="58" spans="1:4">
      <c r="A58" t="s">
        <v>41</v>
      </c>
      <c r="B58" s="2">
        <f>'SP01'!A58</f>
        <v>41431</v>
      </c>
      <c r="C58" s="4">
        <f>'SP01'!C58</f>
        <v>28.361257944915252</v>
      </c>
      <c r="D58" s="4">
        <v>9.345753884180791</v>
      </c>
    </row>
    <row r="59" spans="1:4">
      <c r="A59" t="s">
        <v>41</v>
      </c>
      <c r="B59" s="2">
        <f>'SP01'!A59</f>
        <v>41432</v>
      </c>
      <c r="C59" s="4">
        <f>'SP01'!C59</f>
        <v>25.295429025423726</v>
      </c>
      <c r="D59" s="4">
        <v>11.74245374293786</v>
      </c>
    </row>
    <row r="60" spans="1:4">
      <c r="A60" t="s">
        <v>41</v>
      </c>
      <c r="B60" s="2">
        <f>'SP01'!A60</f>
        <v>41433</v>
      </c>
      <c r="C60" s="4">
        <f>'SP01'!C60</f>
        <v>25.898687168348754</v>
      </c>
      <c r="D60" s="4">
        <v>11.425020955249749</v>
      </c>
    </row>
    <row r="61" spans="1:4">
      <c r="A61" t="s">
        <v>41</v>
      </c>
      <c r="B61" s="2">
        <f>'SP01'!A61</f>
        <v>41434</v>
      </c>
      <c r="C61" s="4">
        <f>'SP01'!C61</f>
        <v>26.279837040960444</v>
      </c>
      <c r="D61" s="4">
        <v>11.17993467514124</v>
      </c>
    </row>
    <row r="62" spans="1:4">
      <c r="A62" t="s">
        <v>41</v>
      </c>
      <c r="B62" s="2">
        <f>'SP01'!A62</f>
        <v>41435</v>
      </c>
      <c r="C62" s="4">
        <f>'SP01'!C62</f>
        <v>25.595419138418077</v>
      </c>
      <c r="D62" s="4">
        <v>11.681879766949153</v>
      </c>
    </row>
    <row r="63" spans="1:4">
      <c r="A63" t="s">
        <v>41</v>
      </c>
      <c r="B63" s="2">
        <f>'SP01'!A63</f>
        <v>41436</v>
      </c>
      <c r="C63" s="4">
        <f>'SP01'!C63</f>
        <v>24.383482527722929</v>
      </c>
      <c r="D63" s="4">
        <v>12.021536821457282</v>
      </c>
    </row>
    <row r="64" spans="1:4">
      <c r="A64" t="s">
        <v>41</v>
      </c>
      <c r="B64" s="2">
        <f>'SP01'!A64</f>
        <v>41437</v>
      </c>
      <c r="C64" s="4">
        <f>'SP01'!C64</f>
        <v>24.083331997309738</v>
      </c>
      <c r="D64" s="4">
        <v>11.822657097068998</v>
      </c>
    </row>
    <row r="65" spans="1:4">
      <c r="A65" t="s">
        <v>41</v>
      </c>
      <c r="B65" s="2">
        <f>'SP01'!A65</f>
        <v>41438</v>
      </c>
      <c r="C65" s="4">
        <f>'SP01'!C65</f>
        <v>24.572879164704972</v>
      </c>
      <c r="D65" s="4">
        <v>11.561208585436098</v>
      </c>
    </row>
    <row r="66" spans="1:4">
      <c r="A66" t="s">
        <v>41</v>
      </c>
      <c r="B66" s="2">
        <f>'SP01'!A66</f>
        <v>41439</v>
      </c>
      <c r="C66" s="4">
        <f>'SP01'!C66</f>
        <v>26.176947269065945</v>
      </c>
      <c r="D66" s="4">
        <v>10.538936719787104</v>
      </c>
    </row>
    <row r="67" spans="1:4">
      <c r="A67" t="s">
        <v>41</v>
      </c>
      <c r="B67" s="2">
        <f>'SP01'!A67</f>
        <v>41440</v>
      </c>
      <c r="C67" s="4">
        <f>'SP01'!C67</f>
        <v>25.63170281232912</v>
      </c>
      <c r="D67" s="4">
        <v>10.822646888361446</v>
      </c>
    </row>
    <row r="68" spans="1:4">
      <c r="A68" t="s">
        <v>41</v>
      </c>
      <c r="B68" s="2">
        <f>'SP01'!A68</f>
        <v>41441</v>
      </c>
      <c r="C68" s="4">
        <f>'SP01'!C68</f>
        <v>21.242429803466162</v>
      </c>
      <c r="D68" s="4">
        <v>14.081165953049888</v>
      </c>
    </row>
    <row r="69" spans="1:4">
      <c r="A69" t="s">
        <v>41</v>
      </c>
      <c r="B69" s="2">
        <f>'SP01'!A69</f>
        <v>41442</v>
      </c>
      <c r="C69" s="4">
        <f>'SP01'!C69</f>
        <v>22.915661686107139</v>
      </c>
      <c r="D69" s="4">
        <v>12.733169167567114</v>
      </c>
    </row>
    <row r="70" spans="1:4">
      <c r="A70" t="s">
        <v>41</v>
      </c>
      <c r="B70" s="2">
        <f>'SP01'!A70</f>
        <v>41443</v>
      </c>
      <c r="C70" s="4">
        <f>'SP01'!C70</f>
        <v>25.625457551553385</v>
      </c>
      <c r="D70" s="4">
        <v>10.775217056990407</v>
      </c>
    </row>
    <row r="71" spans="1:4">
      <c r="A71" t="s">
        <v>41</v>
      </c>
      <c r="B71" s="2">
        <f>'SP01'!A71</f>
        <v>41444</v>
      </c>
      <c r="C71" s="4">
        <f>'SP01'!C71</f>
        <v>25.225603408102547</v>
      </c>
      <c r="D71" s="4">
        <v>10.940790385726658</v>
      </c>
    </row>
    <row r="72" spans="1:4">
      <c r="A72" t="s">
        <v>41</v>
      </c>
      <c r="B72" s="2">
        <f>'SP01'!A72</f>
        <v>41445</v>
      </c>
      <c r="C72" s="4">
        <f>'SP01'!C72</f>
        <v>24.056330789149641</v>
      </c>
      <c r="D72" s="4">
        <v>12.730932444615172</v>
      </c>
    </row>
    <row r="73" spans="1:4">
      <c r="A73" t="s">
        <v>41</v>
      </c>
      <c r="B73" s="2">
        <f>'SP01'!A73</f>
        <v>41446</v>
      </c>
      <c r="C73" s="4">
        <f>'SP01'!C73</f>
        <v>24.935472021743113</v>
      </c>
      <c r="D73" s="4">
        <v>12.605284458131019</v>
      </c>
    </row>
    <row r="74" spans="1:4">
      <c r="A74" t="s">
        <v>41</v>
      </c>
      <c r="B74" s="2">
        <f>'SP01'!A74</f>
        <v>41447</v>
      </c>
      <c r="C74" s="4">
        <f>'SP01'!C74</f>
        <v>25.633562206149829</v>
      </c>
      <c r="D74" s="4">
        <v>12.460820733603896</v>
      </c>
    </row>
    <row r="75" spans="1:4">
      <c r="A75" t="s">
        <v>41</v>
      </c>
      <c r="B75" s="2">
        <f>'SP01'!A75</f>
        <v>41448</v>
      </c>
      <c r="C75" s="4">
        <f>'SP01'!C75</f>
        <v>23.915536470944307</v>
      </c>
      <c r="D75" s="4">
        <v>14.055737325968522</v>
      </c>
    </row>
    <row r="76" spans="1:4">
      <c r="A76" t="s">
        <v>41</v>
      </c>
      <c r="B76" s="2">
        <f>'SP01'!A76</f>
        <v>41449</v>
      </c>
      <c r="C76" s="4">
        <f>'SP01'!C76</f>
        <v>26.282397497981687</v>
      </c>
      <c r="D76" s="4">
        <v>11.702614184157669</v>
      </c>
    </row>
    <row r="77" spans="1:4">
      <c r="A77" t="s">
        <v>41</v>
      </c>
      <c r="B77" s="2">
        <f>'SP01'!A77</f>
        <v>41450</v>
      </c>
      <c r="C77" s="4">
        <f>'SP01'!C77</f>
        <v>25.156352797208019</v>
      </c>
      <c r="D77" s="4">
        <v>12.16063594212403</v>
      </c>
    </row>
    <row r="78" spans="1:4">
      <c r="A78" t="s">
        <v>41</v>
      </c>
      <c r="B78" s="2">
        <f>'SP01'!A78</f>
        <v>41451</v>
      </c>
      <c r="C78" s="4">
        <f>'SP01'!C78</f>
        <v>23.911182017299819</v>
      </c>
      <c r="D78" s="4">
        <v>13.189368975934622</v>
      </c>
    </row>
    <row r="79" spans="1:4">
      <c r="A79" t="s">
        <v>41</v>
      </c>
      <c r="B79" s="2">
        <f>'SP01'!A79</f>
        <v>41452</v>
      </c>
      <c r="C79" s="4">
        <f>'SP01'!C79</f>
        <v>25.343592258876839</v>
      </c>
      <c r="D79" s="4">
        <v>11.76379731097258</v>
      </c>
    </row>
    <row r="80" spans="1:4">
      <c r="A80" t="s">
        <v>41</v>
      </c>
      <c r="B80" s="2">
        <f>'SP01'!A80</f>
        <v>41453</v>
      </c>
      <c r="C80" s="4">
        <f>'SP01'!C80</f>
        <v>27.397737953651184</v>
      </c>
      <c r="D80" s="4">
        <v>10.064944360088587</v>
      </c>
    </row>
    <row r="81" spans="1:4">
      <c r="A81" t="s">
        <v>41</v>
      </c>
      <c r="B81" s="2">
        <f>'SP01'!A81</f>
        <v>41454</v>
      </c>
      <c r="C81" s="4">
        <f>'SP01'!C81</f>
        <v>27.533929822414759</v>
      </c>
      <c r="D81" s="4">
        <v>10.226364432771385</v>
      </c>
    </row>
    <row r="82" spans="1:4">
      <c r="A82" t="s">
        <v>41</v>
      </c>
      <c r="B82" s="2">
        <f>'SP01'!A82</f>
        <v>41455</v>
      </c>
      <c r="C82" s="4">
        <f>'SP01'!C82</f>
        <v>27.791169668079096</v>
      </c>
      <c r="D82" s="4">
        <v>10.262653425141247</v>
      </c>
    </row>
    <row r="83" spans="1:4">
      <c r="A83" t="s">
        <v>41</v>
      </c>
      <c r="B83" s="2">
        <f>'SP01'!A83</f>
        <v>41456</v>
      </c>
      <c r="C83" s="4">
        <f>'SP01'!C83</f>
        <v>23.167841101694908</v>
      </c>
      <c r="D83" s="4">
        <v>14.518574329096031</v>
      </c>
    </row>
    <row r="84" spans="1:4">
      <c r="A84" t="s">
        <v>41</v>
      </c>
      <c r="B84" s="2">
        <f>'SP01'!A84</f>
        <v>41457</v>
      </c>
      <c r="C84" s="4"/>
      <c r="D84" s="4"/>
    </row>
    <row r="85" spans="1:4">
      <c r="A85" t="s">
        <v>41</v>
      </c>
      <c r="B85" s="2">
        <f>'SP01'!A85</f>
        <v>41458</v>
      </c>
      <c r="C85" s="4"/>
      <c r="D85" s="4"/>
    </row>
    <row r="86" spans="1:4">
      <c r="A86" t="s">
        <v>41</v>
      </c>
      <c r="B86" s="2">
        <f>'SP01'!A86</f>
        <v>41459</v>
      </c>
      <c r="C86" s="4"/>
      <c r="D86" s="4"/>
    </row>
    <row r="87" spans="1:4">
      <c r="A87" t="s">
        <v>41</v>
      </c>
      <c r="B87" s="2">
        <f>'SP01'!A87</f>
        <v>41460</v>
      </c>
      <c r="C87" s="4"/>
      <c r="D87" s="4"/>
    </row>
    <row r="88" spans="1:4">
      <c r="A88" t="s">
        <v>41</v>
      </c>
      <c r="B88" s="2">
        <f>'SP01'!A88</f>
        <v>41461</v>
      </c>
      <c r="C88" s="4"/>
      <c r="D88" s="4"/>
    </row>
    <row r="89" spans="1:4">
      <c r="A89" t="s">
        <v>41</v>
      </c>
      <c r="B89" s="2">
        <f>'SP01'!A89</f>
        <v>41462</v>
      </c>
      <c r="C89" s="4"/>
      <c r="D89" s="4"/>
    </row>
    <row r="90" spans="1:4">
      <c r="A90" t="s">
        <v>41</v>
      </c>
      <c r="B90" s="2">
        <f>'SP01'!A90</f>
        <v>41463</v>
      </c>
      <c r="C90" s="4"/>
      <c r="D90" s="4"/>
    </row>
    <row r="91" spans="1:4">
      <c r="A91" t="s">
        <v>41</v>
      </c>
      <c r="B91" s="2">
        <f>'SP01'!A91</f>
        <v>41464</v>
      </c>
      <c r="C91" s="4"/>
      <c r="D91" s="4"/>
    </row>
    <row r="92" spans="1:4">
      <c r="A92" t="s">
        <v>41</v>
      </c>
      <c r="B92" s="2">
        <f>'SP01'!A92</f>
        <v>41465</v>
      </c>
      <c r="C92" s="4"/>
      <c r="D92" s="4"/>
    </row>
    <row r="93" spans="1:4">
      <c r="A93" t="s">
        <v>41</v>
      </c>
      <c r="B93" s="2">
        <f>'SP01'!A93</f>
        <v>41466</v>
      </c>
      <c r="C93" s="4">
        <f>'SP01'!C93</f>
        <v>18.88955632062147</v>
      </c>
      <c r="D93" s="4">
        <v>22.328271362994343</v>
      </c>
    </row>
    <row r="94" spans="1:4">
      <c r="A94" t="s">
        <v>41</v>
      </c>
      <c r="B94" s="2">
        <f>'SP01'!A94</f>
        <v>41467</v>
      </c>
      <c r="C94" s="4">
        <f>'SP01'!C94</f>
        <v>19.86286725127864</v>
      </c>
      <c r="D94" s="4">
        <v>19.004191161396786</v>
      </c>
    </row>
    <row r="95" spans="1:4">
      <c r="A95" t="s">
        <v>41</v>
      </c>
      <c r="B95" s="2">
        <f>'SP01'!A95</f>
        <v>41468</v>
      </c>
      <c r="C95" s="4">
        <f>'SP01'!C95</f>
        <v>16.574474752824852</v>
      </c>
      <c r="D95" s="4">
        <v>27.250488877118645</v>
      </c>
    </row>
    <row r="96" spans="1:4">
      <c r="A96" t="s">
        <v>41</v>
      </c>
      <c r="B96" s="2">
        <f>'SP01'!A96</f>
        <v>41469</v>
      </c>
      <c r="C96" s="4">
        <f>'SP01'!C96</f>
        <v>14.355791313559328</v>
      </c>
      <c r="D96" s="4">
        <v>35.201662782485869</v>
      </c>
    </row>
    <row r="97" spans="1:4">
      <c r="A97" t="s">
        <v>41</v>
      </c>
      <c r="B97" s="2">
        <f>'SP01'!A97</f>
        <v>41470</v>
      </c>
      <c r="C97" s="4">
        <f>'SP01'!C97</f>
        <v>15.773650600282481</v>
      </c>
      <c r="D97" s="4">
        <v>34.118075741525409</v>
      </c>
    </row>
    <row r="98" spans="1:4">
      <c r="A98" t="s">
        <v>41</v>
      </c>
      <c r="B98" s="2">
        <f>'SP01'!A98</f>
        <v>41471</v>
      </c>
      <c r="C98" s="4">
        <f>'SP01'!C98</f>
        <v>16.468085275423725</v>
      </c>
      <c r="D98" s="4">
        <v>34.049662782485875</v>
      </c>
    </row>
    <row r="99" spans="1:4">
      <c r="A99" t="s">
        <v>41</v>
      </c>
      <c r="B99" s="2">
        <f>'SP01'!A99</f>
        <v>41472</v>
      </c>
      <c r="C99" s="4">
        <f>'SP01'!C99</f>
        <v>15.369906491585203</v>
      </c>
      <c r="D99" s="4">
        <v>37.346576998925897</v>
      </c>
    </row>
    <row r="100" spans="1:4">
      <c r="A100" t="s">
        <v>41</v>
      </c>
      <c r="B100" s="2">
        <f>'SP01'!A100</f>
        <v>41473</v>
      </c>
      <c r="C100" s="4">
        <f>'SP01'!C100</f>
        <v>16.791984096152792</v>
      </c>
      <c r="D100" s="4">
        <v>31.747100910688477</v>
      </c>
    </row>
    <row r="101" spans="1:4">
      <c r="A101" t="s">
        <v>41</v>
      </c>
      <c r="B101" s="2">
        <f>'SP01'!A101</f>
        <v>41474</v>
      </c>
      <c r="C101" s="4">
        <f>'SP01'!C101</f>
        <v>18.179437676553679</v>
      </c>
      <c r="D101" s="4">
        <v>32.42105826271186</v>
      </c>
    </row>
    <row r="102" spans="1:4">
      <c r="A102" t="s">
        <v>41</v>
      </c>
      <c r="B102" s="2">
        <f>'SP01'!A102</f>
        <v>41475</v>
      </c>
      <c r="C102" s="4">
        <f>'SP01'!C102</f>
        <v>18.320598870056497</v>
      </c>
      <c r="D102" s="4">
        <v>33.427006002824875</v>
      </c>
    </row>
    <row r="103" spans="1:4">
      <c r="A103" t="s">
        <v>41</v>
      </c>
      <c r="B103" s="2">
        <f>'SP01'!A103</f>
        <v>41476</v>
      </c>
      <c r="C103" s="4">
        <f>'SP01'!C103</f>
        <v>19.001247175141241</v>
      </c>
      <c r="D103" s="4">
        <v>31.584325035310737</v>
      </c>
    </row>
    <row r="104" spans="1:4">
      <c r="A104" t="s">
        <v>41</v>
      </c>
      <c r="B104" s="2">
        <f>'SP01'!A104</f>
        <v>41477</v>
      </c>
      <c r="C104" s="4">
        <f>'SP01'!C104</f>
        <v>19.36372369350282</v>
      </c>
      <c r="D104" s="4">
        <v>31.162987641242946</v>
      </c>
    </row>
    <row r="105" spans="1:4">
      <c r="A105" t="s">
        <v>41</v>
      </c>
      <c r="B105" s="2">
        <f>'SP01'!A105</f>
        <v>41478</v>
      </c>
      <c r="C105" s="4">
        <f>'SP01'!C105</f>
        <v>19.828459216101702</v>
      </c>
      <c r="D105" s="4">
        <v>28.491085451977412</v>
      </c>
    </row>
    <row r="106" spans="1:4">
      <c r="A106" t="s">
        <v>41</v>
      </c>
      <c r="B106" s="2">
        <f>'SP01'!A106</f>
        <v>41479</v>
      </c>
      <c r="C106" s="4">
        <f>'SP01'!C106</f>
        <v>18.819915783898313</v>
      </c>
      <c r="D106" s="4">
        <v>31.498523128531058</v>
      </c>
    </row>
    <row r="107" spans="1:4">
      <c r="A107" t="s">
        <v>41</v>
      </c>
      <c r="B107" s="2">
        <f>'SP01'!A107</f>
        <v>41480</v>
      </c>
      <c r="C107" s="4">
        <f>'SP01'!C107</f>
        <v>17.209970630255931</v>
      </c>
      <c r="D107" s="4">
        <v>33.382791588017561</v>
      </c>
    </row>
    <row r="108" spans="1:4">
      <c r="A108" t="s">
        <v>41</v>
      </c>
      <c r="B108" s="2">
        <f>'SP01'!A108</f>
        <v>41481</v>
      </c>
      <c r="C108" s="4">
        <f>'SP01'!C108</f>
        <v>14.602557838983053</v>
      </c>
      <c r="D108" s="4">
        <v>37.423689936440688</v>
      </c>
    </row>
    <row r="109" spans="1:4">
      <c r="A109" t="s">
        <v>41</v>
      </c>
      <c r="B109" s="2">
        <f>'SP01'!A109</f>
        <v>41482</v>
      </c>
      <c r="C109" s="4">
        <f>'SP01'!C109</f>
        <v>13.631303848870068</v>
      </c>
      <c r="D109" s="4">
        <v>40.457410134180797</v>
      </c>
    </row>
    <row r="110" spans="1:4">
      <c r="A110" t="s">
        <v>41</v>
      </c>
      <c r="B110" s="2">
        <f>'SP01'!A110</f>
        <v>41483</v>
      </c>
      <c r="C110" s="4">
        <f>'SP01'!C110</f>
        <v>13.746888947740112</v>
      </c>
      <c r="D110" s="4">
        <v>37.647912429378543</v>
      </c>
    </row>
    <row r="111" spans="1:4">
      <c r="A111" t="s">
        <v>41</v>
      </c>
      <c r="B111" s="2">
        <f>'SP01'!A111</f>
        <v>41484</v>
      </c>
      <c r="C111" s="4">
        <f>'SP01'!C111</f>
        <v>13.650138771186436</v>
      </c>
      <c r="D111" s="4">
        <v>37.308683615819227</v>
      </c>
    </row>
    <row r="112" spans="1:4">
      <c r="A112" t="s">
        <v>41</v>
      </c>
      <c r="B112" s="2">
        <f>'SP01'!A112</f>
        <v>41485</v>
      </c>
      <c r="C112" s="4">
        <f>'SP01'!C112</f>
        <v>12.621825211864405</v>
      </c>
      <c r="D112" s="4">
        <v>38.403192620056508</v>
      </c>
    </row>
    <row r="113" spans="1:4">
      <c r="A113" t="s">
        <v>41</v>
      </c>
      <c r="B113" s="2">
        <f>'SP01'!A113</f>
        <v>41486</v>
      </c>
      <c r="C113" s="4">
        <f>'SP01'!C113</f>
        <v>12.757181497175134</v>
      </c>
      <c r="D113" s="4">
        <v>38.521962747175138</v>
      </c>
    </row>
    <row r="114" spans="1:4">
      <c r="A114" t="s">
        <v>41</v>
      </c>
      <c r="B114" s="2">
        <f>'SP01'!A114</f>
        <v>41487</v>
      </c>
      <c r="C114" s="4">
        <f>'SP01'!C114</f>
        <v>13.202123587570625</v>
      </c>
      <c r="D114" s="4">
        <v>37.054127295197738</v>
      </c>
    </row>
    <row r="115" spans="1:4">
      <c r="A115" t="s">
        <v>41</v>
      </c>
      <c r="B115" s="2">
        <f>'SP01'!A115</f>
        <v>41488</v>
      </c>
      <c r="C115" s="4">
        <f>'SP01'!C115</f>
        <v>13.159469096598841</v>
      </c>
      <c r="D115" s="4">
        <v>37.024680595633846</v>
      </c>
    </row>
    <row r="116" spans="1:4">
      <c r="A116" t="s">
        <v>41</v>
      </c>
      <c r="B116" s="2">
        <f>'SP01'!A116</f>
        <v>41489</v>
      </c>
      <c r="C116" s="4">
        <f>'SP01'!C116</f>
        <v>12.680178319209041</v>
      </c>
      <c r="D116" s="4">
        <v>37.89025052966101</v>
      </c>
    </row>
    <row r="117" spans="1:4">
      <c r="A117" t="s">
        <v>41</v>
      </c>
      <c r="B117" s="2">
        <f>'SP01'!A117</f>
        <v>41490</v>
      </c>
      <c r="C117" s="4">
        <f>'SP01'!C117</f>
        <v>14.136082274011299</v>
      </c>
      <c r="D117" s="4">
        <v>33.550357168079088</v>
      </c>
    </row>
    <row r="118" spans="1:4">
      <c r="A118" t="s">
        <v>41</v>
      </c>
      <c r="B118" s="2">
        <f>'SP01'!A118</f>
        <v>41491</v>
      </c>
      <c r="C118" s="4">
        <f>'SP01'!C118</f>
        <v>13.560876544201223</v>
      </c>
      <c r="D118" s="4">
        <v>34.212199096951124</v>
      </c>
    </row>
    <row r="119" spans="1:4">
      <c r="A119" t="s">
        <v>41</v>
      </c>
      <c r="B119" s="2">
        <f>'SP01'!A119</f>
        <v>41492</v>
      </c>
      <c r="C119" s="4">
        <f>'SP01'!C119</f>
        <v>13.517367055084753</v>
      </c>
      <c r="D119" s="4">
        <v>35.087110875706202</v>
      </c>
    </row>
    <row r="120" spans="1:4">
      <c r="A120" t="s">
        <v>41</v>
      </c>
      <c r="B120" s="2">
        <f>'SP01'!A120</f>
        <v>41493</v>
      </c>
      <c r="C120" s="4">
        <f>'SP01'!C120</f>
        <v>11.977084216101696</v>
      </c>
      <c r="D120" s="4">
        <v>38.693155896892662</v>
      </c>
    </row>
    <row r="121" spans="1:4">
      <c r="A121" t="s">
        <v>41</v>
      </c>
      <c r="B121" s="2">
        <f>'SP01'!A121</f>
        <v>41494</v>
      </c>
      <c r="C121" s="4">
        <f>'SP01'!C121</f>
        <v>13.892986228813561</v>
      </c>
      <c r="D121" s="4">
        <v>36.907466984463284</v>
      </c>
    </row>
    <row r="122" spans="1:4">
      <c r="A122" t="s">
        <v>41</v>
      </c>
      <c r="B122" s="2">
        <f>'SP01'!A122</f>
        <v>41495</v>
      </c>
      <c r="C122" s="4">
        <f>'SP01'!C122</f>
        <v>14.147774187853107</v>
      </c>
      <c r="D122" s="4">
        <v>35.311825211864409</v>
      </c>
    </row>
    <row r="123" spans="1:4">
      <c r="A123" t="s">
        <v>41</v>
      </c>
      <c r="B123" s="2">
        <f>'SP01'!A123</f>
        <v>41496</v>
      </c>
      <c r="C123" s="4">
        <f>'SP01'!C123</f>
        <v>13.888270656779655</v>
      </c>
      <c r="D123" s="4">
        <v>35.791577153954798</v>
      </c>
    </row>
    <row r="124" spans="1:4">
      <c r="A124" t="s">
        <v>41</v>
      </c>
      <c r="B124" s="2">
        <f>'SP01'!A124</f>
        <v>41497</v>
      </c>
      <c r="C124" s="4">
        <f>'SP01'!C124</f>
        <v>12.531779343220338</v>
      </c>
      <c r="D124" s="4">
        <v>37.483025343018575</v>
      </c>
    </row>
    <row r="125" spans="1:4">
      <c r="A125" t="s">
        <v>41</v>
      </c>
      <c r="B125" s="2">
        <f>'SP01'!A125</f>
        <v>41498</v>
      </c>
      <c r="C125" s="4">
        <f>'SP01'!C125</f>
        <v>12.312165783898303</v>
      </c>
      <c r="D125" s="4">
        <v>37.958327860169497</v>
      </c>
    </row>
    <row r="126" spans="1:4">
      <c r="A126" t="s">
        <v>41</v>
      </c>
      <c r="B126" s="2">
        <f>'SP01'!A126</f>
        <v>41499</v>
      </c>
      <c r="C126" s="4">
        <f>'SP01'!C126</f>
        <v>10.865179201977398</v>
      </c>
      <c r="D126" s="4">
        <v>44.18817673022599</v>
      </c>
    </row>
    <row r="127" spans="1:4">
      <c r="A127" t="s">
        <v>41</v>
      </c>
      <c r="B127" s="2">
        <f>'SP01'!A127</f>
        <v>41500</v>
      </c>
      <c r="C127" s="4">
        <f>'SP01'!C127</f>
        <v>13.843987288135596</v>
      </c>
      <c r="D127" s="4">
        <v>37.443161899717502</v>
      </c>
    </row>
    <row r="128" spans="1:4">
      <c r="A128" t="s">
        <v>41</v>
      </c>
      <c r="B128" s="2">
        <f>'SP01'!A128</f>
        <v>41501</v>
      </c>
      <c r="C128" s="4">
        <f>'SP01'!C128</f>
        <v>16.471236052259869</v>
      </c>
      <c r="D128" s="4">
        <v>33.739187146892661</v>
      </c>
    </row>
    <row r="129" spans="1:4">
      <c r="A129" t="s">
        <v>41</v>
      </c>
      <c r="B129" s="2">
        <f>'SP01'!A129</f>
        <v>41502</v>
      </c>
      <c r="C129" s="4">
        <f>'SP01'!C129</f>
        <v>19.312718573446329</v>
      </c>
      <c r="D129" s="4">
        <v>31.176528601694915</v>
      </c>
    </row>
    <row r="130" spans="1:4">
      <c r="A130" t="s">
        <v>41</v>
      </c>
      <c r="B130" s="2">
        <f>'SP01'!A130</f>
        <v>41503</v>
      </c>
      <c r="C130" s="4">
        <f>'SP01'!C130</f>
        <v>16.501178319209036</v>
      </c>
      <c r="D130" s="4">
        <v>36.99809498587571</v>
      </c>
    </row>
    <row r="131" spans="1:4">
      <c r="A131" t="s">
        <v>41</v>
      </c>
      <c r="B131" s="2">
        <f>'SP01'!A131</f>
        <v>41504</v>
      </c>
      <c r="C131" s="4">
        <f>'SP01'!C131</f>
        <v>17.838404661016952</v>
      </c>
      <c r="D131" s="4">
        <v>34.346479519774014</v>
      </c>
    </row>
    <row r="132" spans="1:4">
      <c r="A132" t="s">
        <v>41</v>
      </c>
      <c r="B132" s="2">
        <f>'SP01'!A132</f>
        <v>41505</v>
      </c>
      <c r="C132" s="4">
        <f>'SP01'!C132</f>
        <v>15.648320499180672</v>
      </c>
      <c r="D132" s="4">
        <v>36.306114860972464</v>
      </c>
    </row>
    <row r="133" spans="1:4">
      <c r="A133" t="s">
        <v>41</v>
      </c>
      <c r="B133" s="2">
        <f>'SP01'!A133</f>
        <v>41506</v>
      </c>
      <c r="C133" s="4">
        <f>'SP01'!C133</f>
        <v>16.568921433615824</v>
      </c>
      <c r="D133" s="4">
        <v>33.520670550847463</v>
      </c>
    </row>
    <row r="134" spans="1:4">
      <c r="A134" t="s">
        <v>41</v>
      </c>
      <c r="B134" s="2">
        <f>'SP01'!A134</f>
        <v>41507</v>
      </c>
      <c r="C134" s="4">
        <f>'SP01'!C134</f>
        <v>15.972633094072672</v>
      </c>
      <c r="D134" s="4">
        <v>34.366490186485905</v>
      </c>
    </row>
    <row r="135" spans="1:4">
      <c r="A135" t="s">
        <v>41</v>
      </c>
      <c r="B135" s="2">
        <f>'SP01'!A135</f>
        <v>41508</v>
      </c>
      <c r="C135" s="4">
        <f>'SP01'!C135</f>
        <v>15.839216454802271</v>
      </c>
      <c r="D135" s="4">
        <v>31.835494173728822</v>
      </c>
    </row>
    <row r="136" spans="1:4">
      <c r="A136" t="s">
        <v>41</v>
      </c>
      <c r="B136" s="2">
        <f>'SP01'!A136</f>
        <v>41509</v>
      </c>
      <c r="C136" s="4">
        <f>'SP01'!C136</f>
        <v>14.910411899717511</v>
      </c>
      <c r="D136" s="4">
        <v>35.673633121468917</v>
      </c>
    </row>
    <row r="137" spans="1:4">
      <c r="A137" t="s">
        <v>41</v>
      </c>
      <c r="B137" s="2">
        <f>'SP01'!A137</f>
        <v>41510</v>
      </c>
      <c r="C137" s="4">
        <f>'SP01'!C137</f>
        <v>14.951354343220338</v>
      </c>
      <c r="D137" s="4">
        <v>35.580782662429378</v>
      </c>
    </row>
    <row r="138" spans="1:4">
      <c r="A138" t="s">
        <v>41</v>
      </c>
      <c r="B138" s="2">
        <f>'SP01'!A138</f>
        <v>41511</v>
      </c>
      <c r="C138" s="4">
        <f>'SP01'!C138</f>
        <v>14.31002839991929</v>
      </c>
      <c r="D138" s="4">
        <v>38.422630019168686</v>
      </c>
    </row>
    <row r="139" spans="1:4">
      <c r="A139" t="s">
        <v>41</v>
      </c>
      <c r="B139" s="2">
        <f>'SP01'!A139</f>
        <v>41512</v>
      </c>
      <c r="C139" s="4">
        <f>'SP01'!C139</f>
        <v>14.122517659876898</v>
      </c>
      <c r="D139" s="4">
        <v>40.591975638975477</v>
      </c>
    </row>
    <row r="140" spans="1:4">
      <c r="A140" t="s">
        <v>41</v>
      </c>
      <c r="B140" s="2">
        <f>'SP01'!A140</f>
        <v>41513</v>
      </c>
      <c r="C140" s="4">
        <f>'SP01'!C140</f>
        <v>13.727219111023606</v>
      </c>
      <c r="D140" s="4">
        <v>41.979668580497787</v>
      </c>
    </row>
    <row r="141" spans="1:4">
      <c r="A141" t="s">
        <v>41</v>
      </c>
      <c r="B141" s="2">
        <f>'SP01'!A141</f>
        <v>41514</v>
      </c>
      <c r="C141" s="4">
        <f>'SP01'!C141</f>
        <v>12.856678142655362</v>
      </c>
      <c r="D141" s="4">
        <v>42.452349223163843</v>
      </c>
    </row>
    <row r="142" spans="1:4">
      <c r="A142" t="s">
        <v>41</v>
      </c>
      <c r="B142" s="2">
        <f>'SP01'!A142</f>
        <v>41515</v>
      </c>
      <c r="C142" s="4">
        <f>'SP01'!C142</f>
        <v>13.146785091452216</v>
      </c>
      <c r="D142" s="4">
        <v>42.431546644507854</v>
      </c>
    </row>
    <row r="143" spans="1:4">
      <c r="A143" t="s">
        <v>41</v>
      </c>
      <c r="B143" s="2">
        <f>'SP01'!A143</f>
        <v>41516</v>
      </c>
      <c r="C143" s="4">
        <f>'SP01'!C143</f>
        <v>14.612028338148164</v>
      </c>
      <c r="D143" s="4">
        <v>40.919862626865203</v>
      </c>
    </row>
    <row r="144" spans="1:4">
      <c r="A144" t="s">
        <v>41</v>
      </c>
      <c r="B144" s="2">
        <f>'SP01'!A144</f>
        <v>41517</v>
      </c>
      <c r="C144" s="4">
        <f>'SP01'!C144</f>
        <v>15.885122129299235</v>
      </c>
      <c r="D144" s="4">
        <v>38.887942181854235</v>
      </c>
    </row>
    <row r="145" spans="1:4">
      <c r="A145" t="s">
        <v>41</v>
      </c>
      <c r="B145" s="2">
        <f>'SP01'!A145</f>
        <v>41518</v>
      </c>
      <c r="C145" s="4">
        <f>'SP01'!C145</f>
        <v>14.951323708114154</v>
      </c>
      <c r="D145" s="4">
        <v>39.207745720095467</v>
      </c>
    </row>
    <row r="146" spans="1:4">
      <c r="A146" t="s">
        <v>41</v>
      </c>
      <c r="B146" s="2">
        <f>'SP01'!A146</f>
        <v>41519</v>
      </c>
      <c r="C146" s="4">
        <f>'SP01'!C146</f>
        <v>14.795833628371176</v>
      </c>
      <c r="D146" s="4">
        <v>39.330648617679479</v>
      </c>
    </row>
    <row r="147" spans="1:4">
      <c r="A147" t="s">
        <v>41</v>
      </c>
      <c r="B147" s="2">
        <f>'SP01'!A147</f>
        <v>41520</v>
      </c>
      <c r="C147" s="4">
        <f>'SP01'!C147</f>
        <v>15.207889485508181</v>
      </c>
      <c r="D147" s="4">
        <v>38.259755916629139</v>
      </c>
    </row>
    <row r="148" spans="1:4">
      <c r="A148" t="s">
        <v>41</v>
      </c>
      <c r="B148" s="2">
        <f>'SP01'!A148</f>
        <v>41521</v>
      </c>
      <c r="C148" s="4">
        <f>'SP01'!C148</f>
        <v>14.817397953290964</v>
      </c>
      <c r="D148" s="4">
        <v>36.534141778045104</v>
      </c>
    </row>
    <row r="149" spans="1:4">
      <c r="A149" t="s">
        <v>41</v>
      </c>
      <c r="B149" s="2">
        <f>'SP01'!A149</f>
        <v>41522</v>
      </c>
      <c r="C149" s="4">
        <f>'SP01'!C149</f>
        <v>15.029007667085979</v>
      </c>
      <c r="D149" s="4">
        <v>33.89815834876056</v>
      </c>
    </row>
    <row r="150" spans="1:4">
      <c r="A150" t="s">
        <v>41</v>
      </c>
      <c r="B150" s="2">
        <f>'SP01'!A150</f>
        <v>41523</v>
      </c>
      <c r="C150" s="4">
        <f>'SP01'!C150</f>
        <v>14.590683182784391</v>
      </c>
      <c r="D150" s="4">
        <v>33.199946284769197</v>
      </c>
    </row>
    <row r="151" spans="1:4">
      <c r="A151" t="s">
        <v>41</v>
      </c>
      <c r="B151" s="2">
        <f>'SP01'!A151</f>
        <v>41524</v>
      </c>
      <c r="C151" s="4">
        <f>'SP01'!C151</f>
        <v>14.607297115694875</v>
      </c>
      <c r="D151" s="4">
        <v>33.180971896399882</v>
      </c>
    </row>
    <row r="152" spans="1:4">
      <c r="A152" t="s">
        <v>41</v>
      </c>
      <c r="B152" s="2">
        <f>'SP01'!A152</f>
        <v>41525</v>
      </c>
      <c r="C152" s="4">
        <f>'SP01'!C152</f>
        <v>13.955450969770373</v>
      </c>
      <c r="D152" s="4">
        <v>33.615370960167461</v>
      </c>
    </row>
    <row r="153" spans="1:4">
      <c r="A153" t="s">
        <v>41</v>
      </c>
      <c r="B153" s="2">
        <f>'SP01'!A153</f>
        <v>41526</v>
      </c>
      <c r="C153" s="4">
        <f>'SP01'!C153</f>
        <v>14.031651574172564</v>
      </c>
      <c r="D153" s="4">
        <v>35.248269601891046</v>
      </c>
    </row>
    <row r="154" spans="1:4">
      <c r="A154" t="s">
        <v>41</v>
      </c>
      <c r="B154" s="2">
        <f>'SP01'!A154</f>
        <v>41527</v>
      </c>
      <c r="C154" s="4">
        <f>'SP01'!C154</f>
        <v>16.965149860140592</v>
      </c>
      <c r="D154" s="4">
        <v>30.49290893974359</v>
      </c>
    </row>
    <row r="155" spans="1:4">
      <c r="A155" t="s">
        <v>41</v>
      </c>
      <c r="B155" s="2">
        <f>'SP01'!A155</f>
        <v>41528</v>
      </c>
      <c r="C155" s="4">
        <f>'SP01'!C155</f>
        <v>17.344849040415301</v>
      </c>
      <c r="D155" s="4">
        <v>29.845613822005699</v>
      </c>
    </row>
    <row r="156" spans="1:4">
      <c r="A156" t="s">
        <v>41</v>
      </c>
      <c r="B156" s="2">
        <f>'SP01'!A156</f>
        <v>41529</v>
      </c>
      <c r="C156" s="4">
        <f>'SP01'!C156</f>
        <v>18.08073044923518</v>
      </c>
      <c r="D156" s="4">
        <v>28.248847128275738</v>
      </c>
    </row>
    <row r="157" spans="1:4">
      <c r="A157" t="s">
        <v>41</v>
      </c>
      <c r="B157" s="2">
        <f>'SP01'!A157</f>
        <v>41530</v>
      </c>
      <c r="C157" s="4">
        <f>'SP01'!C157</f>
        <v>19.68305171130952</v>
      </c>
      <c r="D157" s="4">
        <v>25.45455311229561</v>
      </c>
    </row>
    <row r="158" spans="1:4">
      <c r="A158" t="s">
        <v>41</v>
      </c>
      <c r="B158" s="2">
        <f>'SP01'!A158</f>
        <v>41531</v>
      </c>
      <c r="C158" s="4">
        <f>'SP01'!C158</f>
        <v>22.923338983050851</v>
      </c>
      <c r="D158" s="4">
        <v>20.526532309322036</v>
      </c>
    </row>
    <row r="159" spans="1:4">
      <c r="A159" t="s">
        <v>41</v>
      </c>
      <c r="B159" s="2">
        <f>'SP01'!A159</f>
        <v>41532</v>
      </c>
      <c r="C159" s="4">
        <f>'SP01'!C159</f>
        <v>19.910341865694466</v>
      </c>
      <c r="D159" s="4">
        <v>25.156187004080355</v>
      </c>
    </row>
    <row r="160" spans="1:4">
      <c r="A160" t="s">
        <v>41</v>
      </c>
      <c r="B160" s="2">
        <f>'SP01'!A160</f>
        <v>41533</v>
      </c>
      <c r="C160" s="4">
        <f>'SP01'!C160</f>
        <v>21.035951806935508</v>
      </c>
      <c r="D160" s="4">
        <v>22.721163324323001</v>
      </c>
    </row>
    <row r="161" spans="1:4">
      <c r="A161" t="s">
        <v>41</v>
      </c>
      <c r="B161" s="2">
        <f>'SP01'!A161</f>
        <v>41534</v>
      </c>
      <c r="C161" s="4">
        <f>'SP01'!C161</f>
        <v>20.535915413042176</v>
      </c>
      <c r="D161" s="4">
        <v>22.945011857280576</v>
      </c>
    </row>
    <row r="162" spans="1:4">
      <c r="A162" t="s">
        <v>41</v>
      </c>
      <c r="B162" s="2">
        <f>'SP01'!A162</f>
        <v>41535</v>
      </c>
      <c r="C162" s="4">
        <f>'SP01'!C162</f>
        <v>19.894808214007398</v>
      </c>
      <c r="D162" s="4">
        <v>25.426674617669974</v>
      </c>
    </row>
    <row r="163" spans="1:4">
      <c r="A163" t="s">
        <v>41</v>
      </c>
      <c r="B163" s="2">
        <f>'SP01'!A163</f>
        <v>41536</v>
      </c>
      <c r="C163" s="4">
        <f>'SP01'!C163</f>
        <v>19.75954043079096</v>
      </c>
      <c r="D163" s="4">
        <v>25.825149364406794</v>
      </c>
    </row>
    <row r="164" spans="1:4">
      <c r="A164" t="s">
        <v>41</v>
      </c>
      <c r="B164" s="2">
        <f>'SP01'!A164</f>
        <v>41537</v>
      </c>
      <c r="C164" s="4">
        <f>'SP01'!C164</f>
        <v>20.509208619679672</v>
      </c>
      <c r="D164" s="4">
        <v>23.130865661020589</v>
      </c>
    </row>
    <row r="165" spans="1:4">
      <c r="A165" t="s">
        <v>41</v>
      </c>
      <c r="B165" s="2">
        <f>'SP01'!A165</f>
        <v>41538</v>
      </c>
      <c r="C165" s="4">
        <f>'SP01'!C165</f>
        <v>20.755288135593215</v>
      </c>
      <c r="D165" s="4">
        <v>23.214364406779662</v>
      </c>
    </row>
    <row r="166" spans="1:4">
      <c r="A166" t="s">
        <v>41</v>
      </c>
      <c r="B166" s="2">
        <f>'SP01'!A166</f>
        <v>41539</v>
      </c>
      <c r="C166" s="4">
        <f>'SP01'!C166</f>
        <v>21.708031956214679</v>
      </c>
      <c r="D166" s="4">
        <v>21.734649011299449</v>
      </c>
    </row>
    <row r="167" spans="1:4">
      <c r="A167" t="s">
        <v>41</v>
      </c>
      <c r="B167" s="2">
        <f>'SP01'!A167</f>
        <v>41540</v>
      </c>
      <c r="C167" s="4">
        <f>'SP01'!C167</f>
        <v>20.851174843035945</v>
      </c>
      <c r="D167" s="4">
        <v>22.791842298422612</v>
      </c>
    </row>
    <row r="168" spans="1:4">
      <c r="A168" t="s">
        <v>41</v>
      </c>
      <c r="B168" s="2">
        <f>'SP01'!A168</f>
        <v>41541</v>
      </c>
      <c r="C168" s="4">
        <f>'SP01'!C168</f>
        <v>21.295712217514126</v>
      </c>
      <c r="D168" s="4">
        <v>22.183881002824865</v>
      </c>
    </row>
    <row r="169" spans="1:4">
      <c r="A169" t="s">
        <v>41</v>
      </c>
      <c r="B169" s="2">
        <f>'SP01'!A169</f>
        <v>41542</v>
      </c>
      <c r="C169" s="4">
        <f>'SP01'!C169</f>
        <v>20.36014923647441</v>
      </c>
      <c r="D169" s="4">
        <v>22.186378973550219</v>
      </c>
    </row>
    <row r="170" spans="1:4">
      <c r="A170" t="s">
        <v>41</v>
      </c>
      <c r="B170" s="2">
        <f>'SP01'!A170</f>
        <v>41543</v>
      </c>
      <c r="C170" s="4">
        <f>'SP01'!C170</f>
        <v>20.175870495626341</v>
      </c>
      <c r="D170" s="4">
        <v>22.556979667797851</v>
      </c>
    </row>
    <row r="171" spans="1:4">
      <c r="A171" t="s">
        <v>41</v>
      </c>
      <c r="B171" s="2">
        <f>'SP01'!A171</f>
        <v>41544</v>
      </c>
      <c r="C171" s="4">
        <f>'SP01'!C171</f>
        <v>19.906799837609416</v>
      </c>
      <c r="D171" s="4">
        <v>23.111493399608865</v>
      </c>
    </row>
    <row r="172" spans="1:4">
      <c r="A172" t="s">
        <v>41</v>
      </c>
      <c r="B172" s="2">
        <f>'SP01'!A172</f>
        <v>41545</v>
      </c>
      <c r="C172" s="4">
        <f>'SP01'!C172</f>
        <v>19.995202447742422</v>
      </c>
      <c r="D172" s="4">
        <v>23.034413702594222</v>
      </c>
    </row>
    <row r="173" spans="1:4">
      <c r="A173" t="s">
        <v>41</v>
      </c>
      <c r="B173" s="2">
        <f>'SP01'!A173</f>
        <v>41546</v>
      </c>
      <c r="C173" s="4">
        <f>'SP01'!C173</f>
        <v>19.633194562146894</v>
      </c>
      <c r="D173" s="4">
        <v>24.845665783898308</v>
      </c>
    </row>
    <row r="174" spans="1:4">
      <c r="A174" t="s">
        <v>41</v>
      </c>
      <c r="B174" s="2">
        <f>'SP01'!A174</f>
        <v>41547</v>
      </c>
      <c r="C174" s="4">
        <f>'SP01'!C174</f>
        <v>19.673596398305079</v>
      </c>
      <c r="D174" s="4">
        <v>24.5916804378531</v>
      </c>
    </row>
    <row r="175" spans="1:4">
      <c r="A175" t="s">
        <v>41</v>
      </c>
      <c r="B175" s="2">
        <f>'SP01'!A175</f>
        <v>41548</v>
      </c>
      <c r="C175" s="4">
        <f>'SP01'!C175</f>
        <v>19.433319209039556</v>
      </c>
      <c r="D175" s="4">
        <v>24.840153778248578</v>
      </c>
    </row>
    <row r="176" spans="1:4">
      <c r="A176" t="s">
        <v>41</v>
      </c>
      <c r="B176" s="2">
        <f>'SP01'!A176</f>
        <v>41549</v>
      </c>
      <c r="C176" s="4">
        <f>'SP01'!C176</f>
        <v>19.084106461864398</v>
      </c>
      <c r="D176" s="4">
        <v>27.467213983050854</v>
      </c>
    </row>
    <row r="177" spans="1:4">
      <c r="A177" t="s">
        <v>43</v>
      </c>
      <c r="B177" s="2">
        <f>'SP02'!A3</f>
        <v>41376</v>
      </c>
      <c r="C177" s="4">
        <f>'SP02'!C3</f>
        <v>21.835617074701826</v>
      </c>
      <c r="D177" s="13">
        <v>18.386161016949156</v>
      </c>
    </row>
    <row r="178" spans="1:4">
      <c r="A178" t="s">
        <v>43</v>
      </c>
      <c r="B178" s="2">
        <f>'SP02'!A4</f>
        <v>41377</v>
      </c>
      <c r="C178" s="4">
        <f>'SP02'!C4</f>
        <v>22.061111052259893</v>
      </c>
      <c r="D178" s="13">
        <v>17.517100988700559</v>
      </c>
    </row>
    <row r="179" spans="1:4">
      <c r="A179" t="s">
        <v>43</v>
      </c>
      <c r="B179" s="2">
        <f>'SP02'!A5</f>
        <v>41378</v>
      </c>
      <c r="C179" s="4">
        <f>'SP02'!C5</f>
        <v>23.9662199858757</v>
      </c>
      <c r="D179" s="13">
        <v>16.657668608757064</v>
      </c>
    </row>
    <row r="180" spans="1:4">
      <c r="A180" t="s">
        <v>43</v>
      </c>
      <c r="B180" s="2">
        <f>'SP02'!A6</f>
        <v>41379</v>
      </c>
      <c r="C180" s="4">
        <f>'SP02'!C6</f>
        <v>23.859122704802264</v>
      </c>
      <c r="D180" s="13">
        <v>16.733075918079098</v>
      </c>
    </row>
    <row r="181" spans="1:4">
      <c r="A181" t="s">
        <v>43</v>
      </c>
      <c r="B181" s="2">
        <f>'SP02'!A7</f>
        <v>41380</v>
      </c>
      <c r="C181" s="4">
        <f>'SP02'!C7</f>
        <v>23.256652895480226</v>
      </c>
      <c r="D181" s="13">
        <v>16.065516066384181</v>
      </c>
    </row>
    <row r="182" spans="1:4">
      <c r="A182" t="s">
        <v>43</v>
      </c>
      <c r="B182" s="2">
        <f>'SP02'!A8</f>
        <v>41381</v>
      </c>
      <c r="C182" s="4">
        <f>'SP02'!C8</f>
        <v>23.24791649011301</v>
      </c>
      <c r="D182" s="13">
        <v>15.825204978813559</v>
      </c>
    </row>
    <row r="183" spans="1:4">
      <c r="A183" t="s">
        <v>43</v>
      </c>
      <c r="B183" s="2">
        <f>'SP02'!A9</f>
        <v>41382</v>
      </c>
      <c r="C183" s="4">
        <f>'SP02'!C9</f>
        <v>23.983049788135599</v>
      </c>
      <c r="D183" s="13">
        <v>14.780415430790965</v>
      </c>
    </row>
    <row r="184" spans="1:4">
      <c r="A184" t="s">
        <v>43</v>
      </c>
      <c r="B184" s="2">
        <f>'SP02'!A10</f>
        <v>41383</v>
      </c>
      <c r="C184" s="4">
        <f>'SP02'!C10</f>
        <v>23.05714918785311</v>
      </c>
      <c r="D184" s="13">
        <v>17.564926730225988</v>
      </c>
    </row>
    <row r="185" spans="1:4">
      <c r="A185" t="s">
        <v>43</v>
      </c>
      <c r="B185" s="2">
        <f>'SP02'!A11</f>
        <v>41384</v>
      </c>
      <c r="C185" s="4">
        <f>'SP02'!C11</f>
        <v>21.028188735875709</v>
      </c>
      <c r="D185" s="13">
        <v>21.342870762711865</v>
      </c>
    </row>
    <row r="186" spans="1:4">
      <c r="A186" t="s">
        <v>43</v>
      </c>
      <c r="B186" s="2">
        <f>'SP02'!A12</f>
        <v>41385</v>
      </c>
      <c r="C186" s="4">
        <f>'SP02'!C12</f>
        <v>20.664511475988704</v>
      </c>
      <c r="D186" s="13">
        <v>21.994131355932208</v>
      </c>
    </row>
    <row r="187" spans="1:4">
      <c r="A187" t="s">
        <v>43</v>
      </c>
      <c r="B187" s="2">
        <f>'SP02'!A13</f>
        <v>41386</v>
      </c>
      <c r="C187" s="4">
        <f>'SP02'!C13</f>
        <v>20.088801906779661</v>
      </c>
      <c r="D187" s="13">
        <v>23.289865289548018</v>
      </c>
    </row>
    <row r="188" spans="1:4">
      <c r="A188" t="s">
        <v>43</v>
      </c>
      <c r="B188" s="2">
        <f>'SP02'!A14</f>
        <v>41387</v>
      </c>
      <c r="C188" s="4">
        <f>'SP02'!C14</f>
        <v>18.762954625706211</v>
      </c>
      <c r="D188" s="13">
        <v>28.164465218926555</v>
      </c>
    </row>
    <row r="189" spans="1:4">
      <c r="A189" t="s">
        <v>43</v>
      </c>
      <c r="B189" s="2">
        <f>'SP02'!A15</f>
        <v>41388</v>
      </c>
      <c r="C189" s="4">
        <f>'SP02'!C15</f>
        <v>19.552461687853111</v>
      </c>
      <c r="D189" s="13">
        <v>25.510856461864417</v>
      </c>
    </row>
    <row r="190" spans="1:4">
      <c r="A190" t="s">
        <v>43</v>
      </c>
      <c r="B190" s="2">
        <f>'SP02'!A16</f>
        <v>41389</v>
      </c>
      <c r="C190" s="4">
        <f>'SP02'!C16</f>
        <v>20.245704449152537</v>
      </c>
      <c r="D190" s="13">
        <v>24.260816737288135</v>
      </c>
    </row>
    <row r="191" spans="1:4">
      <c r="A191" t="s">
        <v>43</v>
      </c>
      <c r="B191" s="2">
        <f>'SP02'!A17</f>
        <v>41390</v>
      </c>
      <c r="C191" s="4">
        <f>'SP02'!C17</f>
        <v>17.919954625706225</v>
      </c>
      <c r="D191" s="13">
        <v>30.373960275423727</v>
      </c>
    </row>
    <row r="192" spans="1:4">
      <c r="A192" t="s">
        <v>43</v>
      </c>
      <c r="B192" s="2">
        <f>'SP02'!A18</f>
        <v>41391</v>
      </c>
      <c r="C192" s="4">
        <f>'SP02'!C18</f>
        <v>20.897520555355221</v>
      </c>
      <c r="D192" s="13">
        <v>24.270680310133429</v>
      </c>
    </row>
    <row r="193" spans="1:4">
      <c r="A193" t="s">
        <v>43</v>
      </c>
      <c r="B193" s="2">
        <f>'SP02'!A19</f>
        <v>41392</v>
      </c>
      <c r="C193" s="4">
        <f>'SP02'!C19</f>
        <v>22.253611758474573</v>
      </c>
      <c r="D193" s="13">
        <v>20.7034196680791</v>
      </c>
    </row>
    <row r="194" spans="1:4">
      <c r="A194" t="s">
        <v>43</v>
      </c>
      <c r="B194" s="2">
        <f>'SP02'!A20</f>
        <v>41393</v>
      </c>
      <c r="C194" s="4">
        <f>'SP02'!C20</f>
        <v>23.191417725988703</v>
      </c>
      <c r="D194" s="13">
        <v>18.255967514124297</v>
      </c>
    </row>
    <row r="195" spans="1:4">
      <c r="A195" t="s">
        <v>43</v>
      </c>
      <c r="B195" s="2">
        <f>'SP02'!A21</f>
        <v>41394</v>
      </c>
      <c r="C195" s="4">
        <f>'SP02'!C21</f>
        <v>24.988332627118648</v>
      </c>
      <c r="D195" s="13">
        <v>16.000549611581913</v>
      </c>
    </row>
    <row r="196" spans="1:4">
      <c r="A196" t="s">
        <v>43</v>
      </c>
      <c r="B196" s="2">
        <f>'SP02'!A22</f>
        <v>41395</v>
      </c>
      <c r="C196" s="4">
        <f>'SP02'!C22</f>
        <v>27.318161899717513</v>
      </c>
      <c r="D196" s="13">
        <v>14.301041313559322</v>
      </c>
    </row>
    <row r="197" spans="1:4">
      <c r="A197" t="s">
        <v>43</v>
      </c>
      <c r="B197" s="2">
        <f>'SP02'!A23</f>
        <v>41396</v>
      </c>
      <c r="C197" s="4">
        <f>'SP02'!C23</f>
        <v>27.041161016949147</v>
      </c>
      <c r="D197" s="13">
        <v>15.288169668079092</v>
      </c>
    </row>
    <row r="198" spans="1:4">
      <c r="A198" t="s">
        <v>43</v>
      </c>
      <c r="B198" s="2">
        <f>'SP02'!A24</f>
        <v>41397</v>
      </c>
      <c r="C198" s="4">
        <f>'SP02'!C24</f>
        <v>25.494952507062148</v>
      </c>
      <c r="D198" s="13">
        <v>18.181217867231641</v>
      </c>
    </row>
    <row r="199" spans="1:4">
      <c r="A199" t="s">
        <v>43</v>
      </c>
      <c r="B199" s="2">
        <f>'SP02'!A25</f>
        <v>41398</v>
      </c>
      <c r="C199" s="4">
        <f>'SP02'!C25</f>
        <v>23.866843043785305</v>
      </c>
      <c r="D199" s="13">
        <v>20.915137711864407</v>
      </c>
    </row>
    <row r="200" spans="1:4">
      <c r="A200" t="s">
        <v>43</v>
      </c>
      <c r="B200" s="2">
        <f>'SP02'!A26</f>
        <v>41399</v>
      </c>
      <c r="C200" s="4">
        <f>'SP02'!C26</f>
        <v>24.057054025423728</v>
      </c>
      <c r="D200" s="13">
        <v>20.283264477401133</v>
      </c>
    </row>
    <row r="201" spans="1:4">
      <c r="A201" t="s">
        <v>43</v>
      </c>
      <c r="B201" s="2">
        <f>'SP02'!A27</f>
        <v>41400</v>
      </c>
      <c r="C201" s="4">
        <f>'SP02'!C27</f>
        <v>24.23644120762712</v>
      </c>
      <c r="D201" s="13">
        <v>19.700601341807907</v>
      </c>
    </row>
    <row r="202" spans="1:4">
      <c r="A202" t="s">
        <v>43</v>
      </c>
      <c r="B202" s="2">
        <f>'SP02'!A28</f>
        <v>41401</v>
      </c>
      <c r="C202" s="4">
        <f>'SP02'!C28</f>
        <v>24.457969103107345</v>
      </c>
      <c r="D202" s="13">
        <v>19.306106638418083</v>
      </c>
    </row>
    <row r="203" spans="1:4">
      <c r="A203" t="s">
        <v>43</v>
      </c>
      <c r="B203" s="2">
        <f>'SP02'!A29</f>
        <v>41402</v>
      </c>
      <c r="C203" s="4">
        <f>'SP02'!C29</f>
        <v>24.577703389830504</v>
      </c>
      <c r="D203" s="13">
        <v>18.636876765536726</v>
      </c>
    </row>
    <row r="204" spans="1:4">
      <c r="A204" t="s">
        <v>43</v>
      </c>
      <c r="B204" s="2">
        <f>'SP02'!A30</f>
        <v>41403</v>
      </c>
      <c r="C204" s="4">
        <f>'SP02'!C30</f>
        <v>23.768764300847455</v>
      </c>
      <c r="D204" s="13">
        <v>18.019468926553674</v>
      </c>
    </row>
    <row r="205" spans="1:4">
      <c r="A205" t="s">
        <v>43</v>
      </c>
      <c r="B205" s="2">
        <f>'SP02'!A31</f>
        <v>41404</v>
      </c>
      <c r="C205" s="4">
        <f>'SP02'!C31</f>
        <v>24.315128531073452</v>
      </c>
      <c r="D205" s="13">
        <v>18.604976165254239</v>
      </c>
    </row>
    <row r="206" spans="1:4">
      <c r="A206" t="s">
        <v>43</v>
      </c>
      <c r="B206" s="2">
        <f>'SP02'!A32</f>
        <v>41405</v>
      </c>
      <c r="C206" s="4">
        <f>'SP02'!C32</f>
        <v>25.230839336158187</v>
      </c>
      <c r="D206" s="13">
        <v>17.102639300847457</v>
      </c>
    </row>
    <row r="207" spans="1:4">
      <c r="A207" t="s">
        <v>43</v>
      </c>
      <c r="B207" s="2">
        <f>'SP02'!A33</f>
        <v>41406</v>
      </c>
      <c r="C207" s="4">
        <f>'SP02'!C33</f>
        <v>24.464227401129936</v>
      </c>
      <c r="D207" s="13">
        <v>17.493833509887008</v>
      </c>
    </row>
    <row r="208" spans="1:4">
      <c r="A208" t="s">
        <v>43</v>
      </c>
      <c r="B208" s="2">
        <f>'SP02'!A34</f>
        <v>41407</v>
      </c>
      <c r="C208" s="4">
        <f>'SP02'!C34</f>
        <v>23.93484992937853</v>
      </c>
      <c r="D208" s="13">
        <v>17.630153601694925</v>
      </c>
    </row>
    <row r="209" spans="1:4">
      <c r="A209" t="s">
        <v>43</v>
      </c>
      <c r="B209" s="2">
        <f>'SP02'!A35</f>
        <v>41408</v>
      </c>
      <c r="C209" s="4">
        <f>'SP02'!C35</f>
        <v>21.929228460451977</v>
      </c>
      <c r="D209" s="13">
        <v>19.011587747175142</v>
      </c>
    </row>
    <row r="210" spans="1:4">
      <c r="A210" t="s">
        <v>43</v>
      </c>
      <c r="B210" s="2">
        <f>'SP02'!A36</f>
        <v>41409</v>
      </c>
      <c r="C210" s="4">
        <f>'SP02'!C36</f>
        <v>22.568534427966103</v>
      </c>
      <c r="D210" s="13">
        <v>17.307671433615813</v>
      </c>
    </row>
    <row r="211" spans="1:4">
      <c r="A211" t="s">
        <v>43</v>
      </c>
      <c r="B211" s="2">
        <f>'SP02'!A37</f>
        <v>41410</v>
      </c>
      <c r="C211" s="4">
        <f>'SP02'!C37</f>
        <v>24.789503707627119</v>
      </c>
      <c r="D211" s="13">
        <v>14.937471045197745</v>
      </c>
    </row>
    <row r="212" spans="1:4">
      <c r="A212" t="s">
        <v>43</v>
      </c>
      <c r="B212" s="2">
        <f>'SP02'!A38</f>
        <v>41411</v>
      </c>
      <c r="C212" s="4">
        <f>'SP02'!C38</f>
        <v>25.663868997175143</v>
      </c>
      <c r="D212" s="13">
        <v>13.345729343220334</v>
      </c>
    </row>
    <row r="213" spans="1:4">
      <c r="A213" t="s">
        <v>43</v>
      </c>
      <c r="B213" s="2">
        <f>'SP02'!A39</f>
        <v>41412</v>
      </c>
      <c r="C213" s="4">
        <f>'SP02'!C39</f>
        <v>25.786244879943499</v>
      </c>
      <c r="D213" s="13">
        <v>11.683431144067796</v>
      </c>
    </row>
    <row r="214" spans="1:4">
      <c r="A214" t="s">
        <v>43</v>
      </c>
      <c r="B214" s="2">
        <f>'SP02'!A40</f>
        <v>41413</v>
      </c>
      <c r="C214" s="4">
        <f>'SP02'!C40</f>
        <v>26.054543785310731</v>
      </c>
      <c r="D214" s="13">
        <v>11.119592337570625</v>
      </c>
    </row>
    <row r="215" spans="1:4">
      <c r="A215" t="s">
        <v>43</v>
      </c>
      <c r="B215" s="2">
        <f>'SP02'!A41</f>
        <v>41414</v>
      </c>
      <c r="C215" s="4">
        <f>'SP02'!C41</f>
        <v>26.045504237288132</v>
      </c>
      <c r="D215" s="13">
        <v>10.907237111581916</v>
      </c>
    </row>
    <row r="216" spans="1:4">
      <c r="A216" t="s">
        <v>43</v>
      </c>
      <c r="B216" s="2">
        <f>'SP02'!A42</f>
        <v>41415</v>
      </c>
      <c r="C216" s="4">
        <f>'SP02'!C42</f>
        <v>24.814019067796607</v>
      </c>
      <c r="D216" s="13">
        <v>10.762946327683608</v>
      </c>
    </row>
    <row r="217" spans="1:4">
      <c r="A217" t="s">
        <v>43</v>
      </c>
      <c r="B217" s="2">
        <f>'SP02'!A43</f>
        <v>41416</v>
      </c>
      <c r="C217" s="4">
        <f>'SP02'!C43</f>
        <v>24.227572740112986</v>
      </c>
      <c r="D217" s="13">
        <v>12.088289018361579</v>
      </c>
    </row>
    <row r="218" spans="1:4">
      <c r="A218" t="s">
        <v>43</v>
      </c>
      <c r="B218" s="2">
        <f>'SP02'!A44</f>
        <v>41417</v>
      </c>
      <c r="C218" s="4">
        <f>'SP02'!C44</f>
        <v>24.865853283898314</v>
      </c>
      <c r="D218" s="13">
        <v>11.924936970338983</v>
      </c>
    </row>
    <row r="219" spans="1:4">
      <c r="A219" t="s">
        <v>43</v>
      </c>
      <c r="B219" s="2">
        <f>'SP02'!A45</f>
        <v>41418</v>
      </c>
      <c r="C219" s="4">
        <f>'SP02'!C45</f>
        <v>25.623006002824852</v>
      </c>
      <c r="D219" s="13">
        <v>12.554750706214682</v>
      </c>
    </row>
    <row r="220" spans="1:4">
      <c r="A220" t="s">
        <v>43</v>
      </c>
      <c r="B220" s="2">
        <f>'SP02'!A46</f>
        <v>41419</v>
      </c>
      <c r="C220" s="4">
        <f>'SP02'!C46</f>
        <v>25.872747351694912</v>
      </c>
      <c r="D220" s="13">
        <v>11.91878478107345</v>
      </c>
    </row>
    <row r="221" spans="1:4">
      <c r="A221" t="s">
        <v>43</v>
      </c>
      <c r="B221" s="2">
        <f>'SP02'!A47</f>
        <v>41420</v>
      </c>
      <c r="C221" s="4">
        <f>'SP02'!C47</f>
        <v>26.331548375706205</v>
      </c>
      <c r="D221" s="13">
        <v>11.732908721751416</v>
      </c>
    </row>
    <row r="222" spans="1:4">
      <c r="A222" t="s">
        <v>43</v>
      </c>
      <c r="B222" s="2">
        <f>'SP02'!A48</f>
        <v>41421</v>
      </c>
      <c r="C222" s="4">
        <f>'SP02'!C48</f>
        <v>25.772065677966108</v>
      </c>
      <c r="D222" s="13">
        <v>11.875539548022596</v>
      </c>
    </row>
    <row r="223" spans="1:4">
      <c r="A223" t="s">
        <v>43</v>
      </c>
      <c r="B223" s="2">
        <f>'SP02'!A49</f>
        <v>41422</v>
      </c>
      <c r="C223" s="4">
        <f>'SP02'!C49</f>
        <v>27.074495409604509</v>
      </c>
      <c r="D223" s="13">
        <v>10.692089159604523</v>
      </c>
    </row>
    <row r="224" spans="1:4">
      <c r="A224" t="s">
        <v>43</v>
      </c>
      <c r="B224" s="2">
        <f>'SP02'!A50</f>
        <v>41423</v>
      </c>
      <c r="C224" s="4">
        <f>'SP02'!C50</f>
        <v>28.020667725988705</v>
      </c>
      <c r="D224" s="13">
        <v>9.8807168079096019</v>
      </c>
    </row>
    <row r="225" spans="1:4">
      <c r="A225" t="s">
        <v>43</v>
      </c>
      <c r="B225" s="2">
        <f>'SP02'!A51</f>
        <v>41424</v>
      </c>
      <c r="C225" s="4">
        <f>'SP02'!C51</f>
        <v>28.438265713276834</v>
      </c>
      <c r="D225" s="13">
        <v>9.5100958686440666</v>
      </c>
    </row>
    <row r="226" spans="1:4">
      <c r="A226" t="s">
        <v>43</v>
      </c>
      <c r="B226" s="2">
        <f>'SP02'!A52</f>
        <v>41425</v>
      </c>
      <c r="C226" s="4">
        <f>'SP02'!C52</f>
        <v>28.285006355932207</v>
      </c>
      <c r="D226" s="13">
        <v>9.451252295197742</v>
      </c>
    </row>
    <row r="227" spans="1:4">
      <c r="A227" t="s">
        <v>43</v>
      </c>
      <c r="B227" s="2">
        <f>'SP02'!A53</f>
        <v>41426</v>
      </c>
      <c r="C227" s="4">
        <f>'SP02'!C53</f>
        <v>26.318467867231632</v>
      </c>
      <c r="D227" s="13">
        <v>11.266550847457623</v>
      </c>
    </row>
    <row r="228" spans="1:4">
      <c r="A228" t="s">
        <v>43</v>
      </c>
      <c r="B228" s="2">
        <f>'SP02'!A54</f>
        <v>41427</v>
      </c>
      <c r="C228" s="4">
        <f>'SP02'!C54</f>
        <v>24.847240642655365</v>
      </c>
      <c r="D228" s="13">
        <v>12.399160310734468</v>
      </c>
    </row>
    <row r="229" spans="1:4">
      <c r="A229" t="s">
        <v>43</v>
      </c>
      <c r="B229" s="2">
        <f>'SP02'!A55</f>
        <v>41428</v>
      </c>
      <c r="C229" s="4">
        <f>'SP02'!C55</f>
        <v>24.797433792372875</v>
      </c>
      <c r="D229" s="13">
        <v>12.117394067796612</v>
      </c>
    </row>
    <row r="230" spans="1:4">
      <c r="A230" t="s">
        <v>43</v>
      </c>
      <c r="B230" s="2">
        <f>'SP02'!A56</f>
        <v>41429</v>
      </c>
      <c r="C230" s="4">
        <f>'SP02'!C56</f>
        <v>26.203862817796605</v>
      </c>
      <c r="D230" s="13">
        <v>11.652375882768368</v>
      </c>
    </row>
    <row r="231" spans="1:4">
      <c r="A231" t="s">
        <v>43</v>
      </c>
      <c r="B231" s="2">
        <f>'SP02'!A57</f>
        <v>41430</v>
      </c>
      <c r="C231" s="4">
        <f>'SP02'!C57</f>
        <v>27.177938912429386</v>
      </c>
      <c r="D231" s="13">
        <v>10.543114583333336</v>
      </c>
    </row>
    <row r="232" spans="1:4">
      <c r="A232" t="s">
        <v>43</v>
      </c>
      <c r="B232" s="2">
        <f>'SP02'!A58</f>
        <v>41431</v>
      </c>
      <c r="C232" s="4">
        <f>'SP02'!C58</f>
        <v>27.566679025423721</v>
      </c>
      <c r="D232" s="13">
        <v>10.147103813559323</v>
      </c>
    </row>
    <row r="233" spans="1:4">
      <c r="A233" t="s">
        <v>43</v>
      </c>
      <c r="B233" s="2">
        <f>'SP02'!A59</f>
        <v>41432</v>
      </c>
      <c r="C233" s="4">
        <f>'SP02'!C59</f>
        <v>24.954757238700569</v>
      </c>
      <c r="D233" s="13">
        <v>12.139741701977393</v>
      </c>
    </row>
    <row r="234" spans="1:4">
      <c r="A234" t="s">
        <v>43</v>
      </c>
      <c r="B234" s="2">
        <f>'SP02'!A60</f>
        <v>41433</v>
      </c>
      <c r="C234" s="4">
        <f>'SP02'!C60</f>
        <v>26.496769420903959</v>
      </c>
      <c r="D234" s="13">
        <v>11.031147598870058</v>
      </c>
    </row>
    <row r="235" spans="1:4">
      <c r="A235" t="s">
        <v>43</v>
      </c>
      <c r="B235" s="2">
        <f>'SP02'!A61</f>
        <v>41434</v>
      </c>
      <c r="C235" s="4">
        <f>'SP02'!C61</f>
        <v>27.07007838983051</v>
      </c>
      <c r="D235" s="13">
        <v>10.758058086158199</v>
      </c>
    </row>
    <row r="236" spans="1:4">
      <c r="A236" t="s">
        <v>43</v>
      </c>
      <c r="B236" s="2">
        <f>'SP02'!A62</f>
        <v>41435</v>
      </c>
      <c r="C236" s="4">
        <f>'SP02'!C62</f>
        <v>25.498148305084751</v>
      </c>
      <c r="D236" s="13">
        <v>12.209936087570618</v>
      </c>
    </row>
    <row r="237" spans="1:4">
      <c r="A237" t="s">
        <v>43</v>
      </c>
      <c r="B237" s="2">
        <f>'SP02'!A63</f>
        <v>41436</v>
      </c>
      <c r="C237" s="4">
        <f>'SP02'!C63</f>
        <v>24.200134004237288</v>
      </c>
      <c r="D237" s="13">
        <v>12.126614583333334</v>
      </c>
    </row>
    <row r="238" spans="1:4">
      <c r="A238" t="s">
        <v>43</v>
      </c>
      <c r="B238" s="2">
        <f>'SP02'!A64</f>
        <v>41437</v>
      </c>
      <c r="C238" s="4">
        <f>'SP02'!C64</f>
        <v>24.295132415254244</v>
      </c>
      <c r="D238" s="13">
        <v>11.414127471751415</v>
      </c>
    </row>
    <row r="239" spans="1:4">
      <c r="A239" t="s">
        <v>43</v>
      </c>
      <c r="B239" s="2">
        <f>'SP02'!A65</f>
        <v>41438</v>
      </c>
      <c r="C239" s="4">
        <f>'SP02'!C65</f>
        <v>25.038702153954798</v>
      </c>
      <c r="D239" s="13">
        <v>11.148335805084747</v>
      </c>
    </row>
    <row r="240" spans="1:4">
      <c r="A240" t="s">
        <v>43</v>
      </c>
      <c r="B240" s="2">
        <f>'SP02'!A66</f>
        <v>41439</v>
      </c>
      <c r="C240" s="4">
        <f>'SP02'!C66</f>
        <v>25.661233933615822</v>
      </c>
      <c r="D240" s="13">
        <v>10.674214159604517</v>
      </c>
    </row>
    <row r="241" spans="1:4">
      <c r="A241" t="s">
        <v>43</v>
      </c>
      <c r="B241" s="2">
        <f>'SP02'!A67</f>
        <v>41440</v>
      </c>
      <c r="C241" s="4">
        <f>'SP02'!C67</f>
        <v>24.636208686440682</v>
      </c>
      <c r="D241" s="13">
        <v>11.313085805084752</v>
      </c>
    </row>
    <row r="242" spans="1:4">
      <c r="A242" t="s">
        <v>43</v>
      </c>
      <c r="B242" s="2">
        <f>'SP02'!A68</f>
        <v>41441</v>
      </c>
      <c r="C242" s="4">
        <f>'SP02'!C68</f>
        <v>21.329462747175139</v>
      </c>
      <c r="D242" s="13">
        <v>14.428552789548029</v>
      </c>
    </row>
    <row r="243" spans="1:4">
      <c r="A243" t="s">
        <v>43</v>
      </c>
      <c r="B243" s="2">
        <f>'SP02'!A69</f>
        <v>41442</v>
      </c>
      <c r="C243" s="4">
        <f>'SP02'!C69</f>
        <v>24.242835628531068</v>
      </c>
      <c r="D243" s="13">
        <v>11.790251765536722</v>
      </c>
    </row>
    <row r="244" spans="1:4">
      <c r="A244" t="s">
        <v>43</v>
      </c>
      <c r="B244" s="2">
        <f>'SP02'!A70</f>
        <v>41443</v>
      </c>
      <c r="C244" s="4">
        <f>'SP02'!C70</f>
        <v>25.798818149717516</v>
      </c>
      <c r="D244" s="13">
        <v>10.555831391242934</v>
      </c>
    </row>
    <row r="245" spans="1:4">
      <c r="A245" t="s">
        <v>43</v>
      </c>
      <c r="B245" s="2">
        <f>'SP02'!A71</f>
        <v>41444</v>
      </c>
      <c r="C245" s="4">
        <f>'SP02'!C71</f>
        <v>24.319707274011304</v>
      </c>
      <c r="D245" s="13">
        <v>10.926110169491528</v>
      </c>
    </row>
    <row r="246" spans="1:4">
      <c r="A246" t="s">
        <v>43</v>
      </c>
      <c r="B246" s="2">
        <f>'SP02'!A72</f>
        <v>41445</v>
      </c>
      <c r="C246" s="4">
        <f>'SP02'!C72</f>
        <v>22.477864936440668</v>
      </c>
      <c r="D246" s="13">
        <v>12.878724752824866</v>
      </c>
    </row>
    <row r="247" spans="1:4">
      <c r="A247" t="s">
        <v>43</v>
      </c>
      <c r="B247" s="2">
        <f>'SP02'!A73</f>
        <v>41446</v>
      </c>
      <c r="C247" s="4">
        <f>'SP02'!C73</f>
        <v>23.778318679378533</v>
      </c>
      <c r="D247" s="13">
        <v>13.085451271186434</v>
      </c>
    </row>
    <row r="248" spans="1:4">
      <c r="A248" t="s">
        <v>43</v>
      </c>
      <c r="B248" s="2">
        <f>'SP02'!A74</f>
        <v>41447</v>
      </c>
      <c r="C248" s="4">
        <f>'SP02'!C74</f>
        <v>24.410812499999995</v>
      </c>
      <c r="D248" s="13">
        <v>12.637158898305087</v>
      </c>
    </row>
    <row r="249" spans="1:4">
      <c r="A249" t="s">
        <v>43</v>
      </c>
      <c r="B249" s="2">
        <f>'SP02'!A75</f>
        <v>41448</v>
      </c>
      <c r="C249" s="4">
        <f>'SP02'!C75</f>
        <v>24.07182680084745</v>
      </c>
      <c r="D249" s="13">
        <v>13.383877118644071</v>
      </c>
    </row>
    <row r="250" spans="1:4">
      <c r="A250" t="s">
        <v>43</v>
      </c>
      <c r="B250" s="2">
        <f>'SP02'!A76</f>
        <v>41449</v>
      </c>
      <c r="C250" s="4">
        <f>'SP02'!C76</f>
        <v>24.720947033898298</v>
      </c>
      <c r="D250" s="13">
        <v>11.305588629943502</v>
      </c>
    </row>
    <row r="251" spans="1:4">
      <c r="A251" t="s">
        <v>43</v>
      </c>
      <c r="B251" s="2">
        <f>'SP02'!A77</f>
        <v>41450</v>
      </c>
      <c r="C251" s="4">
        <f>'SP02'!C77</f>
        <v>23.897001765536725</v>
      </c>
      <c r="D251" s="13">
        <v>11.792236228813557</v>
      </c>
    </row>
    <row r="252" spans="1:4">
      <c r="A252" t="s">
        <v>43</v>
      </c>
      <c r="B252" s="2">
        <f>'SP02'!A78</f>
        <v>41451</v>
      </c>
      <c r="C252" s="4">
        <f>'SP02'!C78</f>
        <v>23.696185911016954</v>
      </c>
      <c r="D252" s="13">
        <v>12.65905896892655</v>
      </c>
    </row>
    <row r="253" spans="1:4">
      <c r="A253" t="s">
        <v>43</v>
      </c>
      <c r="B253" s="2">
        <f>'SP02'!A79</f>
        <v>41452</v>
      </c>
      <c r="C253" s="4">
        <f>'SP02'!C79</f>
        <v>25.808277718926551</v>
      </c>
      <c r="D253" s="13">
        <v>10.875216278248587</v>
      </c>
    </row>
    <row r="254" spans="1:4">
      <c r="A254" t="s">
        <v>43</v>
      </c>
      <c r="B254" s="2">
        <f>'SP02'!A80</f>
        <v>41453</v>
      </c>
      <c r="C254" s="4">
        <f>'SP02'!C80</f>
        <v>27.86769844632768</v>
      </c>
      <c r="D254" s="13">
        <v>9.4406599576271173</v>
      </c>
    </row>
    <row r="255" spans="1:4">
      <c r="A255" t="s">
        <v>43</v>
      </c>
      <c r="B255" s="2">
        <f>'SP02'!A81</f>
        <v>41454</v>
      </c>
      <c r="C255" s="4">
        <f>'SP02'!C81</f>
        <v>27.468782485875703</v>
      </c>
      <c r="D255" s="13">
        <v>10.461516419491524</v>
      </c>
    </row>
    <row r="256" spans="1:4">
      <c r="A256" t="s">
        <v>43</v>
      </c>
      <c r="B256" s="2">
        <f>'SP02'!A82</f>
        <v>41455</v>
      </c>
      <c r="C256" s="4">
        <f>'SP02'!C82</f>
        <v>26.755257768361584</v>
      </c>
      <c r="D256" s="13">
        <v>10.890973870056493</v>
      </c>
    </row>
    <row r="257" spans="1:4">
      <c r="A257" t="s">
        <v>43</v>
      </c>
      <c r="B257" s="2">
        <f>'SP02'!A83</f>
        <v>41456</v>
      </c>
      <c r="C257" s="4">
        <f>'SP02'!C83</f>
        <v>22.586832803672319</v>
      </c>
      <c r="D257" s="13">
        <v>15.118158015536727</v>
      </c>
    </row>
    <row r="258" spans="1:4">
      <c r="A258" t="s">
        <v>43</v>
      </c>
      <c r="B258" s="2">
        <f>'SP02'!A84</f>
        <v>41457</v>
      </c>
      <c r="C258" s="4"/>
      <c r="D258" s="3"/>
    </row>
    <row r="259" spans="1:4">
      <c r="A259" t="s">
        <v>43</v>
      </c>
      <c r="B259" s="2">
        <f>'SP02'!A85</f>
        <v>41458</v>
      </c>
      <c r="C259" s="4"/>
      <c r="D259" s="3"/>
    </row>
    <row r="260" spans="1:4">
      <c r="A260" t="s">
        <v>43</v>
      </c>
      <c r="B260" s="2">
        <f>'SP02'!A86</f>
        <v>41459</v>
      </c>
      <c r="C260" s="4"/>
      <c r="D260" s="3"/>
    </row>
    <row r="261" spans="1:4">
      <c r="A261" t="s">
        <v>43</v>
      </c>
      <c r="B261" s="2">
        <f>'SP02'!A87</f>
        <v>41460</v>
      </c>
      <c r="C261" s="4"/>
      <c r="D261" s="3"/>
    </row>
    <row r="262" spans="1:4">
      <c r="A262" t="s">
        <v>43</v>
      </c>
      <c r="B262" s="2">
        <f>'SP02'!A88</f>
        <v>41461</v>
      </c>
      <c r="C262" s="4"/>
      <c r="D262" s="3"/>
    </row>
    <row r="263" spans="1:4">
      <c r="A263" t="s">
        <v>43</v>
      </c>
      <c r="B263" s="2">
        <f>'SP02'!A89</f>
        <v>41462</v>
      </c>
      <c r="C263" s="4"/>
      <c r="D263" s="3"/>
    </row>
    <row r="264" spans="1:4">
      <c r="A264" t="s">
        <v>43</v>
      </c>
      <c r="B264" s="2">
        <f>'SP02'!A90</f>
        <v>41463</v>
      </c>
      <c r="C264" s="4"/>
      <c r="D264" s="3"/>
    </row>
    <row r="265" spans="1:4">
      <c r="A265" t="s">
        <v>43</v>
      </c>
      <c r="B265" s="2">
        <f>'SP02'!A91</f>
        <v>41464</v>
      </c>
      <c r="C265" s="4"/>
      <c r="D265" s="3"/>
    </row>
    <row r="266" spans="1:4">
      <c r="A266" t="s">
        <v>43</v>
      </c>
      <c r="B266" s="2">
        <f>'SP02'!A92</f>
        <v>41465</v>
      </c>
      <c r="C266" s="4"/>
      <c r="D266" s="3"/>
    </row>
    <row r="267" spans="1:4">
      <c r="A267" t="s">
        <v>43</v>
      </c>
      <c r="B267" s="2">
        <f>'SP02'!A93</f>
        <v>41466</v>
      </c>
      <c r="C267" s="4">
        <f>'SP02'!C93</f>
        <v>18.240906073446329</v>
      </c>
      <c r="D267" s="13">
        <v>25.383553185202238</v>
      </c>
    </row>
    <row r="268" spans="1:4">
      <c r="A268" t="s">
        <v>43</v>
      </c>
      <c r="B268" s="2">
        <f>'SP02'!A94</f>
        <v>41467</v>
      </c>
      <c r="C268" s="4">
        <f>'SP02'!C94</f>
        <v>18.265793961864397</v>
      </c>
      <c r="D268" s="13">
        <v>23.15512276711998</v>
      </c>
    </row>
    <row r="269" spans="1:4">
      <c r="A269" t="s">
        <v>43</v>
      </c>
      <c r="B269" s="2">
        <f>'SP02'!A95</f>
        <v>41468</v>
      </c>
      <c r="C269" s="4">
        <f>'SP02'!C95</f>
        <v>15.601225635593217</v>
      </c>
      <c r="D269" s="13">
        <v>32.532443169923326</v>
      </c>
    </row>
    <row r="270" spans="1:4">
      <c r="A270" t="s">
        <v>43</v>
      </c>
      <c r="B270" s="2">
        <f>'SP02'!A96</f>
        <v>41469</v>
      </c>
      <c r="C270" s="4">
        <f>'SP02'!C96</f>
        <v>13.586754237288128</v>
      </c>
      <c r="D270" s="13">
        <v>41.370320442779992</v>
      </c>
    </row>
    <row r="271" spans="1:4">
      <c r="A271" t="s">
        <v>43</v>
      </c>
      <c r="B271" s="2">
        <f>'SP02'!A97</f>
        <v>41470</v>
      </c>
      <c r="C271" s="4">
        <f>'SP02'!C97</f>
        <v>14.02803831214689</v>
      </c>
      <c r="D271" s="13">
        <v>42.07394900983639</v>
      </c>
    </row>
    <row r="272" spans="1:4">
      <c r="A272" t="s">
        <v>43</v>
      </c>
      <c r="B272" s="2">
        <f>'SP02'!A98</f>
        <v>41471</v>
      </c>
      <c r="C272" s="4">
        <f>'SP02'!C98</f>
        <v>15.337312500000003</v>
      </c>
      <c r="D272" s="13">
        <v>40.431097033779672</v>
      </c>
    </row>
    <row r="273" spans="1:4">
      <c r="A273" t="s">
        <v>43</v>
      </c>
      <c r="B273" s="2">
        <f>'SP02'!A99</f>
        <v>41472</v>
      </c>
      <c r="C273" s="4">
        <f>'SP02'!C99</f>
        <v>14.606302789548026</v>
      </c>
      <c r="D273" s="13">
        <v>41.846872983017633</v>
      </c>
    </row>
    <row r="274" spans="1:4">
      <c r="A274" t="s">
        <v>43</v>
      </c>
      <c r="B274" s="2">
        <f>'SP02'!A100</f>
        <v>41473</v>
      </c>
      <c r="C274" s="4">
        <f>'SP02'!C100</f>
        <v>15.209230579096037</v>
      </c>
      <c r="D274" s="13">
        <v>38.080422525006185</v>
      </c>
    </row>
    <row r="275" spans="1:4">
      <c r="A275" t="s">
        <v>43</v>
      </c>
      <c r="B275" s="2">
        <f>'SP02'!A101</f>
        <v>41474</v>
      </c>
      <c r="C275" s="4">
        <f>'SP02'!C101</f>
        <v>16.855722281073447</v>
      </c>
      <c r="D275" s="13">
        <v>38.41416117139903</v>
      </c>
    </row>
    <row r="276" spans="1:4">
      <c r="A276" t="s">
        <v>43</v>
      </c>
      <c r="B276" s="2">
        <f>'SP02'!A102</f>
        <v>41475</v>
      </c>
      <c r="C276" s="4">
        <f>'SP02'!C102</f>
        <v>18.719408898305076</v>
      </c>
      <c r="D276" s="13">
        <v>33.318813497874245</v>
      </c>
    </row>
    <row r="277" spans="1:4">
      <c r="A277" t="s">
        <v>43</v>
      </c>
      <c r="B277" s="2">
        <f>'SP02'!A103</f>
        <v>41476</v>
      </c>
      <c r="C277" s="4">
        <f>'SP02'!C103</f>
        <v>19.70760734463278</v>
      </c>
      <c r="D277" s="13">
        <v>32.002689589225049</v>
      </c>
    </row>
    <row r="278" spans="1:4">
      <c r="A278" t="s">
        <v>43</v>
      </c>
      <c r="B278" s="2">
        <f>'SP02'!A104</f>
        <v>41477</v>
      </c>
      <c r="C278" s="4">
        <f>'SP02'!C104</f>
        <v>20.170167725988708</v>
      </c>
      <c r="D278" s="13">
        <v>31.010995139574259</v>
      </c>
    </row>
    <row r="279" spans="1:4">
      <c r="A279" t="s">
        <v>43</v>
      </c>
      <c r="B279" s="2">
        <f>'SP02'!A105</f>
        <v>41478</v>
      </c>
      <c r="C279" s="4">
        <f>'SP02'!C105</f>
        <v>19.845690854519777</v>
      </c>
      <c r="D279" s="13">
        <v>30.956279564574761</v>
      </c>
    </row>
    <row r="280" spans="1:4">
      <c r="A280" t="s">
        <v>43</v>
      </c>
      <c r="B280" s="2">
        <f>'SP02'!A106</f>
        <v>41479</v>
      </c>
      <c r="C280" s="4">
        <f>'SP02'!C106</f>
        <v>18.311039194915249</v>
      </c>
      <c r="D280" s="13">
        <v>34.67121802840358</v>
      </c>
    </row>
    <row r="281" spans="1:4">
      <c r="A281" t="s">
        <v>43</v>
      </c>
      <c r="B281" s="2">
        <f>'SP02'!A107</f>
        <v>41480</v>
      </c>
      <c r="C281" s="4">
        <f>'SP02'!C107</f>
        <v>16.091157662429385</v>
      </c>
      <c r="D281" s="13">
        <v>38.993881795082288</v>
      </c>
    </row>
    <row r="282" spans="1:4">
      <c r="A282" t="s">
        <v>43</v>
      </c>
      <c r="B282" s="2">
        <f>'SP02'!A108</f>
        <v>41481</v>
      </c>
      <c r="C282" s="4">
        <f>'SP02'!C108</f>
        <v>13.96373481638417</v>
      </c>
      <c r="D282" s="13">
        <v>43.096707931629247</v>
      </c>
    </row>
    <row r="283" spans="1:4">
      <c r="A283" t="s">
        <v>43</v>
      </c>
      <c r="B283" s="2">
        <f>'SP02'!A109</f>
        <v>41482</v>
      </c>
      <c r="C283" s="4">
        <f>'SP02'!C109</f>
        <v>13.495283015536716</v>
      </c>
      <c r="D283" s="13">
        <v>44.094990660290968</v>
      </c>
    </row>
    <row r="284" spans="1:4">
      <c r="A284" t="s">
        <v>43</v>
      </c>
      <c r="B284" s="2">
        <f>'SP02'!A110</f>
        <v>41483</v>
      </c>
      <c r="C284" s="4">
        <f>'SP02'!C110</f>
        <v>13.724346045197743</v>
      </c>
      <c r="D284" s="13">
        <v>41.303325908430914</v>
      </c>
    </row>
    <row r="285" spans="1:4">
      <c r="A285" t="s">
        <v>43</v>
      </c>
      <c r="B285" s="2">
        <f>'SP02'!A111</f>
        <v>41484</v>
      </c>
      <c r="C285" s="4">
        <f>'SP02'!C111</f>
        <v>13.081683615819209</v>
      </c>
      <c r="D285" s="13">
        <v>40.759811862034276</v>
      </c>
    </row>
    <row r="286" spans="1:4">
      <c r="A286" t="s">
        <v>43</v>
      </c>
      <c r="B286" s="2">
        <f>'SP02'!A112</f>
        <v>41485</v>
      </c>
      <c r="C286" s="4">
        <f>'SP02'!C112</f>
        <v>12.419164548022593</v>
      </c>
      <c r="D286" s="13">
        <v>42.208973934746709</v>
      </c>
    </row>
    <row r="287" spans="1:4">
      <c r="A287" t="s">
        <v>43</v>
      </c>
      <c r="B287" s="2">
        <f>'SP02'!A113</f>
        <v>41486</v>
      </c>
      <c r="C287" s="4">
        <f>'SP02'!C113</f>
        <v>12.578972104519771</v>
      </c>
      <c r="D287" s="13">
        <v>42.357470827955652</v>
      </c>
    </row>
    <row r="288" spans="1:4">
      <c r="A288" t="s">
        <v>43</v>
      </c>
      <c r="B288" s="2">
        <f>'SP02'!A114</f>
        <v>41487</v>
      </c>
      <c r="C288" s="4">
        <f>'SP02'!C114</f>
        <v>12.864394244350281</v>
      </c>
      <c r="D288" s="13">
        <v>40.632409997010647</v>
      </c>
    </row>
    <row r="289" spans="1:4">
      <c r="A289" t="s">
        <v>43</v>
      </c>
      <c r="B289" s="2">
        <f>'SP02'!A115</f>
        <v>41488</v>
      </c>
      <c r="C289" s="4">
        <f>'SP02'!C115</f>
        <v>12.141502471751414</v>
      </c>
      <c r="D289" s="13">
        <v>42.219966791737043</v>
      </c>
    </row>
    <row r="290" spans="1:4">
      <c r="A290" t="s">
        <v>43</v>
      </c>
      <c r="B290" s="2">
        <f>'SP02'!A116</f>
        <v>41489</v>
      </c>
      <c r="C290" s="4">
        <f>'SP02'!C116</f>
        <v>12.480639477401132</v>
      </c>
      <c r="D290" s="13">
        <v>41.544171618117353</v>
      </c>
    </row>
    <row r="291" spans="1:4">
      <c r="A291" t="s">
        <v>43</v>
      </c>
      <c r="B291" s="2">
        <f>'SP02'!A117</f>
        <v>41490</v>
      </c>
      <c r="C291" s="4">
        <f>'SP02'!C117</f>
        <v>12.697774187853106</v>
      </c>
      <c r="D291" s="13">
        <v>39.819876119464944</v>
      </c>
    </row>
    <row r="292" spans="1:4">
      <c r="A292" t="s">
        <v>43</v>
      </c>
      <c r="B292" s="2">
        <f>'SP02'!A118</f>
        <v>41491</v>
      </c>
      <c r="C292" s="4">
        <f>'SP02'!C118</f>
        <v>12.378698547215498</v>
      </c>
      <c r="D292" s="13">
        <v>42.293341507121568</v>
      </c>
    </row>
    <row r="293" spans="1:4">
      <c r="A293" t="s">
        <v>43</v>
      </c>
      <c r="B293" s="2">
        <f>'SP02'!A119</f>
        <v>41492</v>
      </c>
      <c r="C293" s="4">
        <f>'SP02'!C119</f>
        <v>12.206948446327678</v>
      </c>
      <c r="D293" s="13">
        <v>41.868663139389227</v>
      </c>
    </row>
    <row r="294" spans="1:4">
      <c r="A294" t="s">
        <v>43</v>
      </c>
      <c r="B294" s="2">
        <f>'SP02'!A120</f>
        <v>41493</v>
      </c>
      <c r="C294" s="4">
        <f>'SP02'!C120</f>
        <v>10.816254413841806</v>
      </c>
      <c r="D294" s="13">
        <v>46.202214072850026</v>
      </c>
    </row>
    <row r="295" spans="1:4">
      <c r="A295" t="s">
        <v>43</v>
      </c>
      <c r="B295" s="2">
        <f>'SP02'!A121</f>
        <v>41494</v>
      </c>
      <c r="C295" s="4">
        <f>'SP02'!C121</f>
        <v>11.951077683615821</v>
      </c>
      <c r="D295" s="13">
        <v>42.949289600850314</v>
      </c>
    </row>
    <row r="296" spans="1:4">
      <c r="A296" t="s">
        <v>43</v>
      </c>
      <c r="B296" s="2">
        <f>'SP02'!A122</f>
        <v>41495</v>
      </c>
      <c r="C296" s="4">
        <f>'SP02'!C122</f>
        <v>12.763782838983053</v>
      </c>
      <c r="D296" s="13">
        <v>41.195403762669166</v>
      </c>
    </row>
    <row r="297" spans="1:4">
      <c r="A297" t="s">
        <v>43</v>
      </c>
      <c r="B297" s="2">
        <f>'SP02'!A123</f>
        <v>41496</v>
      </c>
      <c r="C297" s="4">
        <f>'SP02'!C123</f>
        <v>12.21277083333333</v>
      </c>
      <c r="D297" s="13">
        <v>40.724687687664904</v>
      </c>
    </row>
    <row r="298" spans="1:4">
      <c r="A298" t="s">
        <v>43</v>
      </c>
      <c r="B298" s="2">
        <f>'SP02'!A124</f>
        <v>41497</v>
      </c>
      <c r="C298" s="4">
        <f>'SP02'!C124</f>
        <v>11.400756179378531</v>
      </c>
      <c r="D298" s="13">
        <v>41.931210235921561</v>
      </c>
    </row>
    <row r="299" spans="1:4">
      <c r="A299" t="s">
        <v>43</v>
      </c>
      <c r="B299" s="2">
        <f>'SP02'!A125</f>
        <v>41498</v>
      </c>
      <c r="C299" s="4">
        <f>'SP02'!C125</f>
        <v>11.110769244350282</v>
      </c>
      <c r="D299" s="13">
        <v>43.13013445702925</v>
      </c>
    </row>
    <row r="300" spans="1:4">
      <c r="A300" t="s">
        <v>43</v>
      </c>
      <c r="B300" s="2">
        <f>'SP02'!A126</f>
        <v>41499</v>
      </c>
      <c r="C300" s="4">
        <f>'SP02'!C126</f>
        <v>10.312613170903957</v>
      </c>
      <c r="D300" s="13">
        <v>49.074782682042056</v>
      </c>
    </row>
    <row r="301" spans="1:4">
      <c r="A301" t="s">
        <v>43</v>
      </c>
      <c r="B301" s="2">
        <f>'SP02'!A127</f>
        <v>41500</v>
      </c>
      <c r="C301" s="4">
        <f>'SP02'!C127</f>
        <v>11.663917196327681</v>
      </c>
      <c r="D301" s="13">
        <v>44.477329597078004</v>
      </c>
    </row>
    <row r="302" spans="1:4">
      <c r="A302" t="s">
        <v>43</v>
      </c>
      <c r="B302" s="2">
        <f>'SP02'!A128</f>
        <v>41501</v>
      </c>
      <c r="C302" s="4">
        <f>'SP02'!C128</f>
        <v>12.879065148305079</v>
      </c>
      <c r="D302" s="13">
        <v>39.165049545191408</v>
      </c>
    </row>
    <row r="303" spans="1:4">
      <c r="A303" t="s">
        <v>43</v>
      </c>
      <c r="B303" s="2">
        <f>'SP02'!A129</f>
        <v>41502</v>
      </c>
      <c r="C303" s="4">
        <f>'SP02'!C129</f>
        <v>14.209148128531067</v>
      </c>
      <c r="D303" s="13">
        <v>40.417466069310258</v>
      </c>
    </row>
    <row r="304" spans="1:4">
      <c r="A304" t="s">
        <v>43</v>
      </c>
      <c r="B304" s="2">
        <f>'SP02'!A130</f>
        <v>41503</v>
      </c>
      <c r="C304" s="4">
        <f>'SP02'!C130</f>
        <v>14.510730579096046</v>
      </c>
      <c r="D304" s="13">
        <v>44.762666736695031</v>
      </c>
    </row>
    <row r="305" spans="1:4">
      <c r="A305" t="s">
        <v>43</v>
      </c>
      <c r="B305" s="2">
        <f>'SP02'!A131</f>
        <v>41504</v>
      </c>
      <c r="C305" s="4">
        <f>'SP02'!C131</f>
        <v>16.546516419491521</v>
      </c>
      <c r="D305" s="13">
        <v>39.702310203062424</v>
      </c>
    </row>
    <row r="306" spans="1:4">
      <c r="A306" t="s">
        <v>43</v>
      </c>
      <c r="B306" s="2">
        <f>'SP02'!A132</f>
        <v>41505</v>
      </c>
      <c r="C306" s="4">
        <f>'SP02'!C132</f>
        <v>15.031096927966106</v>
      </c>
      <c r="D306" s="13">
        <v>40.53367137790157</v>
      </c>
    </row>
    <row r="307" spans="1:4">
      <c r="A307" t="s">
        <v>43</v>
      </c>
      <c r="B307" s="2">
        <f>'SP02'!A133</f>
        <v>41506</v>
      </c>
      <c r="C307" s="4">
        <f>'SP02'!C133</f>
        <v>15.649846221751412</v>
      </c>
      <c r="D307" s="13">
        <v>37.796355972180052</v>
      </c>
    </row>
    <row r="308" spans="1:4">
      <c r="A308" t="s">
        <v>43</v>
      </c>
      <c r="B308" s="2">
        <f>'SP02'!A134</f>
        <v>41507</v>
      </c>
      <c r="C308" s="4">
        <f>'SP02'!C134</f>
        <v>14.666594456214689</v>
      </c>
      <c r="D308" s="13">
        <v>41.129746946827503</v>
      </c>
    </row>
    <row r="309" spans="1:4">
      <c r="A309" t="s">
        <v>43</v>
      </c>
      <c r="B309" s="2">
        <f>'SP02'!A135</f>
        <v>41508</v>
      </c>
      <c r="C309" s="4">
        <f>'SP02'!C135</f>
        <v>14.995639124293794</v>
      </c>
      <c r="D309" s="13">
        <v>38.013235966296243</v>
      </c>
    </row>
    <row r="310" spans="1:4">
      <c r="A310" t="s">
        <v>43</v>
      </c>
      <c r="B310" s="2">
        <f>'SP02'!A136</f>
        <v>41509</v>
      </c>
      <c r="C310" s="4">
        <f>'SP02'!C136</f>
        <v>14.05838788841808</v>
      </c>
      <c r="D310" s="13">
        <v>41.8400742453072</v>
      </c>
    </row>
    <row r="311" spans="1:4">
      <c r="A311" t="s">
        <v>43</v>
      </c>
      <c r="B311" s="2">
        <f>'SP02'!A137</f>
        <v>41510</v>
      </c>
      <c r="C311" s="4">
        <f>'SP02'!C137</f>
        <v>14.167974223163839</v>
      </c>
      <c r="D311" s="13">
        <v>41.397899442343466</v>
      </c>
    </row>
    <row r="312" spans="1:4">
      <c r="A312" t="s">
        <v>43</v>
      </c>
      <c r="B312" s="2">
        <f>'SP02'!A138</f>
        <v>41511</v>
      </c>
      <c r="C312" s="4">
        <f>'SP02'!C138</f>
        <v>13.604606461864408</v>
      </c>
      <c r="D312" s="13">
        <v>45.626102278194821</v>
      </c>
    </row>
    <row r="313" spans="1:4">
      <c r="A313" t="s">
        <v>43</v>
      </c>
      <c r="B313" s="2">
        <f>'SP02'!A139</f>
        <v>41512</v>
      </c>
      <c r="C313" s="4">
        <f>'SP02'!C139</f>
        <v>13.130163665254237</v>
      </c>
      <c r="D313" s="13">
        <v>48.237340940602046</v>
      </c>
    </row>
    <row r="314" spans="1:4">
      <c r="A314" t="s">
        <v>43</v>
      </c>
      <c r="B314" s="2">
        <f>'SP02'!A140</f>
        <v>41513</v>
      </c>
      <c r="C314" s="4">
        <f>'SP02'!C140</f>
        <v>12.750380120056493</v>
      </c>
      <c r="D314" s="13">
        <v>49.171878494339218</v>
      </c>
    </row>
    <row r="315" spans="1:4">
      <c r="A315" t="s">
        <v>43</v>
      </c>
      <c r="B315" s="2">
        <f>'SP02'!A141</f>
        <v>41514</v>
      </c>
      <c r="C315" s="4">
        <f>'SP02'!C141</f>
        <v>12.512680967514115</v>
      </c>
      <c r="D315" s="13">
        <v>48.247841907989631</v>
      </c>
    </row>
    <row r="316" spans="1:4">
      <c r="A316" t="s">
        <v>43</v>
      </c>
      <c r="B316" s="2">
        <f>'SP02'!A142</f>
        <v>41515</v>
      </c>
      <c r="C316" s="4">
        <f>'SP02'!C142</f>
        <v>12.722496715753808</v>
      </c>
      <c r="D316" s="13">
        <v>48.484501270482873</v>
      </c>
    </row>
    <row r="317" spans="1:4">
      <c r="A317" t="s">
        <v>43</v>
      </c>
      <c r="B317" s="2">
        <f>'SP02'!A143</f>
        <v>41516</v>
      </c>
      <c r="C317" s="4">
        <f>'SP02'!C143</f>
        <v>14.161144724864071</v>
      </c>
      <c r="D317" s="13">
        <v>46.165948836708111</v>
      </c>
    </row>
    <row r="318" spans="1:4">
      <c r="A318" t="s">
        <v>43</v>
      </c>
      <c r="B318" s="2">
        <f>'SP02'!A144</f>
        <v>41517</v>
      </c>
      <c r="C318" s="4">
        <f>'SP02'!C144</f>
        <v>15.583240995762708</v>
      </c>
      <c r="D318" s="13">
        <v>43.992111688723007</v>
      </c>
    </row>
    <row r="319" spans="1:4">
      <c r="A319" t="s">
        <v>43</v>
      </c>
      <c r="B319" s="2">
        <f>'SP02'!A145</f>
        <v>41518</v>
      </c>
      <c r="C319" s="4">
        <f>'SP02'!C145</f>
        <v>14.492361581920905</v>
      </c>
      <c r="D319" s="13">
        <v>44.488899756106832</v>
      </c>
    </row>
    <row r="320" spans="1:4">
      <c r="A320" t="s">
        <v>43</v>
      </c>
      <c r="B320" s="2">
        <f>'SP02'!A146</f>
        <v>41519</v>
      </c>
      <c r="C320" s="4">
        <f>'SP02'!C146</f>
        <v>14.711511148123401</v>
      </c>
      <c r="D320" s="13">
        <v>43.205692935078126</v>
      </c>
    </row>
    <row r="321" spans="1:4">
      <c r="A321" t="s">
        <v>43</v>
      </c>
      <c r="B321" s="2">
        <f>'SP02'!A147</f>
        <v>41520</v>
      </c>
      <c r="C321" s="4">
        <f>'SP02'!C147</f>
        <v>14.552164228019061</v>
      </c>
      <c r="D321" s="13">
        <v>42.651850653957858</v>
      </c>
    </row>
    <row r="322" spans="1:4">
      <c r="A322" t="s">
        <v>43</v>
      </c>
      <c r="B322" s="2">
        <f>'SP02'!A148</f>
        <v>41521</v>
      </c>
      <c r="C322" s="4">
        <f>'SP02'!C148</f>
        <v>13.922814261358992</v>
      </c>
      <c r="D322" s="13">
        <v>42.001973252793938</v>
      </c>
    </row>
    <row r="323" spans="1:4">
      <c r="A323" t="s">
        <v>43</v>
      </c>
      <c r="B323" s="2">
        <f>'SP02'!A149</f>
        <v>41522</v>
      </c>
      <c r="C323" s="4">
        <f>'SP02'!C149</f>
        <v>14.36386919317272</v>
      </c>
      <c r="D323" s="13">
        <v>38.868233619390274</v>
      </c>
    </row>
    <row r="324" spans="1:4">
      <c r="A324" t="s">
        <v>43</v>
      </c>
      <c r="B324" s="2">
        <f>'SP02'!A150</f>
        <v>41523</v>
      </c>
      <c r="C324" s="4">
        <f>'SP02'!C150</f>
        <v>14.036687239221726</v>
      </c>
      <c r="D324" s="13">
        <v>38.889948149026878</v>
      </c>
    </row>
    <row r="325" spans="1:4">
      <c r="A325" t="s">
        <v>43</v>
      </c>
      <c r="B325" s="2">
        <f>'SP02'!A151</f>
        <v>41524</v>
      </c>
      <c r="C325" s="4">
        <f>'SP02'!C151</f>
        <v>13.951794835527659</v>
      </c>
      <c r="D325" s="13">
        <v>38.771095105459338</v>
      </c>
    </row>
    <row r="326" spans="1:4">
      <c r="A326" t="s">
        <v>43</v>
      </c>
      <c r="B326" s="2">
        <f>'SP02'!A152</f>
        <v>41525</v>
      </c>
      <c r="C326" s="4">
        <f>'SP02'!C152</f>
        <v>13.441266178401451</v>
      </c>
      <c r="D326" s="13">
        <v>38.448442826009391</v>
      </c>
    </row>
    <row r="327" spans="1:4">
      <c r="A327" t="s">
        <v>43</v>
      </c>
      <c r="B327" s="2">
        <f>'SP02'!A153</f>
        <v>41526</v>
      </c>
      <c r="C327" s="4">
        <f>'SP02'!C153</f>
        <v>12.746930434703286</v>
      </c>
      <c r="D327" s="13">
        <v>40.826576086316969</v>
      </c>
    </row>
    <row r="328" spans="1:4">
      <c r="A328" t="s">
        <v>43</v>
      </c>
      <c r="B328" s="2">
        <f>'SP02'!A154</f>
        <v>41527</v>
      </c>
      <c r="C328" s="4">
        <f>'SP02'!C154</f>
        <v>14.871527542372876</v>
      </c>
      <c r="D328" s="13">
        <v>37.037626398827037</v>
      </c>
    </row>
    <row r="329" spans="1:4">
      <c r="A329" t="s">
        <v>43</v>
      </c>
      <c r="B329" s="2">
        <f>'SP02'!A155</f>
        <v>41528</v>
      </c>
      <c r="C329" s="4">
        <f>'SP02'!C155</f>
        <v>15.955174435028242</v>
      </c>
      <c r="D329" s="13">
        <v>35.420235624062855</v>
      </c>
    </row>
    <row r="330" spans="1:4">
      <c r="A330" t="s">
        <v>43</v>
      </c>
      <c r="B330" s="2">
        <f>'SP02'!A156</f>
        <v>41529</v>
      </c>
      <c r="C330" s="4">
        <f>'SP02'!C156</f>
        <v>16.306707097457625</v>
      </c>
      <c r="D330" s="13">
        <v>33.908651808320847</v>
      </c>
    </row>
    <row r="331" spans="1:4">
      <c r="A331" t="s">
        <v>43</v>
      </c>
      <c r="B331" s="2">
        <f>'SP02'!A157</f>
        <v>41530</v>
      </c>
      <c r="C331" s="4">
        <f>'SP02'!C157</f>
        <v>17.900968043785308</v>
      </c>
      <c r="D331" s="13">
        <v>30.383701018159115</v>
      </c>
    </row>
    <row r="332" spans="1:4">
      <c r="A332" t="s">
        <v>43</v>
      </c>
      <c r="B332" s="2">
        <f>'SP02'!A158</f>
        <v>41531</v>
      </c>
      <c r="C332" s="4">
        <f>'SP02'!C158</f>
        <v>20.261179201977399</v>
      </c>
      <c r="D332" s="13">
        <v>27.068293969812292</v>
      </c>
    </row>
    <row r="333" spans="1:4">
      <c r="A333" t="s">
        <v>43</v>
      </c>
      <c r="B333" s="2">
        <f>'SP02'!A159</f>
        <v>41532</v>
      </c>
      <c r="C333" s="4">
        <f>'SP02'!C159</f>
        <v>19.11941507768362</v>
      </c>
      <c r="D333" s="13">
        <v>29.50627765411771</v>
      </c>
    </row>
    <row r="334" spans="1:4">
      <c r="A334" t="s">
        <v>43</v>
      </c>
      <c r="B334" s="2">
        <f>'SP02'!A160</f>
        <v>41533</v>
      </c>
      <c r="C334" s="4">
        <f>'SP02'!C160</f>
        <v>19.908706391242927</v>
      </c>
      <c r="D334" s="13">
        <v>27.448618494244311</v>
      </c>
    </row>
    <row r="335" spans="1:4">
      <c r="A335" t="s">
        <v>43</v>
      </c>
      <c r="B335" s="2">
        <f>'SP02'!A161</f>
        <v>41534</v>
      </c>
      <c r="C335" s="4">
        <f>'SP02'!C161</f>
        <v>19.547757363291954</v>
      </c>
      <c r="D335" s="13">
        <v>27.88493675663052</v>
      </c>
    </row>
    <row r="336" spans="1:4">
      <c r="A336" t="s">
        <v>43</v>
      </c>
      <c r="B336" s="2">
        <f>'SP02'!A162</f>
        <v>41535</v>
      </c>
      <c r="C336" s="4">
        <f>'SP02'!C162</f>
        <v>19.215972457627107</v>
      </c>
      <c r="D336" s="13">
        <v>29.66355758797237</v>
      </c>
    </row>
    <row r="337" spans="1:4">
      <c r="A337" t="s">
        <v>43</v>
      </c>
      <c r="B337" s="2">
        <f>'SP02'!A163</f>
        <v>41536</v>
      </c>
      <c r="C337" s="4">
        <f>'SP02'!C163</f>
        <v>19.437318679378524</v>
      </c>
      <c r="D337" s="13">
        <v>29.031840300619688</v>
      </c>
    </row>
    <row r="338" spans="1:4">
      <c r="A338" t="s">
        <v>43</v>
      </c>
      <c r="B338" s="2">
        <f>'SP02'!A164</f>
        <v>41537</v>
      </c>
      <c r="C338" s="4">
        <f>'SP02'!C164</f>
        <v>20.62697351694915</v>
      </c>
      <c r="D338" s="13">
        <v>26.111430742165993</v>
      </c>
    </row>
    <row r="339" spans="1:4">
      <c r="A339" t="s">
        <v>43</v>
      </c>
      <c r="B339" s="2">
        <f>'SP02'!A165</f>
        <v>41538</v>
      </c>
      <c r="C339" s="4">
        <f>'SP02'!C165</f>
        <v>20.301226518361588</v>
      </c>
      <c r="D339" s="13">
        <v>26.496005149752314</v>
      </c>
    </row>
    <row r="340" spans="1:4">
      <c r="A340" t="s">
        <v>43</v>
      </c>
      <c r="B340" s="2">
        <f>'SP02'!A166</f>
        <v>41539</v>
      </c>
      <c r="C340" s="4">
        <f>'SP02'!C166</f>
        <v>21.049951800847452</v>
      </c>
      <c r="D340" s="13">
        <v>25.445404078211883</v>
      </c>
    </row>
    <row r="341" spans="1:4">
      <c r="A341" t="s">
        <v>43</v>
      </c>
      <c r="B341" s="2">
        <f>'SP02'!A167</f>
        <v>41540</v>
      </c>
      <c r="C341" s="4">
        <f>'SP02'!C167</f>
        <v>20.116858580508474</v>
      </c>
      <c r="D341" s="13">
        <v>27.1186963704282</v>
      </c>
    </row>
    <row r="342" spans="1:4">
      <c r="A342" t="s">
        <v>43</v>
      </c>
      <c r="B342" s="2">
        <f>'SP02'!A168</f>
        <v>41541</v>
      </c>
      <c r="C342" s="4">
        <f>'SP02'!C168</f>
        <v>20.815641596045204</v>
      </c>
      <c r="D342" s="13">
        <v>25.660205754265768</v>
      </c>
    </row>
    <row r="343" spans="1:4">
      <c r="A343" t="s">
        <v>43</v>
      </c>
      <c r="B343" s="2">
        <f>'SP02'!A169</f>
        <v>41542</v>
      </c>
      <c r="C343" s="4">
        <f>'SP02'!C169</f>
        <v>19.729792978208234</v>
      </c>
      <c r="D343" s="13">
        <v>26.258678226127895</v>
      </c>
    </row>
    <row r="344" spans="1:4">
      <c r="A344" t="s">
        <v>43</v>
      </c>
      <c r="B344" s="2">
        <f>'SP02'!A170</f>
        <v>41543</v>
      </c>
      <c r="C344" s="4">
        <f>'SP02'!C170</f>
        <v>19.565401659604522</v>
      </c>
      <c r="D344" s="13">
        <v>26.417637242939428</v>
      </c>
    </row>
    <row r="345" spans="1:4">
      <c r="A345" t="s">
        <v>43</v>
      </c>
      <c r="B345" s="2">
        <f>'SP02'!A171</f>
        <v>41544</v>
      </c>
      <c r="C345" s="4">
        <f>'SP02'!C171</f>
        <v>19.599354166666661</v>
      </c>
      <c r="D345" s="13">
        <v>27.013443977760165</v>
      </c>
    </row>
    <row r="346" spans="1:4">
      <c r="A346" t="s">
        <v>43</v>
      </c>
      <c r="B346" s="2">
        <f>'SP02'!A172</f>
        <v>41545</v>
      </c>
      <c r="C346" s="4">
        <f>'SP02'!C172</f>
        <v>19.745036899717515</v>
      </c>
      <c r="D346" s="13">
        <v>26.948956974324787</v>
      </c>
    </row>
    <row r="347" spans="1:4">
      <c r="A347" t="s">
        <v>43</v>
      </c>
      <c r="B347" s="2">
        <f>'SP02'!A173</f>
        <v>41546</v>
      </c>
      <c r="C347" s="4">
        <f>'SP02'!C173</f>
        <v>19.09394209039548</v>
      </c>
      <c r="D347" s="13">
        <v>30.256710546126186</v>
      </c>
    </row>
    <row r="348" spans="1:4">
      <c r="A348" t="s">
        <v>43</v>
      </c>
      <c r="B348" s="2">
        <f>'SP02'!A174</f>
        <v>41547</v>
      </c>
      <c r="C348" s="4">
        <f>'SP02'!C174</f>
        <v>19.441908015536729</v>
      </c>
      <c r="D348" s="13">
        <v>28.117498947439589</v>
      </c>
    </row>
    <row r="349" spans="1:4">
      <c r="A349" t="s">
        <v>43</v>
      </c>
      <c r="B349" s="2">
        <f>'SP02'!A175</f>
        <v>41548</v>
      </c>
      <c r="C349" s="4">
        <f>'SP02'!C175</f>
        <v>19.25778001412429</v>
      </c>
      <c r="D349" s="13">
        <v>28.926075433337434</v>
      </c>
    </row>
    <row r="350" spans="1:4">
      <c r="A350" t="s">
        <v>43</v>
      </c>
      <c r="B350" s="2">
        <f>'SP02'!A176</f>
        <v>41549</v>
      </c>
      <c r="C350" s="4">
        <f>'SP02'!C176</f>
        <v>18.539959569209042</v>
      </c>
      <c r="D350" s="13">
        <v>33.102401121481577</v>
      </c>
    </row>
  </sheetData>
  <phoneticPr fontId="35"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topLeftCell="A9" zoomScale="85" zoomScaleNormal="85" workbookViewId="0">
      <selection activeCell="M20" sqref="M20"/>
    </sheetView>
  </sheetViews>
  <sheetFormatPr defaultRowHeight="13.2"/>
  <sheetData/>
  <phoneticPr fontId="35" type="noConversion"/>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5"/>
  <sheetViews>
    <sheetView workbookViewId="0">
      <selection activeCell="C32" sqref="C32"/>
    </sheetView>
  </sheetViews>
  <sheetFormatPr defaultRowHeight="13.2"/>
  <cols>
    <col min="5" max="8" width="8.88671875" style="161"/>
  </cols>
  <sheetData>
    <row r="1" spans="1:12">
      <c r="A1" t="s">
        <v>158</v>
      </c>
    </row>
    <row r="2" spans="1:12">
      <c r="A2" s="181" t="str">
        <f>Raw!A4</f>
        <v>Date</v>
      </c>
      <c r="B2" s="181" t="str">
        <f>Raw!B4</f>
        <v>Site</v>
      </c>
      <c r="C2" s="181" t="str">
        <f>Raw!F4</f>
        <v>chl.a</v>
      </c>
      <c r="D2" s="181" t="str">
        <f>Raw!R4</f>
        <v>FL.ctd</v>
      </c>
      <c r="E2" s="181" t="s">
        <v>58</v>
      </c>
      <c r="F2" s="181" t="s">
        <v>59</v>
      </c>
      <c r="G2" s="181" t="s">
        <v>159</v>
      </c>
      <c r="H2" s="181" t="str">
        <f>C2</f>
        <v>chl.a</v>
      </c>
      <c r="I2" s="181" t="str">
        <f>Raw!AF4</f>
        <v>FL.wqm</v>
      </c>
      <c r="J2" s="181" t="s">
        <v>58</v>
      </c>
      <c r="K2" s="181" t="s">
        <v>59</v>
      </c>
      <c r="L2" s="181" t="s">
        <v>159</v>
      </c>
    </row>
    <row r="3" spans="1:12">
      <c r="A3" s="195">
        <f>Raw!A5</f>
        <v>41381</v>
      </c>
      <c r="B3" s="161" t="str">
        <f>Raw!B5</f>
        <v>SP01</v>
      </c>
      <c r="C3" s="4"/>
      <c r="D3" s="4"/>
      <c r="E3" s="4">
        <f>STDEV(C3:C42)/STDEV(D3:D42)</f>
        <v>4.4129373032841244</v>
      </c>
      <c r="F3" s="4">
        <f>AVERAGE(C3:C42)-E3*AVERAGE(D3:D42)</f>
        <v>-1.273118167093708</v>
      </c>
      <c r="G3" s="4">
        <f>RSQ(D3:D42,C3:C42)</f>
        <v>0.77044739789036398</v>
      </c>
      <c r="H3" s="200">
        <f>Raw!F5</f>
        <v>2.98</v>
      </c>
      <c r="I3" s="4">
        <f>Raw!AF5</f>
        <v>1.3436776129943511</v>
      </c>
      <c r="J3" s="4">
        <f>STDEV(H3:H21)/STDEV(I3:I21)</f>
        <v>3.4789447134648857</v>
      </c>
      <c r="K3" s="4">
        <f>AVERAGE(H3:H21)-J3*AVERAGE(I3:I21)</f>
        <v>-1.412665319625571</v>
      </c>
      <c r="L3" s="4">
        <f>RSQ(I3:I21,H3:H21)</f>
        <v>0.7815755647775583</v>
      </c>
    </row>
    <row r="4" spans="1:12">
      <c r="A4" s="195">
        <f>Raw!A6</f>
        <v>41388</v>
      </c>
      <c r="B4" s="161" t="str">
        <f>Raw!B6</f>
        <v>SP01</v>
      </c>
      <c r="C4" s="4"/>
      <c r="D4" s="4"/>
      <c r="F4"/>
      <c r="G4" s="4"/>
      <c r="H4" s="200">
        <f>Raw!F6</f>
        <v>4.4746666666666668</v>
      </c>
      <c r="I4" s="4">
        <f>Raw!AF6</f>
        <v>2.1542913135593218</v>
      </c>
    </row>
    <row r="5" spans="1:12">
      <c r="A5" s="195">
        <f>Raw!A7</f>
        <v>41395</v>
      </c>
      <c r="B5" s="161" t="str">
        <f>Raw!B7</f>
        <v>SP01</v>
      </c>
      <c r="C5" s="4">
        <f>Raw!F7</f>
        <v>2.024</v>
      </c>
      <c r="D5" s="4">
        <f>Raw!R7</f>
        <v>1.1232</v>
      </c>
      <c r="E5" s="4"/>
      <c r="F5" s="4"/>
      <c r="G5" s="4"/>
      <c r="H5" s="200">
        <f>Raw!F7</f>
        <v>2.024</v>
      </c>
      <c r="I5" s="4">
        <f>Raw!AF7</f>
        <v>1.4977471751412434</v>
      </c>
    </row>
    <row r="6" spans="1:12">
      <c r="A6" s="195">
        <f>Raw!A8</f>
        <v>41403</v>
      </c>
      <c r="B6" s="161" t="str">
        <f>Raw!B8</f>
        <v>SP01</v>
      </c>
      <c r="C6" s="4">
        <f>Raw!F8</f>
        <v>2.2759999999999998</v>
      </c>
      <c r="D6" s="4">
        <f>Raw!R8</f>
        <v>0.94599999999999995</v>
      </c>
      <c r="E6" s="4"/>
      <c r="F6" s="4"/>
      <c r="G6" s="4"/>
      <c r="H6" s="200">
        <f>Raw!F8</f>
        <v>2.2759999999999998</v>
      </c>
      <c r="I6" s="4">
        <f>Raw!AF8</f>
        <v>0.98795611064762756</v>
      </c>
    </row>
    <row r="7" spans="1:12">
      <c r="A7" s="195">
        <f>Raw!A9</f>
        <v>41409</v>
      </c>
      <c r="B7" s="161" t="str">
        <f>Raw!B9</f>
        <v>SP01</v>
      </c>
      <c r="C7" s="4">
        <f>Raw!F9</f>
        <v>2.9717647058823529</v>
      </c>
      <c r="D7" s="4">
        <f>Raw!R9</f>
        <v>1.2074</v>
      </c>
      <c r="E7" s="4"/>
      <c r="F7" s="4"/>
      <c r="G7" s="4"/>
      <c r="H7" s="200">
        <f>Raw!F9</f>
        <v>2.9717647058823529</v>
      </c>
      <c r="I7" s="4">
        <f>Raw!AF9</f>
        <v>1.2089134017631005</v>
      </c>
    </row>
    <row r="8" spans="1:12">
      <c r="A8" s="195">
        <f>Raw!A10</f>
        <v>41416</v>
      </c>
      <c r="B8" s="161" t="str">
        <f>Raw!B10</f>
        <v>SP01</v>
      </c>
      <c r="C8" s="4">
        <f>Raw!F10</f>
        <v>1.94</v>
      </c>
      <c r="D8" s="4">
        <f>Raw!R10</f>
        <v>0.89870000000000005</v>
      </c>
      <c r="E8" s="4"/>
      <c r="F8" s="4"/>
      <c r="G8" s="4"/>
      <c r="H8" s="200">
        <f>Raw!F10</f>
        <v>1.94</v>
      </c>
      <c r="I8" s="4">
        <f>Raw!AF10</f>
        <v>1.0220045269074192</v>
      </c>
    </row>
    <row r="9" spans="1:12">
      <c r="A9" s="195">
        <f>Raw!A11</f>
        <v>41423</v>
      </c>
      <c r="B9" s="161" t="str">
        <f>Raw!B11</f>
        <v>SP01</v>
      </c>
      <c r="C9" s="4">
        <f>Raw!F11</f>
        <v>1.9506000000000001</v>
      </c>
      <c r="D9" s="4">
        <f>Raw!R11</f>
        <v>0.86750000000000005</v>
      </c>
      <c r="E9" s="4"/>
      <c r="F9" s="4"/>
      <c r="G9" s="4"/>
      <c r="H9" s="200">
        <f>Raw!F11</f>
        <v>1.9506000000000001</v>
      </c>
      <c r="I9" s="4">
        <f>Raw!AF11</f>
        <v>0.99318679378531094</v>
      </c>
    </row>
    <row r="10" spans="1:12">
      <c r="A10" s="195">
        <f>Raw!A12</f>
        <v>41430</v>
      </c>
      <c r="B10" s="161" t="str">
        <f>Raw!B12</f>
        <v>SP01</v>
      </c>
      <c r="C10" s="199">
        <v>2.5299999999999998</v>
      </c>
      <c r="D10" s="4">
        <f>Raw!R12</f>
        <v>0.30790000000000001</v>
      </c>
      <c r="E10" s="4"/>
      <c r="F10" s="4"/>
      <c r="G10" s="4"/>
      <c r="H10" s="203">
        <v>0.875</v>
      </c>
      <c r="I10" s="4">
        <f>Raw!AF12</f>
        <v>0.89973297159886678</v>
      </c>
    </row>
    <row r="11" spans="1:12">
      <c r="A11" s="195">
        <f>Raw!A13</f>
        <v>41437</v>
      </c>
      <c r="B11" s="161" t="str">
        <f>Raw!B13</f>
        <v>SP01</v>
      </c>
      <c r="C11" s="4">
        <f>Raw!F13</f>
        <v>3.1120000000000001</v>
      </c>
      <c r="D11" s="4">
        <f>Raw!R13</f>
        <v>0.85309999999999997</v>
      </c>
      <c r="E11" s="4"/>
      <c r="F11" s="4"/>
      <c r="G11" s="4"/>
      <c r="H11" s="200">
        <f>Raw!F13</f>
        <v>3.1120000000000001</v>
      </c>
      <c r="I11" s="4">
        <f>Raw!AF13</f>
        <v>1.1705264298528193</v>
      </c>
    </row>
    <row r="12" spans="1:12">
      <c r="A12" s="195">
        <f>Raw!A14</f>
        <v>41444</v>
      </c>
      <c r="B12" s="161" t="str">
        <f>Raw!B14</f>
        <v>SP01</v>
      </c>
      <c r="C12" s="4">
        <f>Raw!F14</f>
        <v>3.9075000000000002</v>
      </c>
      <c r="D12" s="4">
        <f>Raw!R14</f>
        <v>1.1000000000000001</v>
      </c>
      <c r="E12" s="4"/>
      <c r="F12" s="4"/>
      <c r="G12" s="4"/>
      <c r="H12" s="200">
        <f>Raw!F14</f>
        <v>3.9075000000000002</v>
      </c>
      <c r="I12" s="4">
        <f>Raw!AF14</f>
        <v>1.5772794384349671</v>
      </c>
    </row>
    <row r="13" spans="1:12">
      <c r="A13" s="195">
        <f>Raw!A15</f>
        <v>41451</v>
      </c>
      <c r="B13" s="161" t="str">
        <f>Raw!B15</f>
        <v>SP01</v>
      </c>
      <c r="C13" s="4">
        <f>Raw!F15</f>
        <v>4.5880000000000001</v>
      </c>
      <c r="D13" s="4">
        <f>Raw!R15</f>
        <v>0.99529999999999996</v>
      </c>
      <c r="E13" s="4"/>
      <c r="F13" s="4"/>
      <c r="G13" s="4"/>
      <c r="H13" s="200">
        <f>Raw!F15</f>
        <v>4.5880000000000001</v>
      </c>
      <c r="I13" s="4">
        <f>Raw!AF15</f>
        <v>1.3253618484917726</v>
      </c>
    </row>
    <row r="14" spans="1:12">
      <c r="A14" s="195">
        <f>Raw!A16</f>
        <v>41472</v>
      </c>
      <c r="B14" s="161" t="str">
        <f>Raw!B16</f>
        <v>SP01</v>
      </c>
      <c r="C14" s="4">
        <f>Raw!F16</f>
        <v>8.0276923076923072</v>
      </c>
      <c r="D14" s="4">
        <f>Raw!R16</f>
        <v>2.3618999999999999</v>
      </c>
      <c r="E14" s="4"/>
      <c r="F14" s="4"/>
      <c r="G14" s="4"/>
      <c r="H14" s="200">
        <f>Raw!F16</f>
        <v>8.0276923076923072</v>
      </c>
      <c r="I14" s="4">
        <f>Raw!AF16</f>
        <v>2.8251149173222516</v>
      </c>
    </row>
    <row r="15" spans="1:12">
      <c r="A15" s="195">
        <f>Raw!A17</f>
        <v>41479</v>
      </c>
      <c r="B15" s="161" t="str">
        <f>Raw!B17</f>
        <v>SP01</v>
      </c>
      <c r="C15" s="4"/>
      <c r="D15" s="4"/>
      <c r="E15" s="4"/>
      <c r="F15" s="4"/>
      <c r="G15" s="4"/>
      <c r="H15" s="200">
        <f>Raw!F17</f>
        <v>9.0764705882352938</v>
      </c>
      <c r="I15" s="4">
        <f>Raw!AF17</f>
        <v>2.3468504590395489</v>
      </c>
    </row>
    <row r="16" spans="1:12">
      <c r="A16" s="195">
        <f>Raw!A18</f>
        <v>41486</v>
      </c>
      <c r="B16" s="161" t="str">
        <f>Raw!B18</f>
        <v>SP01</v>
      </c>
      <c r="C16" s="4">
        <f>Raw!F18</f>
        <v>6.387096774193548</v>
      </c>
      <c r="D16" s="4">
        <f>Raw!R18</f>
        <v>1.5319</v>
      </c>
      <c r="E16" s="4"/>
      <c r="F16" s="4"/>
      <c r="G16" s="4"/>
      <c r="H16" s="200">
        <f>Raw!F18</f>
        <v>6.387096774193548</v>
      </c>
      <c r="I16" s="4">
        <f>Raw!AF18</f>
        <v>3.317936087570621</v>
      </c>
    </row>
    <row r="17" spans="1:12">
      <c r="A17" s="195">
        <f>Raw!A19</f>
        <v>41493</v>
      </c>
      <c r="B17" s="161" t="str">
        <f>Raw!B19</f>
        <v>SP01</v>
      </c>
      <c r="C17" s="4">
        <f>Raw!F19</f>
        <v>7.9588235294117657</v>
      </c>
      <c r="D17" s="4">
        <f>Raw!R19</f>
        <v>2.1309999999999998</v>
      </c>
      <c r="E17" s="4"/>
      <c r="F17" s="4"/>
      <c r="G17" s="4"/>
      <c r="H17" s="200">
        <f>Raw!F19</f>
        <v>7.9588235294117657</v>
      </c>
      <c r="I17" s="4">
        <f>Raw!AF19</f>
        <v>2.2513310381355924</v>
      </c>
    </row>
    <row r="18" spans="1:12">
      <c r="A18" s="195">
        <f>Raw!A20</f>
        <v>41500</v>
      </c>
      <c r="B18" s="161" t="str">
        <f>Raw!B20</f>
        <v>SP01</v>
      </c>
      <c r="C18" s="4">
        <f>Raw!F20</f>
        <v>9.5679999999999996</v>
      </c>
      <c r="D18" s="4">
        <f>Raw!R20</f>
        <v>2.4</v>
      </c>
      <c r="E18" s="4"/>
      <c r="F18" s="4"/>
      <c r="G18" s="4"/>
      <c r="H18" s="200">
        <f>Raw!F20</f>
        <v>9.5679999999999996</v>
      </c>
      <c r="I18" s="4">
        <f>Raw!AF20</f>
        <v>3.0535690324858766</v>
      </c>
    </row>
    <row r="19" spans="1:12">
      <c r="A19" s="195">
        <f>Raw!A21</f>
        <v>41507</v>
      </c>
      <c r="B19" s="161" t="str">
        <f>Raw!B21</f>
        <v>SP01</v>
      </c>
      <c r="C19" s="4">
        <f>Raw!F21</f>
        <v>11.430463576158941</v>
      </c>
      <c r="D19" s="4">
        <f>Raw!R21</f>
        <v>1.7810999999999999</v>
      </c>
      <c r="E19" s="4"/>
      <c r="F19" s="4"/>
      <c r="G19" s="4"/>
      <c r="H19" s="200">
        <f>Raw!F21</f>
        <v>11.430463576158941</v>
      </c>
      <c r="I19" s="4">
        <f>Raw!AF21</f>
        <v>2.3391690397045726</v>
      </c>
    </row>
    <row r="20" spans="1:12">
      <c r="A20" s="195">
        <f>Raw!A22</f>
        <v>41521</v>
      </c>
      <c r="B20" s="161" t="str">
        <f>Raw!B22</f>
        <v>SP01</v>
      </c>
      <c r="C20" s="4">
        <f>Raw!F22</f>
        <v>8.2940000000000005</v>
      </c>
      <c r="D20" s="4">
        <f>Raw!R22</f>
        <v>2.2240000000000002</v>
      </c>
      <c r="E20" s="4"/>
      <c r="F20" s="4"/>
      <c r="G20" s="4"/>
      <c r="H20" s="200"/>
      <c r="I20" s="4"/>
    </row>
    <row r="21" spans="1:12">
      <c r="A21" s="195">
        <f>Raw!A23</f>
        <v>41528</v>
      </c>
      <c r="B21" s="161" t="str">
        <f>Raw!B23</f>
        <v>SP01</v>
      </c>
      <c r="C21" s="4">
        <f>Raw!F23</f>
        <v>14.335999999999999</v>
      </c>
      <c r="D21" s="4">
        <f>Raw!R23</f>
        <v>3.9573999999999998</v>
      </c>
      <c r="E21" s="4"/>
      <c r="F21" s="4"/>
      <c r="G21" s="4"/>
      <c r="H21" s="200">
        <f>Raw!F23</f>
        <v>14.335999999999999</v>
      </c>
      <c r="I21" s="4">
        <f>Raw!AF23</f>
        <v>5.1305985822088571</v>
      </c>
    </row>
    <row r="22" spans="1:12">
      <c r="A22" s="196">
        <f>Raw!A24</f>
        <v>41542</v>
      </c>
      <c r="B22" s="197" t="str">
        <f>Raw!B24</f>
        <v>SP01</v>
      </c>
      <c r="C22" s="198">
        <f>Raw!F24</f>
        <v>5.319166666666665</v>
      </c>
      <c r="D22" s="198">
        <f>Raw!R24</f>
        <v>1.4985999999999999</v>
      </c>
      <c r="E22" s="198"/>
      <c r="F22" s="198"/>
      <c r="G22" s="198"/>
      <c r="H22" s="204">
        <f>Raw!F24</f>
        <v>5.319166666666665</v>
      </c>
      <c r="I22" s="198">
        <f>Raw!AF24</f>
        <v>2.2875523123488408</v>
      </c>
      <c r="J22" s="4">
        <f>STDEV(H22:H40)/STDEV(I22:I40)</f>
        <v>4.6045351517877808</v>
      </c>
      <c r="K22" s="4">
        <f>AVERAGE(H22:H40)-J22*AVERAGE(I22:I40)</f>
        <v>-2.7413601676602246</v>
      </c>
      <c r="L22" s="4">
        <f>RSQ(I22:I40,H22:H40)</f>
        <v>0.71293550586338705</v>
      </c>
    </row>
    <row r="23" spans="1:12">
      <c r="A23" s="196">
        <f>Raw!A25</f>
        <v>41381</v>
      </c>
      <c r="B23" s="197" t="str">
        <f>Raw!B25</f>
        <v>SP02</v>
      </c>
      <c r="C23" s="198">
        <f>Raw!F25</f>
        <v>2.1960000000000002</v>
      </c>
      <c r="D23" s="198">
        <f>Raw!R25</f>
        <v>1.1768199533898305</v>
      </c>
      <c r="E23" s="198"/>
      <c r="F23" s="198"/>
      <c r="G23" s="198"/>
      <c r="H23" s="204">
        <f>Raw!F25</f>
        <v>2.1960000000000002</v>
      </c>
      <c r="I23" s="198">
        <f>Raw!AF25</f>
        <v>1.36692302259887</v>
      </c>
    </row>
    <row r="24" spans="1:12">
      <c r="A24" s="196">
        <f>Raw!A26</f>
        <v>41388</v>
      </c>
      <c r="B24" s="197" t="str">
        <f>Raw!B26</f>
        <v>SP02</v>
      </c>
      <c r="C24" s="198">
        <f>Raw!F26</f>
        <v>3.2725</v>
      </c>
      <c r="D24" s="198">
        <f>Raw!R26</f>
        <v>1.8251777118644068</v>
      </c>
      <c r="E24" s="198"/>
      <c r="F24" s="198"/>
      <c r="G24" s="198"/>
      <c r="H24" s="204">
        <f>Raw!F26</f>
        <v>3.2725</v>
      </c>
      <c r="I24" s="198">
        <f>Raw!AF26</f>
        <v>2.1225847457627118</v>
      </c>
    </row>
    <row r="25" spans="1:12">
      <c r="A25" s="196">
        <f>Raw!A27</f>
        <v>41395</v>
      </c>
      <c r="B25" s="197" t="str">
        <f>Raw!B27</f>
        <v>SP02</v>
      </c>
      <c r="C25" s="198">
        <f>Raw!F27</f>
        <v>2.72</v>
      </c>
      <c r="D25" s="198">
        <f>Raw!R27</f>
        <v>1.1399999999999999</v>
      </c>
      <c r="E25" s="198"/>
      <c r="F25" s="198"/>
      <c r="G25" s="198"/>
      <c r="H25" s="204">
        <f>Raw!F27</f>
        <v>2.72</v>
      </c>
      <c r="I25" s="198">
        <f>Raw!AF27</f>
        <v>1.4695985169491523</v>
      </c>
    </row>
    <row r="26" spans="1:12">
      <c r="A26" s="196">
        <f>Raw!A28</f>
        <v>41403</v>
      </c>
      <c r="B26" s="197" t="str">
        <f>Raw!B28</f>
        <v>SP02</v>
      </c>
      <c r="C26" s="198">
        <f>Raw!F28</f>
        <v>3.012</v>
      </c>
      <c r="D26" s="198">
        <f>Raw!R28</f>
        <v>1.0382</v>
      </c>
      <c r="E26" s="198"/>
      <c r="F26" s="198"/>
      <c r="G26" s="198"/>
      <c r="H26" s="204">
        <f>Raw!F28</f>
        <v>3.012</v>
      </c>
      <c r="I26" s="198">
        <f>Raw!AF28</f>
        <v>0.96645462570621443</v>
      </c>
    </row>
    <row r="27" spans="1:12">
      <c r="A27" s="196">
        <f>Raw!A29</f>
        <v>41409</v>
      </c>
      <c r="B27" s="197" t="str">
        <f>Raw!B29</f>
        <v>SP02</v>
      </c>
      <c r="C27" s="198">
        <f>Raw!F29</f>
        <v>2.9552941176470591</v>
      </c>
      <c r="D27" s="198">
        <f>Raw!R29</f>
        <v>1.2202999999999999</v>
      </c>
      <c r="E27" s="198"/>
      <c r="F27" s="198"/>
      <c r="G27" s="198"/>
      <c r="H27" s="204">
        <f>Raw!F29</f>
        <v>2.9552941176470591</v>
      </c>
      <c r="I27" s="198">
        <f>Raw!AF29</f>
        <v>1.1150084745762707</v>
      </c>
    </row>
    <row r="28" spans="1:12">
      <c r="A28" s="196">
        <f>Raw!A30</f>
        <v>41416</v>
      </c>
      <c r="B28" s="197" t="str">
        <f>Raw!B30</f>
        <v>SP02</v>
      </c>
      <c r="C28" s="201">
        <v>2.85</v>
      </c>
      <c r="D28" s="198">
        <f>Raw!R30</f>
        <v>0.66520000000000001</v>
      </c>
      <c r="E28" s="198"/>
      <c r="F28" s="198"/>
      <c r="G28" s="198"/>
      <c r="H28" s="202">
        <v>1.0940000000000001</v>
      </c>
      <c r="I28" s="198">
        <f>Raw!AF30</f>
        <v>0.96755685028248639</v>
      </c>
    </row>
    <row r="29" spans="1:12">
      <c r="A29" s="196">
        <f>Raw!A31</f>
        <v>41423</v>
      </c>
      <c r="B29" s="197" t="str">
        <f>Raw!B31</f>
        <v>SP02</v>
      </c>
      <c r="C29" s="198">
        <f>Raw!F31</f>
        <v>2.7359999999999998</v>
      </c>
      <c r="D29" s="198">
        <f>Raw!R31</f>
        <v>0.89100000000000001</v>
      </c>
      <c r="E29" s="198"/>
      <c r="F29" s="198"/>
      <c r="G29" s="198"/>
      <c r="H29" s="204">
        <f>Raw!F31</f>
        <v>2.7359999999999998</v>
      </c>
      <c r="I29" s="198">
        <f>Raw!AF31</f>
        <v>0.94609427966101667</v>
      </c>
    </row>
    <row r="30" spans="1:12">
      <c r="A30" s="196">
        <f>Raw!A32</f>
        <v>41430</v>
      </c>
      <c r="B30" s="197" t="str">
        <f>Raw!B32</f>
        <v>SP02</v>
      </c>
      <c r="C30" s="198">
        <f>Raw!F32</f>
        <v>1.6454</v>
      </c>
      <c r="D30" s="198">
        <f>Raw!R32</f>
        <v>0.56740000000000002</v>
      </c>
      <c r="E30" s="198"/>
      <c r="F30" s="198"/>
      <c r="G30" s="198"/>
      <c r="H30" s="204">
        <f>Raw!F32</f>
        <v>1.6454</v>
      </c>
      <c r="I30" s="198">
        <f>Raw!AF32</f>
        <v>0.8055158898305087</v>
      </c>
    </row>
    <row r="31" spans="1:12">
      <c r="A31" s="196">
        <f>Raw!A33</f>
        <v>41437</v>
      </c>
      <c r="B31" s="197" t="str">
        <f>Raw!B33</f>
        <v>SP02</v>
      </c>
      <c r="C31" s="198">
        <f>Raw!F33</f>
        <v>2.31</v>
      </c>
      <c r="D31" s="198">
        <f>Raw!R33</f>
        <v>0.70330000000000004</v>
      </c>
      <c r="E31" s="198"/>
      <c r="F31" s="198"/>
      <c r="G31" s="198"/>
      <c r="H31" s="204">
        <f>Raw!F33</f>
        <v>2.31</v>
      </c>
      <c r="I31" s="198">
        <f>Raw!AF33</f>
        <v>0.91407821327683558</v>
      </c>
    </row>
    <row r="32" spans="1:12">
      <c r="A32" s="196">
        <f>Raw!A34</f>
        <v>41444</v>
      </c>
      <c r="B32" s="197" t="str">
        <f>Raw!B34</f>
        <v>SP02</v>
      </c>
      <c r="C32" s="198">
        <f>Raw!F34</f>
        <v>4.5628571428571432</v>
      </c>
      <c r="D32" s="198">
        <f>Raw!R34</f>
        <v>1.2212000000000001</v>
      </c>
      <c r="E32" s="198"/>
      <c r="F32" s="198"/>
      <c r="G32" s="198"/>
      <c r="H32" s="204">
        <f>Raw!F34</f>
        <v>4.5628571428571432</v>
      </c>
      <c r="I32" s="198">
        <f>Raw!AF34</f>
        <v>1.4148022598870051</v>
      </c>
    </row>
    <row r="33" spans="1:9">
      <c r="A33" s="196">
        <f>Raw!A35</f>
        <v>41451</v>
      </c>
      <c r="B33" s="197" t="str">
        <f>Raw!B35</f>
        <v>SP02</v>
      </c>
      <c r="C33" s="198"/>
      <c r="D33" s="198"/>
      <c r="E33" s="198"/>
      <c r="F33" s="198"/>
      <c r="G33" s="198"/>
      <c r="H33" s="204">
        <f>Raw!F35</f>
        <v>3.37</v>
      </c>
      <c r="I33" s="198">
        <f>Raw!AF35</f>
        <v>1.131833333333333</v>
      </c>
    </row>
    <row r="34" spans="1:9">
      <c r="A34" s="196">
        <f>Raw!A36</f>
        <v>41472</v>
      </c>
      <c r="B34" s="197" t="str">
        <f>Raw!B36</f>
        <v>SP02</v>
      </c>
      <c r="C34" s="198">
        <f>Raw!F36</f>
        <v>8.2333333333333343</v>
      </c>
      <c r="D34" s="198">
        <f>Raw!R36</f>
        <v>2.4289000000000001</v>
      </c>
      <c r="E34" s="198"/>
      <c r="F34" s="198"/>
      <c r="G34" s="198"/>
      <c r="H34" s="204">
        <f>Raw!F36</f>
        <v>8.2333333333333343</v>
      </c>
      <c r="I34" s="198">
        <f>Raw!AF36</f>
        <v>2.6386649011299443</v>
      </c>
    </row>
    <row r="35" spans="1:9">
      <c r="A35" s="196">
        <f>Raw!A37</f>
        <v>41479</v>
      </c>
      <c r="B35" s="197" t="str">
        <f>Raw!B37</f>
        <v>SP02</v>
      </c>
      <c r="C35" s="198">
        <f>Raw!F37</f>
        <v>7.9857142857142858</v>
      </c>
      <c r="D35" s="198">
        <f>Raw!R37</f>
        <v>1.8444</v>
      </c>
      <c r="E35" s="198"/>
      <c r="F35" s="198"/>
      <c r="G35" s="198"/>
      <c r="H35" s="204">
        <f>Raw!F37</f>
        <v>7.9857142857142858</v>
      </c>
      <c r="I35" s="198">
        <f>Raw!AF37</f>
        <v>2.2975349576271182</v>
      </c>
    </row>
    <row r="36" spans="1:9">
      <c r="A36" s="196">
        <f>Raw!A38</f>
        <v>41486</v>
      </c>
      <c r="B36" s="197" t="str">
        <f>Raw!B38</f>
        <v>SP02</v>
      </c>
      <c r="C36" s="198">
        <f>Raw!F38</f>
        <v>7.6766666666666685</v>
      </c>
      <c r="D36" s="198">
        <f>Raw!R38</f>
        <v>2.0213999999999999</v>
      </c>
      <c r="E36" s="198"/>
      <c r="F36" s="198"/>
      <c r="G36" s="198"/>
      <c r="H36" s="204">
        <f>Raw!F38</f>
        <v>7.6766666666666685</v>
      </c>
      <c r="I36" s="198">
        <f>Raw!AF38</f>
        <v>2.6738112641242928</v>
      </c>
    </row>
    <row r="37" spans="1:9">
      <c r="A37" s="196">
        <f>Raw!A39</f>
        <v>41493</v>
      </c>
      <c r="B37" s="197" t="str">
        <f>Raw!B39</f>
        <v>SP02</v>
      </c>
      <c r="C37" s="198">
        <f>Raw!F39</f>
        <v>8.8509090909090915</v>
      </c>
      <c r="D37" s="198">
        <f>Raw!R39</f>
        <v>2.1473</v>
      </c>
      <c r="E37" s="198"/>
      <c r="F37" s="198"/>
      <c r="G37" s="198"/>
      <c r="H37" s="204">
        <f>Raw!F39</f>
        <v>8.8509090909090915</v>
      </c>
      <c r="I37" s="198">
        <f>Raw!AF39</f>
        <v>2.0671608403954802</v>
      </c>
    </row>
    <row r="38" spans="1:9">
      <c r="A38" s="196">
        <f>Raw!A40</f>
        <v>41500</v>
      </c>
      <c r="B38" s="197" t="str">
        <f>Raw!B40</f>
        <v>SP02</v>
      </c>
      <c r="C38" s="198">
        <f>Raw!F40</f>
        <v>9.9239999999999995</v>
      </c>
      <c r="D38" s="198">
        <f>Raw!R40</f>
        <v>2.3414999999999999</v>
      </c>
      <c r="E38" s="198"/>
      <c r="F38" s="198"/>
      <c r="G38" s="198"/>
      <c r="H38" s="204">
        <f>Raw!F40</f>
        <v>9.9239999999999995</v>
      </c>
      <c r="I38" s="198">
        <f>Raw!AF40</f>
        <v>2.6075340748587577</v>
      </c>
    </row>
    <row r="39" spans="1:9">
      <c r="A39" s="196">
        <f>Raw!A41</f>
        <v>41507</v>
      </c>
      <c r="B39" s="197" t="str">
        <f>Raw!B41</f>
        <v>SP02</v>
      </c>
      <c r="C39" s="198">
        <f>Raw!F41</f>
        <v>10.976666666666668</v>
      </c>
      <c r="D39" s="198">
        <f>Raw!R41</f>
        <v>2.0465</v>
      </c>
      <c r="E39" s="198"/>
      <c r="F39" s="198"/>
      <c r="G39" s="198"/>
      <c r="H39" s="204">
        <f>Raw!F41</f>
        <v>10.976666666666668</v>
      </c>
      <c r="I39" s="198">
        <f>Raw!AF41</f>
        <v>2.2179193149717511</v>
      </c>
    </row>
    <row r="40" spans="1:9">
      <c r="A40" s="196">
        <f>Raw!A42</f>
        <v>41521</v>
      </c>
      <c r="B40" s="197" t="str">
        <f>Raw!B42</f>
        <v>SP02</v>
      </c>
      <c r="C40" s="198">
        <f>Raw!F42</f>
        <v>6.7240000000000002</v>
      </c>
      <c r="D40" s="198">
        <f>Raw!R42</f>
        <v>2.657</v>
      </c>
      <c r="E40" s="198"/>
      <c r="F40" s="198"/>
      <c r="G40" s="198"/>
      <c r="H40" s="204"/>
      <c r="I40" s="198"/>
    </row>
    <row r="41" spans="1:9">
      <c r="A41" s="196">
        <f>Raw!A43</f>
        <v>41528</v>
      </c>
      <c r="B41" s="197" t="str">
        <f>Raw!B43</f>
        <v>SP02</v>
      </c>
      <c r="C41" s="198">
        <f>Raw!F43</f>
        <v>4.706666666666667</v>
      </c>
      <c r="D41" s="198">
        <f>Raw!R43</f>
        <v>1.3563000000000001</v>
      </c>
      <c r="E41" s="198"/>
      <c r="F41" s="198"/>
      <c r="G41" s="198"/>
      <c r="H41" s="204">
        <f>Raw!F43</f>
        <v>4.706666666666667</v>
      </c>
      <c r="I41" s="198">
        <f>Raw!AF43</f>
        <v>3.0018667019774004</v>
      </c>
    </row>
    <row r="42" spans="1:9">
      <c r="A42" s="196">
        <f>Raw!A44</f>
        <v>41542</v>
      </c>
      <c r="B42" s="197" t="str">
        <f>Raw!B44</f>
        <v>SP02</v>
      </c>
      <c r="C42" s="198">
        <f>Raw!F44</f>
        <v>5.3879999999999999</v>
      </c>
      <c r="D42" s="198">
        <f>Raw!R44</f>
        <v>1.1758999999999999</v>
      </c>
      <c r="E42" s="198"/>
      <c r="F42" s="198"/>
      <c r="G42" s="198"/>
      <c r="H42" s="204">
        <f>Raw!F44</f>
        <v>5.3879999999999999</v>
      </c>
      <c r="I42" s="198">
        <f>Raw!AF44</f>
        <v>1.8449906606710471</v>
      </c>
    </row>
    <row r="43" spans="1:9">
      <c r="A43" s="161"/>
      <c r="B43" s="161"/>
      <c r="C43" s="161"/>
      <c r="D43" s="161"/>
      <c r="I43" s="161"/>
    </row>
    <row r="44" spans="1:9">
      <c r="A44" s="161"/>
      <c r="B44" s="161"/>
      <c r="C44" s="161"/>
      <c r="D44" s="161"/>
      <c r="I44" s="161"/>
    </row>
    <row r="45" spans="1:9">
      <c r="C45">
        <f>COUNT(C5:C42)</f>
        <v>36</v>
      </c>
      <c r="D45" s="161">
        <f>COUNT(D5:D42)</f>
        <v>36</v>
      </c>
    </row>
  </sheetData>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87"/>
  <sheetViews>
    <sheetView topLeftCell="A23" workbookViewId="0">
      <selection activeCell="E3" sqref="E3"/>
    </sheetView>
  </sheetViews>
  <sheetFormatPr defaultRowHeight="13.2"/>
  <cols>
    <col min="1" max="1" width="9" customWidth="1"/>
    <col min="2" max="2" width="7.6640625" bestFit="1" customWidth="1"/>
    <col min="3" max="3" width="12.44140625" bestFit="1" customWidth="1"/>
    <col min="4" max="4" width="10.109375" bestFit="1" customWidth="1"/>
    <col min="5" max="5" width="10.109375" customWidth="1"/>
    <col min="6" max="6" width="9.44140625" customWidth="1"/>
    <col min="7" max="7" width="12.5546875" customWidth="1"/>
    <col min="8" max="11" width="9.44140625" customWidth="1"/>
    <col min="12" max="12" width="10.109375" customWidth="1"/>
    <col min="13" max="21" width="9.44140625" customWidth="1"/>
    <col min="22" max="22" width="7.44140625" customWidth="1"/>
    <col min="23" max="45" width="9.44140625" customWidth="1"/>
  </cols>
  <sheetData>
    <row r="1" spans="1:21" ht="33.6" customHeight="1">
      <c r="A1" s="379" t="s">
        <v>56</v>
      </c>
      <c r="B1" s="379"/>
      <c r="C1" s="143">
        <v>1</v>
      </c>
      <c r="D1" s="143">
        <v>7</v>
      </c>
      <c r="E1" s="143">
        <v>1</v>
      </c>
    </row>
    <row r="2" spans="1:21" ht="22.5" customHeight="1">
      <c r="A2" s="97" t="s">
        <v>53</v>
      </c>
      <c r="B2" s="97" t="s">
        <v>2</v>
      </c>
      <c r="C2" s="141" t="s">
        <v>168</v>
      </c>
      <c r="D2" s="141" t="s">
        <v>167</v>
      </c>
      <c r="E2" s="141" t="s">
        <v>90</v>
      </c>
      <c r="T2" s="108"/>
      <c r="U2" s="108"/>
    </row>
    <row r="3" spans="1:21" ht="12.75" customHeight="1">
      <c r="A3" s="5" t="s">
        <v>11</v>
      </c>
      <c r="B3" s="2">
        <v>41381</v>
      </c>
      <c r="C3" s="3">
        <f t="array" aca="1" ref="C3:C42" ca="1">INDIRECT(C2)*C1</f>
        <v>-59.776028483204591</v>
      </c>
      <c r="D3" s="101">
        <f t="array" ref="D3:D42" ca="1">INDIRECT(D2)*D1</f>
        <v>2495.917886710024</v>
      </c>
      <c r="E3" s="104">
        <f t="array" aca="1" ref="E3:E42" ca="1">INDIRECT(E2)*E1</f>
        <v>23.171923234463275</v>
      </c>
      <c r="F3" s="7"/>
      <c r="G3" s="7"/>
    </row>
    <row r="4" spans="1:21">
      <c r="A4" s="5" t="s">
        <v>11</v>
      </c>
      <c r="B4" s="2">
        <v>41388</v>
      </c>
      <c r="C4" s="3">
        <f ca="1"/>
        <v>-70.209809727110397</v>
      </c>
      <c r="D4" s="101">
        <f ca="1"/>
        <v>1772.9692707102838</v>
      </c>
      <c r="E4" s="104">
        <f ca="1"/>
        <v>21.649027454096039</v>
      </c>
    </row>
    <row r="5" spans="1:21">
      <c r="A5" s="5" t="s">
        <v>11</v>
      </c>
      <c r="B5" s="2">
        <v>41395</v>
      </c>
      <c r="C5" s="3">
        <f ca="1"/>
        <v>-64.511912806356122</v>
      </c>
      <c r="D5" s="101">
        <f ca="1"/>
        <v>878.76941135058576</v>
      </c>
      <c r="E5" s="104">
        <f ca="1"/>
        <v>23.099892266949158</v>
      </c>
    </row>
    <row r="6" spans="1:21">
      <c r="A6" s="5" t="s">
        <v>11</v>
      </c>
      <c r="B6" s="2">
        <v>41403</v>
      </c>
      <c r="C6" s="3">
        <f ca="1"/>
        <v>-62.580037198323453</v>
      </c>
      <c r="D6" s="101">
        <f ca="1"/>
        <v>3684.6911801963515</v>
      </c>
      <c r="E6" s="104">
        <f ca="1"/>
        <v>23.421039153898647</v>
      </c>
    </row>
    <row r="7" spans="1:21">
      <c r="A7" s="5" t="s">
        <v>11</v>
      </c>
      <c r="B7" s="2">
        <v>41409</v>
      </c>
      <c r="C7" s="3">
        <f ca="1"/>
        <v>-67.342688845318108</v>
      </c>
      <c r="D7" s="101">
        <f ca="1"/>
        <v>3963.0185304862453</v>
      </c>
      <c r="E7" s="104">
        <f ca="1"/>
        <v>24.002721816311134</v>
      </c>
    </row>
    <row r="8" spans="1:21">
      <c r="A8" s="5" t="s">
        <v>11</v>
      </c>
      <c r="B8" s="2">
        <v>41416</v>
      </c>
      <c r="C8" s="3">
        <f ca="1"/>
        <v>-80.627530782664991</v>
      </c>
      <c r="D8" s="101">
        <f ca="1"/>
        <v>2582.7180908501628</v>
      </c>
      <c r="E8" s="104">
        <f ca="1"/>
        <v>27.48360989991534</v>
      </c>
    </row>
    <row r="9" spans="1:21">
      <c r="A9" s="5" t="s">
        <v>11</v>
      </c>
      <c r="B9" s="2">
        <v>41423</v>
      </c>
      <c r="C9" s="3">
        <f ca="1"/>
        <v>-68.852019225904698</v>
      </c>
      <c r="D9" s="101">
        <f ca="1"/>
        <v>3335.8725148896324</v>
      </c>
      <c r="E9" s="104">
        <f ca="1"/>
        <v>26.792171592514126</v>
      </c>
    </row>
    <row r="10" spans="1:21" ht="13.2" customHeight="1">
      <c r="A10" s="5" t="s">
        <v>11</v>
      </c>
      <c r="B10" s="98">
        <v>41430</v>
      </c>
      <c r="C10" s="100">
        <f ca="1"/>
        <v>-74.957431181444505</v>
      </c>
      <c r="D10" s="102">
        <f ca="1"/>
        <v>3737.1826678675452</v>
      </c>
      <c r="E10" s="105">
        <f ca="1"/>
        <v>28.686640453444195</v>
      </c>
    </row>
    <row r="11" spans="1:21">
      <c r="A11" s="5" t="s">
        <v>11</v>
      </c>
      <c r="B11" s="98">
        <v>41437</v>
      </c>
      <c r="C11" s="100">
        <f ca="1"/>
        <v>-84.825103738002866</v>
      </c>
      <c r="D11" s="102">
        <f ca="1"/>
        <v>3280.0642828031755</v>
      </c>
      <c r="E11" s="105">
        <f ca="1"/>
        <v>29.21309856233049</v>
      </c>
    </row>
    <row r="12" spans="1:21">
      <c r="A12" s="5" t="s">
        <v>11</v>
      </c>
      <c r="B12" s="98">
        <v>41444</v>
      </c>
      <c r="C12" s="100">
        <f ca="1"/>
        <v>-63.944195343121322</v>
      </c>
      <c r="D12" s="102">
        <f ca="1"/>
        <v>3140.6869114255824</v>
      </c>
      <c r="E12" s="105">
        <f ca="1"/>
        <v>29.419344773002095</v>
      </c>
    </row>
    <row r="13" spans="1:21">
      <c r="A13" s="5" t="s">
        <v>11</v>
      </c>
      <c r="B13" s="98">
        <v>41451</v>
      </c>
      <c r="C13" s="100">
        <f ca="1"/>
        <v>-62.261866009018902</v>
      </c>
      <c r="D13" s="102">
        <f ca="1"/>
        <v>2317.7396150907853</v>
      </c>
      <c r="E13" s="105">
        <f ca="1"/>
        <v>30.120457564489616</v>
      </c>
    </row>
    <row r="14" spans="1:21">
      <c r="A14" s="5" t="s">
        <v>11</v>
      </c>
      <c r="B14" s="98">
        <v>41472</v>
      </c>
      <c r="C14" s="100">
        <f ca="1"/>
        <v>-76.466076351851768</v>
      </c>
      <c r="D14" s="102">
        <f ca="1"/>
        <v>3539.3430803533333</v>
      </c>
      <c r="E14" s="105">
        <f ca="1"/>
        <v>29.437872960179437</v>
      </c>
    </row>
    <row r="15" spans="1:21" ht="12.75" customHeight="1">
      <c r="A15" s="5" t="s">
        <v>11</v>
      </c>
      <c r="B15" s="98">
        <v>41479</v>
      </c>
      <c r="C15" s="100">
        <f ca="1"/>
        <v>-80.158953118916287</v>
      </c>
      <c r="D15" s="102">
        <f ca="1"/>
        <v>1460.6278673514785</v>
      </c>
      <c r="E15" s="105">
        <f ca="1"/>
        <v>28.668427736581915</v>
      </c>
    </row>
    <row r="16" spans="1:21">
      <c r="A16" s="5" t="s">
        <v>11</v>
      </c>
      <c r="B16" s="98">
        <v>41486</v>
      </c>
      <c r="C16" s="100">
        <f ca="1"/>
        <v>-83.829009754978955</v>
      </c>
      <c r="D16" s="102">
        <f ca="1"/>
        <v>1688.2012671551747</v>
      </c>
      <c r="E16" s="105">
        <f ca="1"/>
        <v>30.107479625706219</v>
      </c>
    </row>
    <row r="17" spans="1:5" ht="13.2" customHeight="1">
      <c r="A17" s="5" t="s">
        <v>11</v>
      </c>
      <c r="B17" s="2">
        <v>41493</v>
      </c>
      <c r="C17" s="3">
        <f ca="1"/>
        <v>-65.53517035816067</v>
      </c>
      <c r="D17" s="101">
        <f ca="1"/>
        <v>3455.035512107168</v>
      </c>
      <c r="E17" s="104">
        <f ca="1"/>
        <v>31.853659604519773</v>
      </c>
    </row>
    <row r="18" spans="1:5">
      <c r="A18" s="5" t="s">
        <v>11</v>
      </c>
      <c r="B18" s="2">
        <v>41500</v>
      </c>
      <c r="C18" s="3">
        <f ca="1"/>
        <v>-90.188733006038774</v>
      </c>
      <c r="D18" s="101">
        <f ca="1"/>
        <v>2168.0130088862393</v>
      </c>
      <c r="E18" s="104">
        <f ca="1"/>
        <v>30.255830632062146</v>
      </c>
    </row>
    <row r="19" spans="1:5">
      <c r="A19" s="5" t="s">
        <v>11</v>
      </c>
      <c r="B19" s="2">
        <v>41507</v>
      </c>
      <c r="C19" s="3">
        <f ca="1"/>
        <v>-77.155391695277601</v>
      </c>
      <c r="D19" s="101">
        <f ca="1"/>
        <v>3258.53742811347</v>
      </c>
      <c r="E19" s="104">
        <f ca="1"/>
        <v>28.817751032012751</v>
      </c>
    </row>
    <row r="20" spans="1:5">
      <c r="A20" s="5" t="s">
        <v>11</v>
      </c>
      <c r="B20" s="2">
        <v>41521</v>
      </c>
      <c r="C20" s="3">
        <f ca="1"/>
        <v>-49.72928244165341</v>
      </c>
      <c r="D20" s="101">
        <f ca="1"/>
        <v>3064.6346269465093</v>
      </c>
      <c r="E20" s="104">
        <f ca="1"/>
        <v>30.405850729899509</v>
      </c>
    </row>
    <row r="21" spans="1:5">
      <c r="A21" s="5" t="s">
        <v>11</v>
      </c>
      <c r="B21" s="2">
        <v>41528</v>
      </c>
      <c r="C21" s="3">
        <f ca="1"/>
        <v>-92.601081498586581</v>
      </c>
      <c r="D21" s="101">
        <f ca="1"/>
        <v>3013.2854787680467</v>
      </c>
      <c r="E21" s="104">
        <f ca="1"/>
        <v>30.087987344540903</v>
      </c>
    </row>
    <row r="22" spans="1:5">
      <c r="A22" s="5" t="s">
        <v>11</v>
      </c>
      <c r="B22" s="2">
        <v>41542</v>
      </c>
      <c r="C22" s="3">
        <f ca="1"/>
        <v>-56.80497545811361</v>
      </c>
      <c r="D22" s="101">
        <f ca="1"/>
        <v>3119.158826473179</v>
      </c>
      <c r="E22" s="104">
        <f ca="1"/>
        <v>28.22399304048389</v>
      </c>
    </row>
    <row r="23" spans="1:5">
      <c r="A23" s="107" t="s">
        <v>12</v>
      </c>
      <c r="B23" s="99">
        <v>41381</v>
      </c>
      <c r="C23" s="10" t="e">
        <f ca="1"/>
        <v>#N/A</v>
      </c>
      <c r="D23" s="103" t="e">
        <f ca="1"/>
        <v>#N/A</v>
      </c>
      <c r="E23" s="106">
        <f ca="1"/>
        <v>22.751019738700553</v>
      </c>
    </row>
    <row r="24" spans="1:5">
      <c r="A24" s="107" t="s">
        <v>12</v>
      </c>
      <c r="B24" s="99">
        <v>41388</v>
      </c>
      <c r="C24" s="10" t="e">
        <f ca="1"/>
        <v>#N/A</v>
      </c>
      <c r="D24" s="103" t="e">
        <f ca="1"/>
        <v>#N/A</v>
      </c>
      <c r="E24" s="106">
        <f ca="1"/>
        <v>21.620579590395483</v>
      </c>
    </row>
    <row r="25" spans="1:5" ht="13.2" customHeight="1">
      <c r="A25" s="107" t="s">
        <v>12</v>
      </c>
      <c r="B25" s="99">
        <v>41395</v>
      </c>
      <c r="C25" s="10" t="e">
        <f ca="1"/>
        <v>#N/A</v>
      </c>
      <c r="D25" s="103" t="e">
        <f ca="1"/>
        <v>#N/A</v>
      </c>
      <c r="E25" s="106">
        <f ca="1"/>
        <v>23.137908898305085</v>
      </c>
    </row>
    <row r="26" spans="1:5" ht="15" customHeight="1">
      <c r="A26" s="107" t="s">
        <v>12</v>
      </c>
      <c r="B26" s="99">
        <v>41403</v>
      </c>
      <c r="C26" s="10" t="e">
        <f ca="1"/>
        <v>#N/A</v>
      </c>
      <c r="D26" s="103" t="e">
        <f ca="1"/>
        <v>#N/A</v>
      </c>
      <c r="E26" s="106">
        <f ca="1"/>
        <v>22.689996027542367</v>
      </c>
    </row>
    <row r="27" spans="1:5" ht="12.6" customHeight="1">
      <c r="A27" s="107" t="s">
        <v>12</v>
      </c>
      <c r="B27" s="99">
        <v>41409</v>
      </c>
      <c r="C27" s="10" t="e">
        <f ca="1"/>
        <v>#N/A</v>
      </c>
      <c r="D27" s="103" t="e">
        <f ca="1"/>
        <v>#N/A</v>
      </c>
      <c r="E27" s="106">
        <f ca="1"/>
        <v>23.448145409604518</v>
      </c>
    </row>
    <row r="28" spans="1:5">
      <c r="A28" s="107" t="s">
        <v>12</v>
      </c>
      <c r="B28" s="99">
        <v>41416</v>
      </c>
      <c r="C28" s="10" t="e">
        <f ca="1"/>
        <v>#N/A</v>
      </c>
      <c r="D28" s="103" t="e">
        <f ca="1"/>
        <v>#N/A</v>
      </c>
      <c r="E28" s="106">
        <f ca="1"/>
        <v>27.026956267655365</v>
      </c>
    </row>
    <row r="29" spans="1:5">
      <c r="A29" s="107" t="s">
        <v>12</v>
      </c>
      <c r="B29" s="99">
        <v>41423</v>
      </c>
      <c r="C29" s="10" t="e">
        <f ca="1"/>
        <v>#N/A</v>
      </c>
      <c r="D29" s="103" t="e">
        <f ca="1"/>
        <v>#N/A</v>
      </c>
      <c r="E29" s="106">
        <f ca="1"/>
        <v>26.497540960451971</v>
      </c>
    </row>
    <row r="30" spans="1:5">
      <c r="A30" s="107" t="s">
        <v>12</v>
      </c>
      <c r="B30" s="99">
        <v>41430</v>
      </c>
      <c r="C30" s="10" t="e">
        <f ca="1"/>
        <v>#N/A</v>
      </c>
      <c r="D30" s="103" t="e">
        <f ca="1"/>
        <v>#N/A</v>
      </c>
      <c r="E30" s="106">
        <f ca="1"/>
        <v>28.609664724576266</v>
      </c>
    </row>
    <row r="31" spans="1:5" ht="13.2" customHeight="1">
      <c r="A31" s="107" t="s">
        <v>12</v>
      </c>
      <c r="B31" s="99">
        <v>41437</v>
      </c>
      <c r="C31" s="10" t="e">
        <f ca="1"/>
        <v>#N/A</v>
      </c>
      <c r="D31" s="103" t="e">
        <f ca="1"/>
        <v>#N/A</v>
      </c>
      <c r="E31" s="106">
        <f ca="1"/>
        <v>28.91715790960453</v>
      </c>
    </row>
    <row r="32" spans="1:5" ht="13.2" customHeight="1">
      <c r="A32" s="107" t="s">
        <v>12</v>
      </c>
      <c r="B32" s="99">
        <v>41444</v>
      </c>
      <c r="C32" s="10" t="e">
        <f ca="1"/>
        <v>#N/A</v>
      </c>
      <c r="D32" s="103" t="e">
        <f ca="1"/>
        <v>#N/A</v>
      </c>
      <c r="E32" s="106">
        <f ca="1"/>
        <v>29.262782874293787</v>
      </c>
    </row>
    <row r="33" spans="1:27" ht="13.2" customHeight="1">
      <c r="A33" s="107" t="s">
        <v>12</v>
      </c>
      <c r="B33" s="99">
        <v>41451</v>
      </c>
      <c r="C33" s="10" t="e">
        <f ca="1"/>
        <v>#N/A</v>
      </c>
      <c r="D33" s="103" t="e">
        <f ca="1"/>
        <v>#N/A</v>
      </c>
      <c r="E33" s="106">
        <f ca="1"/>
        <v>30.118736882062151</v>
      </c>
    </row>
    <row r="34" spans="1:27" ht="13.2" customHeight="1">
      <c r="A34" s="107" t="s">
        <v>12</v>
      </c>
      <c r="B34" s="99">
        <v>41472</v>
      </c>
      <c r="C34" s="10" t="e">
        <f ca="1"/>
        <v>#N/A</v>
      </c>
      <c r="D34" s="103" t="e">
        <f ca="1"/>
        <v>#N/A</v>
      </c>
      <c r="E34" s="106">
        <f ca="1"/>
        <v>29.174818273305089</v>
      </c>
    </row>
    <row r="35" spans="1:27" ht="13.2" customHeight="1">
      <c r="A35" s="107" t="s">
        <v>12</v>
      </c>
      <c r="B35" s="99">
        <v>41479</v>
      </c>
      <c r="C35" s="10" t="e">
        <f ca="1"/>
        <v>#N/A</v>
      </c>
      <c r="D35" s="103" t="e">
        <f ca="1"/>
        <v>#N/A</v>
      </c>
      <c r="E35" s="106">
        <f ca="1"/>
        <v>28.669546557203393</v>
      </c>
    </row>
    <row r="36" spans="1:27" ht="13.2" customHeight="1">
      <c r="A36" s="107" t="s">
        <v>12</v>
      </c>
      <c r="B36" s="99">
        <v>41486</v>
      </c>
      <c r="C36" s="10" t="e">
        <f ca="1"/>
        <v>#N/A</v>
      </c>
      <c r="D36" s="103" t="e">
        <f ca="1"/>
        <v>#N/A</v>
      </c>
      <c r="E36" s="106">
        <f ca="1"/>
        <v>30.199753495762707</v>
      </c>
      <c r="R36" s="157"/>
      <c r="T36" s="157"/>
      <c r="U36" s="157"/>
      <c r="V36" s="157"/>
      <c r="W36" s="157"/>
      <c r="X36" s="157"/>
      <c r="Y36" s="157"/>
      <c r="Z36" s="157"/>
      <c r="AA36" s="157"/>
    </row>
    <row r="37" spans="1:27" ht="13.2" customHeight="1">
      <c r="A37" s="107" t="s">
        <v>12</v>
      </c>
      <c r="B37" s="99">
        <v>41493</v>
      </c>
      <c r="C37" s="10" t="e">
        <f ca="1"/>
        <v>#N/A</v>
      </c>
      <c r="D37" s="103" t="e">
        <f ca="1"/>
        <v>#N/A</v>
      </c>
      <c r="E37" s="106">
        <f ca="1"/>
        <v>31.485812252824857</v>
      </c>
      <c r="R37" s="157"/>
      <c r="T37" s="157"/>
      <c r="U37" s="157"/>
      <c r="V37" s="157"/>
      <c r="W37" s="157"/>
      <c r="X37" s="157"/>
      <c r="Y37" s="157"/>
      <c r="Z37" s="157"/>
      <c r="AA37" s="157"/>
    </row>
    <row r="38" spans="1:27">
      <c r="A38" s="107" t="s">
        <v>12</v>
      </c>
      <c r="B38" s="99">
        <v>41500</v>
      </c>
      <c r="C38" s="10" t="e">
        <f ca="1"/>
        <v>#N/A</v>
      </c>
      <c r="D38" s="103" t="e">
        <f ca="1"/>
        <v>#N/A</v>
      </c>
      <c r="E38" s="106">
        <f ca="1"/>
        <v>29.978338294491522</v>
      </c>
      <c r="R38" s="157"/>
      <c r="T38" s="157"/>
      <c r="U38" s="157"/>
      <c r="V38" s="157"/>
      <c r="W38" s="157"/>
      <c r="X38" s="157"/>
      <c r="Y38" s="157"/>
      <c r="Z38" s="157"/>
      <c r="AA38" s="157"/>
    </row>
    <row r="39" spans="1:27" ht="12.6" customHeight="1">
      <c r="A39" s="107" t="s">
        <v>12</v>
      </c>
      <c r="B39" s="99">
        <v>41507</v>
      </c>
      <c r="C39" s="10" t="e">
        <f ca="1"/>
        <v>#N/A</v>
      </c>
      <c r="D39" s="103" t="e">
        <f ca="1"/>
        <v>#N/A</v>
      </c>
      <c r="E39" s="106">
        <f ca="1"/>
        <v>28.639444120762722</v>
      </c>
      <c r="R39" s="157"/>
    </row>
    <row r="40" spans="1:27" ht="12.6" customHeight="1">
      <c r="A40" s="107" t="s">
        <v>12</v>
      </c>
      <c r="B40" s="99">
        <v>41521</v>
      </c>
      <c r="C40" s="10" t="e">
        <f ca="1"/>
        <v>#N/A</v>
      </c>
      <c r="D40" s="103" t="e">
        <f ca="1"/>
        <v>#N/A</v>
      </c>
      <c r="E40" s="106">
        <f ca="1"/>
        <v>30.002858598386368</v>
      </c>
      <c r="R40" s="157"/>
    </row>
    <row r="41" spans="1:27">
      <c r="A41" s="107" t="s">
        <v>12</v>
      </c>
      <c r="B41" s="99">
        <v>41528</v>
      </c>
      <c r="C41" s="10" t="e">
        <f ca="1"/>
        <v>#N/A</v>
      </c>
      <c r="D41" s="103" t="e">
        <f ca="1"/>
        <v>#N/A</v>
      </c>
      <c r="E41" s="106">
        <f ca="1"/>
        <v>29.773425017655367</v>
      </c>
      <c r="R41" s="157"/>
    </row>
    <row r="42" spans="1:27">
      <c r="A42" s="107" t="s">
        <v>12</v>
      </c>
      <c r="B42" s="99">
        <v>41542</v>
      </c>
      <c r="C42" s="10" t="e">
        <f ca="1"/>
        <v>#N/A</v>
      </c>
      <c r="D42" s="103" t="e">
        <f ca="1"/>
        <v>#N/A</v>
      </c>
      <c r="E42" s="106">
        <f ca="1"/>
        <v>28.029073313732276</v>
      </c>
      <c r="R42" s="157"/>
    </row>
    <row r="43" spans="1:27">
      <c r="R43" s="157"/>
    </row>
    <row r="44" spans="1:27">
      <c r="R44" s="157"/>
    </row>
    <row r="45" spans="1:27">
      <c r="A45" t="s">
        <v>57</v>
      </c>
      <c r="D45" t="s">
        <v>58</v>
      </c>
      <c r="E45" t="s">
        <v>59</v>
      </c>
      <c r="R45" s="157"/>
    </row>
    <row r="46" spans="1:27">
      <c r="A46" t="s">
        <v>11</v>
      </c>
      <c r="D46">
        <f t="array" aca="1" ref="D46" ca="1">STDEV(D3:D22,C3)/STDEV(C3:C22)</f>
        <v>89.937847464393272</v>
      </c>
      <c r="R46" s="157"/>
    </row>
    <row r="47" spans="1:27">
      <c r="A47" t="s">
        <v>12</v>
      </c>
      <c r="R47" s="157"/>
    </row>
    <row r="48" spans="1:27">
      <c r="A48" t="s">
        <v>60</v>
      </c>
      <c r="D48" s="103"/>
      <c r="E48" s="106"/>
      <c r="R48" s="157"/>
    </row>
    <row r="49" spans="1:18">
      <c r="A49" t="s">
        <v>61</v>
      </c>
      <c r="R49" s="157"/>
    </row>
    <row r="50" spans="1:18">
      <c r="A50" t="s">
        <v>62</v>
      </c>
      <c r="R50" s="157"/>
    </row>
    <row r="51" spans="1:18">
      <c r="R51" s="157"/>
    </row>
    <row r="52" spans="1:18">
      <c r="R52" s="157"/>
    </row>
    <row r="53" spans="1:18" ht="12.6" customHeight="1">
      <c r="R53" s="157"/>
    </row>
    <row r="65" ht="13.2" customHeight="1"/>
    <row r="202" spans="2:5">
      <c r="B202" s="7"/>
      <c r="C202" s="4"/>
      <c r="D202" s="4"/>
      <c r="E202" s="4"/>
    </row>
    <row r="203" spans="2:5">
      <c r="B203" s="7"/>
      <c r="C203" s="4"/>
      <c r="D203" s="4"/>
      <c r="E203" s="4"/>
    </row>
    <row r="204" spans="2:5">
      <c r="B204" s="7"/>
      <c r="C204" s="4"/>
      <c r="D204" s="4"/>
      <c r="E204" s="4"/>
    </row>
    <row r="205" spans="2:5">
      <c r="B205" s="7"/>
      <c r="C205" s="4"/>
      <c r="D205" s="4"/>
      <c r="E205" s="4"/>
    </row>
    <row r="206" spans="2:5">
      <c r="B206" s="7"/>
      <c r="C206" s="4"/>
      <c r="D206" s="4"/>
      <c r="E206" s="4"/>
    </row>
    <row r="207" spans="2:5">
      <c r="B207" s="7"/>
      <c r="C207" s="4"/>
      <c r="D207" s="4"/>
      <c r="E207" s="4"/>
    </row>
    <row r="208" spans="2:5">
      <c r="B208" s="7"/>
      <c r="C208" s="4"/>
      <c r="D208" s="4"/>
      <c r="E208" s="4"/>
    </row>
    <row r="209" spans="1:5">
      <c r="B209" s="7"/>
      <c r="C209" s="4"/>
      <c r="D209" s="4"/>
      <c r="E209" s="4"/>
    </row>
    <row r="210" spans="1:5">
      <c r="A210" s="9"/>
      <c r="B210" s="11"/>
      <c r="C210" s="12"/>
      <c r="D210" s="12"/>
      <c r="E210" s="12"/>
    </row>
    <row r="211" spans="1:5">
      <c r="A211" s="9"/>
      <c r="B211" s="11"/>
      <c r="C211" s="12"/>
      <c r="D211" s="12"/>
      <c r="E211" s="12"/>
    </row>
    <row r="212" spans="1:5">
      <c r="A212" s="9"/>
      <c r="B212" s="11"/>
      <c r="C212" s="12"/>
      <c r="D212" s="12"/>
      <c r="E212" s="12"/>
    </row>
    <row r="213" spans="1:5">
      <c r="A213" s="9"/>
      <c r="B213" s="11"/>
      <c r="C213" s="12"/>
      <c r="D213" s="12"/>
      <c r="E213" s="12"/>
    </row>
    <row r="214" spans="1:5">
      <c r="A214" s="9"/>
      <c r="B214" s="11"/>
      <c r="C214" s="12"/>
      <c r="D214" s="12"/>
      <c r="E214" s="12"/>
    </row>
    <row r="215" spans="1:5">
      <c r="A215" s="9"/>
      <c r="B215" s="11"/>
      <c r="C215" s="12"/>
      <c r="D215" s="12"/>
      <c r="E215" s="12"/>
    </row>
    <row r="216" spans="1:5">
      <c r="A216" s="9"/>
      <c r="B216" s="11"/>
      <c r="C216" s="12"/>
      <c r="D216" s="12"/>
      <c r="E216" s="12"/>
    </row>
    <row r="217" spans="1:5">
      <c r="A217" s="9"/>
      <c r="B217" s="11"/>
      <c r="C217" s="12"/>
      <c r="D217" s="12"/>
      <c r="E217" s="12"/>
    </row>
    <row r="218" spans="1:5">
      <c r="A218" s="9"/>
      <c r="B218" s="11"/>
      <c r="C218" s="12"/>
      <c r="D218" s="12"/>
      <c r="E218" s="12"/>
    </row>
    <row r="219" spans="1:5">
      <c r="A219" s="9"/>
      <c r="B219" s="11"/>
      <c r="C219" s="12"/>
      <c r="D219" s="12"/>
      <c r="E219" s="12"/>
    </row>
    <row r="220" spans="1:5">
      <c r="A220" s="9"/>
      <c r="B220" s="11"/>
      <c r="C220" s="12"/>
      <c r="D220" s="12"/>
      <c r="E220" s="12"/>
    </row>
    <row r="221" spans="1:5">
      <c r="A221" s="9"/>
      <c r="B221" s="11"/>
      <c r="C221" s="12"/>
      <c r="D221" s="12"/>
      <c r="E221" s="12"/>
    </row>
    <row r="222" spans="1:5">
      <c r="B222" s="7"/>
      <c r="C222" s="4"/>
      <c r="D222" s="4"/>
      <c r="E222" s="4"/>
    </row>
    <row r="223" spans="1:5">
      <c r="B223" s="7"/>
      <c r="C223" s="4"/>
      <c r="D223" s="4"/>
      <c r="E223" s="4"/>
    </row>
    <row r="224" spans="1:5">
      <c r="B224" s="7"/>
      <c r="C224" s="4"/>
      <c r="D224" s="4"/>
      <c r="E224" s="4"/>
    </row>
    <row r="225" spans="1:5">
      <c r="B225" s="7"/>
      <c r="C225" s="4"/>
      <c r="D225" s="4"/>
      <c r="E225" s="4"/>
    </row>
    <row r="226" spans="1:5">
      <c r="B226" s="7"/>
      <c r="C226" s="4"/>
      <c r="D226" s="4"/>
      <c r="E226" s="4"/>
    </row>
    <row r="227" spans="1:5">
      <c r="B227" s="7"/>
      <c r="C227" s="4"/>
      <c r="D227" s="4"/>
      <c r="E227" s="4"/>
    </row>
    <row r="228" spans="1:5">
      <c r="B228" s="7"/>
      <c r="C228" s="4"/>
      <c r="D228" s="4"/>
      <c r="E228" s="4"/>
    </row>
    <row r="229" spans="1:5">
      <c r="B229" s="7"/>
      <c r="C229" s="4"/>
      <c r="D229" s="4"/>
      <c r="E229" s="4"/>
    </row>
    <row r="230" spans="1:5">
      <c r="B230" s="7"/>
      <c r="C230" s="4"/>
      <c r="D230" s="4"/>
      <c r="E230" s="4"/>
    </row>
    <row r="231" spans="1:5">
      <c r="B231" s="7"/>
      <c r="C231" s="4"/>
      <c r="D231" s="4"/>
      <c r="E231" s="4"/>
    </row>
    <row r="232" spans="1:5">
      <c r="B232" s="7"/>
      <c r="C232" s="4"/>
      <c r="D232" s="4"/>
      <c r="E232" s="4"/>
    </row>
    <row r="233" spans="1:5">
      <c r="B233" s="7"/>
      <c r="C233" s="4"/>
      <c r="D233" s="4"/>
      <c r="E233" s="4"/>
    </row>
    <row r="234" spans="1:5">
      <c r="A234" s="9"/>
      <c r="B234" s="11"/>
      <c r="C234" s="12"/>
      <c r="D234" s="12"/>
      <c r="E234" s="12"/>
    </row>
    <row r="235" spans="1:5">
      <c r="A235" s="9"/>
      <c r="B235" s="11"/>
      <c r="C235" s="12"/>
      <c r="D235" s="12"/>
      <c r="E235" s="12"/>
    </row>
    <row r="236" spans="1:5">
      <c r="A236" s="9"/>
      <c r="B236" s="11"/>
      <c r="C236" s="12"/>
      <c r="D236" s="12"/>
      <c r="E236" s="12"/>
    </row>
    <row r="237" spans="1:5">
      <c r="A237" s="9"/>
      <c r="B237" s="11"/>
      <c r="C237" s="12"/>
      <c r="D237" s="12"/>
      <c r="E237" s="12"/>
    </row>
    <row r="238" spans="1:5">
      <c r="A238" s="9"/>
      <c r="B238" s="11"/>
      <c r="C238" s="12"/>
      <c r="D238" s="12"/>
      <c r="E238" s="12"/>
    </row>
    <row r="239" spans="1:5">
      <c r="A239" s="9"/>
      <c r="B239" s="11"/>
      <c r="C239" s="12"/>
      <c r="D239" s="12"/>
      <c r="E239" s="12"/>
    </row>
    <row r="240" spans="1:5">
      <c r="A240" s="9"/>
      <c r="B240" s="11"/>
      <c r="C240" s="12"/>
      <c r="D240" s="12"/>
      <c r="E240" s="12"/>
    </row>
    <row r="241" spans="1:5">
      <c r="A241" s="9"/>
      <c r="B241" s="11"/>
      <c r="C241" s="12"/>
      <c r="D241" s="12"/>
      <c r="E241" s="12"/>
    </row>
    <row r="242" spans="1:5">
      <c r="A242" s="9"/>
      <c r="B242" s="11"/>
      <c r="C242" s="12"/>
      <c r="D242" s="12"/>
      <c r="E242" s="12"/>
    </row>
    <row r="243" spans="1:5">
      <c r="A243" s="9"/>
      <c r="B243" s="11"/>
      <c r="C243" s="12"/>
      <c r="D243" s="12"/>
      <c r="E243" s="12"/>
    </row>
    <row r="244" spans="1:5">
      <c r="A244" s="9"/>
      <c r="B244" s="11"/>
      <c r="C244" s="12"/>
      <c r="D244" s="12"/>
      <c r="E244" s="12"/>
    </row>
    <row r="245" spans="1:5">
      <c r="A245" s="9"/>
      <c r="B245" s="11"/>
      <c r="C245" s="12"/>
      <c r="D245" s="12"/>
      <c r="E245" s="12"/>
    </row>
    <row r="246" spans="1:5">
      <c r="B246" s="7"/>
      <c r="C246" s="4"/>
      <c r="D246" s="4"/>
      <c r="E246" s="4"/>
    </row>
    <row r="247" spans="1:5">
      <c r="B247" s="7"/>
      <c r="C247" s="4"/>
      <c r="D247" s="4"/>
      <c r="E247" s="4"/>
    </row>
    <row r="248" spans="1:5">
      <c r="B248" s="7"/>
      <c r="C248" s="4"/>
      <c r="D248" s="4"/>
      <c r="E248" s="4"/>
    </row>
    <row r="249" spans="1:5">
      <c r="B249" s="7"/>
      <c r="C249" s="4"/>
      <c r="D249" s="4"/>
      <c r="E249" s="4"/>
    </row>
    <row r="250" spans="1:5">
      <c r="B250" s="7"/>
      <c r="C250" s="4"/>
      <c r="D250" s="4"/>
      <c r="E250" s="4"/>
    </row>
    <row r="251" spans="1:5">
      <c r="B251" s="7"/>
      <c r="C251" s="4"/>
      <c r="D251" s="4"/>
      <c r="E251" s="4"/>
    </row>
    <row r="252" spans="1:5">
      <c r="B252" s="7"/>
      <c r="C252" s="4"/>
      <c r="D252" s="4"/>
      <c r="E252" s="4"/>
    </row>
    <row r="253" spans="1:5">
      <c r="B253" s="7"/>
      <c r="C253" s="4"/>
      <c r="D253" s="4"/>
      <c r="E253" s="4"/>
    </row>
    <row r="254" spans="1:5">
      <c r="B254" s="7"/>
      <c r="C254" s="4"/>
      <c r="D254" s="4"/>
      <c r="E254" s="4"/>
    </row>
    <row r="255" spans="1:5">
      <c r="B255" s="7"/>
      <c r="C255" s="4"/>
      <c r="D255" s="4"/>
      <c r="E255" s="4"/>
    </row>
    <row r="256" spans="1:5">
      <c r="B256" s="7"/>
      <c r="C256" s="4"/>
      <c r="D256" s="4"/>
      <c r="E256" s="4"/>
    </row>
    <row r="257" spans="1:5">
      <c r="A257" s="9"/>
      <c r="B257" s="11"/>
      <c r="C257" s="12"/>
      <c r="D257" s="12"/>
      <c r="E257" s="12"/>
    </row>
    <row r="258" spans="1:5">
      <c r="A258" s="9"/>
      <c r="B258" s="11"/>
      <c r="C258" s="12"/>
      <c r="D258" s="12"/>
      <c r="E258" s="12"/>
    </row>
    <row r="259" spans="1:5">
      <c r="A259" s="9"/>
      <c r="B259" s="11"/>
      <c r="C259" s="12"/>
      <c r="D259" s="12"/>
      <c r="E259" s="12"/>
    </row>
    <row r="260" spans="1:5">
      <c r="A260" s="9"/>
      <c r="B260" s="11"/>
      <c r="C260" s="12"/>
      <c r="D260" s="12"/>
      <c r="E260" s="12"/>
    </row>
    <row r="261" spans="1:5">
      <c r="A261" s="9"/>
      <c r="B261" s="11"/>
      <c r="C261" s="12"/>
      <c r="D261" s="12"/>
      <c r="E261" s="12"/>
    </row>
    <row r="262" spans="1:5">
      <c r="A262" s="9"/>
      <c r="B262" s="11"/>
      <c r="C262" s="12"/>
      <c r="D262" s="12"/>
      <c r="E262" s="12"/>
    </row>
    <row r="263" spans="1:5">
      <c r="A263" s="9"/>
      <c r="B263" s="11"/>
      <c r="C263" s="12"/>
      <c r="D263" s="12"/>
      <c r="E263" s="12"/>
    </row>
    <row r="264" spans="1:5">
      <c r="A264" s="9"/>
      <c r="B264" s="11"/>
      <c r="C264" s="12"/>
      <c r="D264" s="12"/>
      <c r="E264" s="12"/>
    </row>
    <row r="265" spans="1:5">
      <c r="A265" s="9"/>
      <c r="B265" s="11"/>
      <c r="C265" s="12"/>
      <c r="D265" s="12"/>
      <c r="E265" s="12"/>
    </row>
    <row r="266" spans="1:5">
      <c r="A266" s="9"/>
      <c r="B266" s="11"/>
      <c r="C266" s="12"/>
      <c r="D266" s="12"/>
      <c r="E266" s="12"/>
    </row>
    <row r="267" spans="1:5">
      <c r="A267" s="9"/>
      <c r="B267" s="11"/>
      <c r="C267" s="12"/>
      <c r="D267" s="12"/>
      <c r="E267" s="12"/>
    </row>
    <row r="268" spans="1:5">
      <c r="B268" s="7"/>
      <c r="C268" s="4"/>
      <c r="D268" s="4"/>
      <c r="E268" s="4"/>
    </row>
    <row r="269" spans="1:5">
      <c r="B269" s="7"/>
      <c r="C269" s="4"/>
      <c r="D269" s="4"/>
      <c r="E269" s="4"/>
    </row>
    <row r="270" spans="1:5">
      <c r="B270" s="7"/>
      <c r="C270" s="4"/>
      <c r="D270" s="4"/>
      <c r="E270" s="4"/>
    </row>
    <row r="271" spans="1:5">
      <c r="B271" s="7"/>
      <c r="C271" s="4"/>
      <c r="D271" s="4"/>
      <c r="E271" s="4"/>
    </row>
    <row r="272" spans="1:5">
      <c r="B272" s="7"/>
      <c r="C272" s="4"/>
      <c r="D272" s="4"/>
      <c r="E272" s="4"/>
    </row>
    <row r="273" spans="1:5">
      <c r="B273" s="7"/>
      <c r="C273" s="4"/>
      <c r="D273" s="4"/>
      <c r="E273" s="4"/>
    </row>
    <row r="274" spans="1:5">
      <c r="B274" s="7"/>
      <c r="C274" s="4"/>
      <c r="D274" s="4"/>
      <c r="E274" s="4"/>
    </row>
    <row r="275" spans="1:5">
      <c r="B275" s="7"/>
      <c r="C275" s="4"/>
      <c r="D275" s="4"/>
      <c r="E275" s="4"/>
    </row>
    <row r="276" spans="1:5">
      <c r="B276" s="7"/>
      <c r="C276" s="4"/>
      <c r="D276" s="4"/>
      <c r="E276" s="4"/>
    </row>
    <row r="277" spans="1:5">
      <c r="B277" s="7"/>
      <c r="C277" s="4"/>
      <c r="D277" s="4"/>
      <c r="E277" s="4"/>
    </row>
    <row r="278" spans="1:5">
      <c r="B278" s="7"/>
      <c r="C278" s="4"/>
      <c r="D278" s="4"/>
      <c r="E278" s="4"/>
    </row>
    <row r="279" spans="1:5">
      <c r="A279" s="9"/>
      <c r="B279" s="11"/>
      <c r="C279" s="12"/>
      <c r="D279" s="12"/>
      <c r="E279" s="12"/>
    </row>
    <row r="280" spans="1:5">
      <c r="A280" s="9"/>
      <c r="B280" s="11"/>
      <c r="C280" s="12"/>
      <c r="D280" s="12"/>
      <c r="E280" s="12"/>
    </row>
    <row r="281" spans="1:5">
      <c r="A281" s="9"/>
      <c r="B281" s="11"/>
      <c r="C281" s="12"/>
      <c r="D281" s="12"/>
      <c r="E281" s="12"/>
    </row>
    <row r="282" spans="1:5">
      <c r="A282" s="9"/>
      <c r="B282" s="11"/>
      <c r="C282" s="12"/>
      <c r="D282" s="12"/>
      <c r="E282" s="12"/>
    </row>
    <row r="283" spans="1:5">
      <c r="A283" s="9"/>
      <c r="B283" s="11"/>
      <c r="C283" s="12"/>
      <c r="D283" s="12"/>
      <c r="E283" s="12"/>
    </row>
    <row r="284" spans="1:5">
      <c r="A284" s="9"/>
      <c r="B284" s="11"/>
      <c r="C284" s="12"/>
      <c r="D284" s="12"/>
      <c r="E284" s="12"/>
    </row>
    <row r="285" spans="1:5">
      <c r="A285" s="9"/>
      <c r="B285" s="11"/>
      <c r="C285" s="12"/>
      <c r="D285" s="12"/>
      <c r="E285" s="12"/>
    </row>
    <row r="286" spans="1:5">
      <c r="A286" s="9"/>
      <c r="B286" s="11"/>
      <c r="C286" s="12"/>
      <c r="D286" s="12"/>
      <c r="E286" s="12"/>
    </row>
    <row r="287" spans="1:5">
      <c r="A287" s="9"/>
      <c r="B287" s="11"/>
      <c r="C287" s="12"/>
      <c r="D287" s="12"/>
      <c r="E287" s="12"/>
    </row>
    <row r="288" spans="1:5">
      <c r="A288" s="9"/>
      <c r="B288" s="11"/>
      <c r="C288" s="12"/>
      <c r="D288" s="12"/>
      <c r="E288" s="12"/>
    </row>
    <row r="289" spans="1:5">
      <c r="A289" s="9"/>
      <c r="B289" s="11"/>
      <c r="C289" s="12"/>
      <c r="D289" s="12"/>
      <c r="E289" s="12"/>
    </row>
    <row r="290" spans="1:5">
      <c r="B290" s="7"/>
      <c r="C290" s="4"/>
      <c r="D290" s="4"/>
      <c r="E290" s="4"/>
    </row>
    <row r="291" spans="1:5">
      <c r="B291" s="7"/>
      <c r="C291" s="4"/>
      <c r="D291" s="4"/>
      <c r="E291" s="4"/>
    </row>
    <row r="292" spans="1:5">
      <c r="B292" s="7"/>
      <c r="C292" s="4"/>
      <c r="D292" s="4"/>
      <c r="E292" s="4"/>
    </row>
    <row r="293" spans="1:5">
      <c r="B293" s="7"/>
      <c r="C293" s="4"/>
      <c r="D293" s="4"/>
      <c r="E293" s="4"/>
    </row>
    <row r="294" spans="1:5">
      <c r="B294" s="7"/>
      <c r="C294" s="4"/>
      <c r="D294" s="4"/>
      <c r="E294" s="4"/>
    </row>
    <row r="295" spans="1:5">
      <c r="B295" s="7"/>
      <c r="C295" s="4"/>
      <c r="D295" s="4"/>
      <c r="E295" s="4"/>
    </row>
    <row r="296" spans="1:5">
      <c r="B296" s="7"/>
      <c r="C296" s="4"/>
      <c r="D296" s="4"/>
      <c r="E296" s="4"/>
    </row>
    <row r="297" spans="1:5">
      <c r="B297" s="7"/>
      <c r="C297" s="4"/>
      <c r="D297" s="4"/>
      <c r="E297" s="4"/>
    </row>
    <row r="298" spans="1:5">
      <c r="B298" s="7"/>
      <c r="C298" s="4"/>
      <c r="D298" s="4"/>
      <c r="E298" s="4"/>
    </row>
    <row r="299" spans="1:5">
      <c r="B299" s="7"/>
      <c r="C299" s="4"/>
      <c r="D299" s="4"/>
      <c r="E299" s="4"/>
    </row>
    <row r="300" spans="1:5">
      <c r="B300" s="7"/>
      <c r="C300" s="4"/>
      <c r="D300" s="4"/>
      <c r="E300" s="4"/>
    </row>
    <row r="301" spans="1:5">
      <c r="A301" s="9"/>
      <c r="B301" s="11"/>
      <c r="C301" s="12"/>
      <c r="D301" s="12"/>
      <c r="E301" s="12"/>
    </row>
    <row r="302" spans="1:5">
      <c r="A302" s="9"/>
      <c r="B302" s="11"/>
      <c r="C302" s="12"/>
      <c r="D302" s="12"/>
      <c r="E302" s="12"/>
    </row>
    <row r="303" spans="1:5">
      <c r="A303" s="9"/>
      <c r="B303" s="11"/>
      <c r="C303" s="12"/>
      <c r="D303" s="12"/>
      <c r="E303" s="12"/>
    </row>
    <row r="304" spans="1:5">
      <c r="A304" s="9"/>
      <c r="B304" s="11"/>
      <c r="C304" s="12"/>
      <c r="D304" s="12"/>
      <c r="E304" s="12"/>
    </row>
    <row r="305" spans="1:5">
      <c r="A305" s="9"/>
      <c r="B305" s="11"/>
      <c r="C305" s="12"/>
      <c r="D305" s="12"/>
      <c r="E305" s="12"/>
    </row>
    <row r="306" spans="1:5">
      <c r="A306" s="9"/>
      <c r="B306" s="11"/>
      <c r="C306" s="12"/>
      <c r="D306" s="12"/>
      <c r="E306" s="12"/>
    </row>
    <row r="307" spans="1:5">
      <c r="A307" s="9"/>
      <c r="B307" s="11"/>
      <c r="C307" s="12"/>
      <c r="D307" s="12"/>
      <c r="E307" s="12"/>
    </row>
    <row r="308" spans="1:5">
      <c r="A308" s="9"/>
      <c r="B308" s="11"/>
      <c r="C308" s="12"/>
      <c r="D308" s="12"/>
      <c r="E308" s="12"/>
    </row>
    <row r="309" spans="1:5">
      <c r="A309" s="9"/>
      <c r="B309" s="11"/>
      <c r="C309" s="12"/>
      <c r="D309" s="12"/>
      <c r="E309" s="12"/>
    </row>
    <row r="310" spans="1:5">
      <c r="A310" s="9"/>
      <c r="B310" s="11"/>
      <c r="C310" s="12"/>
      <c r="D310" s="12"/>
      <c r="E310" s="12"/>
    </row>
    <row r="311" spans="1:5">
      <c r="A311" s="9"/>
      <c r="B311" s="11"/>
      <c r="C311" s="12"/>
      <c r="D311" s="12"/>
      <c r="E311" s="12"/>
    </row>
    <row r="312" spans="1:5">
      <c r="B312" s="7"/>
      <c r="C312" s="4"/>
      <c r="D312" s="4"/>
      <c r="E312" s="4"/>
    </row>
    <row r="313" spans="1:5">
      <c r="B313" s="7"/>
      <c r="C313" s="4"/>
      <c r="D313" s="4"/>
      <c r="E313" s="4"/>
    </row>
    <row r="314" spans="1:5">
      <c r="B314" s="7"/>
      <c r="C314" s="4"/>
      <c r="D314" s="4"/>
      <c r="E314" s="4"/>
    </row>
    <row r="315" spans="1:5">
      <c r="B315" s="7"/>
      <c r="C315" s="4"/>
      <c r="D315" s="4"/>
      <c r="E315" s="4"/>
    </row>
    <row r="316" spans="1:5">
      <c r="B316" s="7"/>
      <c r="C316" s="4"/>
      <c r="D316" s="4"/>
      <c r="E316" s="4"/>
    </row>
    <row r="317" spans="1:5">
      <c r="B317" s="7"/>
      <c r="C317" s="4"/>
      <c r="D317" s="4"/>
      <c r="E317" s="4"/>
    </row>
    <row r="318" spans="1:5">
      <c r="B318" s="7"/>
      <c r="C318" s="4"/>
      <c r="D318" s="4"/>
      <c r="E318" s="4"/>
    </row>
    <row r="319" spans="1:5">
      <c r="B319" s="7"/>
      <c r="C319" s="4"/>
      <c r="D319" s="4"/>
      <c r="E319" s="4"/>
    </row>
    <row r="320" spans="1:5">
      <c r="B320" s="7"/>
      <c r="C320" s="4"/>
      <c r="D320" s="4"/>
      <c r="E320" s="4"/>
    </row>
    <row r="321" spans="1:5">
      <c r="B321" s="7"/>
      <c r="C321" s="4"/>
      <c r="D321" s="4"/>
      <c r="E321" s="4"/>
    </row>
    <row r="322" spans="1:5">
      <c r="B322" s="7"/>
      <c r="C322" s="4"/>
      <c r="D322" s="4"/>
      <c r="E322" s="4"/>
    </row>
    <row r="323" spans="1:5">
      <c r="A323" s="9"/>
      <c r="B323" s="11"/>
      <c r="C323" s="12"/>
      <c r="D323" s="12"/>
      <c r="E323" s="12"/>
    </row>
    <row r="324" spans="1:5">
      <c r="A324" s="9"/>
      <c r="B324" s="11"/>
      <c r="C324" s="12"/>
      <c r="D324" s="12"/>
      <c r="E324" s="12"/>
    </row>
    <row r="325" spans="1:5">
      <c r="A325" s="9"/>
      <c r="B325" s="11"/>
      <c r="C325" s="12"/>
      <c r="D325" s="12"/>
      <c r="E325" s="12"/>
    </row>
    <row r="326" spans="1:5">
      <c r="A326" s="9"/>
      <c r="B326" s="11"/>
      <c r="C326" s="12"/>
      <c r="D326" s="12"/>
      <c r="E326" s="12"/>
    </row>
    <row r="327" spans="1:5">
      <c r="A327" s="9"/>
      <c r="B327" s="11"/>
      <c r="C327" s="12"/>
      <c r="D327" s="12"/>
      <c r="E327" s="12"/>
    </row>
    <row r="328" spans="1:5">
      <c r="A328" s="9"/>
      <c r="B328" s="11"/>
      <c r="C328" s="12"/>
      <c r="D328" s="12"/>
      <c r="E328" s="12"/>
    </row>
    <row r="329" spans="1:5">
      <c r="A329" s="9"/>
      <c r="B329" s="11"/>
      <c r="C329" s="12"/>
      <c r="D329" s="12"/>
      <c r="E329" s="12"/>
    </row>
    <row r="330" spans="1:5">
      <c r="A330" s="9"/>
      <c r="B330" s="11"/>
      <c r="C330" s="12"/>
      <c r="D330" s="12"/>
      <c r="E330" s="12"/>
    </row>
    <row r="331" spans="1:5">
      <c r="A331" s="9"/>
      <c r="B331" s="11"/>
      <c r="C331" s="12"/>
      <c r="D331" s="12"/>
      <c r="E331" s="12"/>
    </row>
    <row r="332" spans="1:5">
      <c r="A332" s="9"/>
      <c r="B332" s="11"/>
      <c r="C332" s="12"/>
      <c r="D332" s="12"/>
      <c r="E332" s="12"/>
    </row>
    <row r="333" spans="1:5">
      <c r="A333" s="9"/>
      <c r="B333" s="11"/>
      <c r="C333" s="12"/>
      <c r="D333" s="12"/>
      <c r="E333" s="12"/>
    </row>
    <row r="334" spans="1:5">
      <c r="B334" s="7"/>
      <c r="C334" s="4"/>
      <c r="D334" s="4"/>
      <c r="E334" s="4"/>
    </row>
    <row r="335" spans="1:5">
      <c r="B335" s="7"/>
      <c r="C335" s="4"/>
      <c r="D335" s="4"/>
      <c r="E335" s="4"/>
    </row>
    <row r="336" spans="1:5">
      <c r="B336" s="7"/>
      <c r="C336" s="4"/>
      <c r="D336" s="4"/>
      <c r="E336" s="4"/>
    </row>
    <row r="337" spans="1:5">
      <c r="B337" s="7"/>
      <c r="C337" s="4"/>
      <c r="D337" s="4"/>
      <c r="E337" s="4"/>
    </row>
    <row r="338" spans="1:5">
      <c r="B338" s="7"/>
      <c r="C338" s="4"/>
      <c r="D338" s="4"/>
      <c r="E338" s="4"/>
    </row>
    <row r="339" spans="1:5">
      <c r="B339" s="7"/>
      <c r="C339" s="4"/>
      <c r="D339" s="4"/>
      <c r="E339" s="4"/>
    </row>
    <row r="340" spans="1:5">
      <c r="B340" s="7"/>
      <c r="C340" s="4"/>
      <c r="D340" s="4"/>
      <c r="E340" s="4"/>
    </row>
    <row r="341" spans="1:5">
      <c r="B341" s="7"/>
      <c r="C341" s="4"/>
      <c r="D341" s="4"/>
      <c r="E341" s="4"/>
    </row>
    <row r="342" spans="1:5">
      <c r="B342" s="7"/>
      <c r="C342" s="4"/>
      <c r="D342" s="4"/>
      <c r="E342" s="4"/>
    </row>
    <row r="343" spans="1:5">
      <c r="B343" s="7"/>
      <c r="C343" s="4"/>
      <c r="D343" s="4"/>
      <c r="E343" s="4"/>
    </row>
    <row r="344" spans="1:5">
      <c r="B344" s="7"/>
      <c r="C344" s="4"/>
      <c r="D344" s="4"/>
      <c r="E344" s="4"/>
    </row>
    <row r="345" spans="1:5">
      <c r="B345" s="7"/>
      <c r="C345" s="4"/>
      <c r="D345" s="4"/>
      <c r="E345" s="4"/>
    </row>
    <row r="346" spans="1:5">
      <c r="B346" s="7"/>
      <c r="C346" s="4"/>
      <c r="D346" s="4"/>
      <c r="E346" s="4"/>
    </row>
    <row r="347" spans="1:5">
      <c r="A347" s="9"/>
      <c r="B347" s="11"/>
      <c r="C347" s="12"/>
      <c r="D347" s="12"/>
      <c r="E347" s="12"/>
    </row>
    <row r="348" spans="1:5">
      <c r="A348" s="9"/>
      <c r="B348" s="11"/>
      <c r="C348" s="12"/>
      <c r="D348" s="12"/>
      <c r="E348" s="12"/>
    </row>
    <row r="349" spans="1:5">
      <c r="A349" s="9"/>
      <c r="B349" s="11"/>
      <c r="C349" s="12"/>
      <c r="D349" s="12"/>
      <c r="E349" s="12"/>
    </row>
    <row r="350" spans="1:5">
      <c r="A350" s="9"/>
      <c r="B350" s="11"/>
      <c r="C350" s="12"/>
      <c r="D350" s="12"/>
      <c r="E350" s="12"/>
    </row>
    <row r="351" spans="1:5">
      <c r="A351" s="9"/>
      <c r="B351" s="11"/>
      <c r="C351" s="12"/>
      <c r="D351" s="12"/>
      <c r="E351" s="12"/>
    </row>
    <row r="352" spans="1:5">
      <c r="A352" s="9"/>
      <c r="B352" s="11"/>
      <c r="C352" s="12"/>
      <c r="D352" s="12"/>
      <c r="E352" s="12"/>
    </row>
    <row r="353" spans="1:5">
      <c r="A353" s="9"/>
      <c r="B353" s="11"/>
      <c r="C353" s="12"/>
      <c r="D353" s="12"/>
      <c r="E353" s="12"/>
    </row>
    <row r="354" spans="1:5">
      <c r="A354" s="9"/>
      <c r="B354" s="11"/>
      <c r="C354" s="12"/>
      <c r="D354" s="12"/>
      <c r="E354" s="12"/>
    </row>
    <row r="355" spans="1:5">
      <c r="A355" s="9"/>
      <c r="B355" s="11"/>
      <c r="C355" s="12"/>
      <c r="D355" s="12"/>
      <c r="E355" s="12"/>
    </row>
    <row r="356" spans="1:5">
      <c r="A356" s="9"/>
      <c r="B356" s="11"/>
      <c r="C356" s="12"/>
      <c r="D356" s="12"/>
      <c r="E356" s="12"/>
    </row>
    <row r="357" spans="1:5">
      <c r="A357" s="9"/>
      <c r="B357" s="11"/>
      <c r="C357" s="12"/>
      <c r="D357" s="12"/>
      <c r="E357" s="12"/>
    </row>
    <row r="358" spans="1:5">
      <c r="A358" s="9"/>
      <c r="B358" s="11"/>
      <c r="C358" s="12"/>
      <c r="D358" s="12"/>
      <c r="E358" s="12"/>
    </row>
    <row r="359" spans="1:5">
      <c r="A359" s="9"/>
      <c r="B359" s="11"/>
      <c r="C359" s="12"/>
      <c r="D359" s="12"/>
      <c r="E359" s="12"/>
    </row>
    <row r="360" spans="1:5">
      <c r="B360" s="7"/>
      <c r="C360" s="4"/>
      <c r="D360" s="4"/>
      <c r="E360" s="4"/>
    </row>
    <row r="361" spans="1:5">
      <c r="B361" s="7"/>
      <c r="C361" s="4"/>
      <c r="D361" s="4"/>
      <c r="E361" s="4"/>
    </row>
    <row r="362" spans="1:5">
      <c r="B362" s="7"/>
      <c r="C362" s="4"/>
      <c r="D362" s="4"/>
      <c r="E362" s="4"/>
    </row>
    <row r="363" spans="1:5">
      <c r="B363" s="7"/>
      <c r="C363" s="4"/>
      <c r="D363" s="4"/>
      <c r="E363" s="4"/>
    </row>
    <row r="364" spans="1:5">
      <c r="B364" s="7"/>
      <c r="C364" s="4"/>
      <c r="D364" s="4"/>
      <c r="E364" s="4"/>
    </row>
    <row r="365" spans="1:5">
      <c r="B365" s="7"/>
      <c r="C365" s="4"/>
      <c r="D365" s="4"/>
      <c r="E365" s="4"/>
    </row>
    <row r="366" spans="1:5">
      <c r="B366" s="7"/>
      <c r="C366" s="4"/>
      <c r="D366" s="4"/>
      <c r="E366" s="4"/>
    </row>
    <row r="367" spans="1:5">
      <c r="B367" s="7"/>
      <c r="C367" s="4"/>
      <c r="D367" s="4"/>
      <c r="E367" s="4"/>
    </row>
    <row r="368" spans="1:5">
      <c r="B368" s="7"/>
      <c r="C368" s="4"/>
      <c r="D368" s="4"/>
      <c r="E368" s="4"/>
    </row>
    <row r="369" spans="1:5">
      <c r="B369" s="7"/>
      <c r="C369" s="4"/>
      <c r="D369" s="4"/>
      <c r="E369" s="4"/>
    </row>
    <row r="370" spans="1:5">
      <c r="B370" s="7"/>
      <c r="C370" s="4"/>
      <c r="D370" s="4"/>
      <c r="E370" s="4"/>
    </row>
    <row r="371" spans="1:5">
      <c r="B371" s="7"/>
      <c r="C371" s="4"/>
      <c r="D371" s="4"/>
      <c r="E371" s="4"/>
    </row>
    <row r="372" spans="1:5">
      <c r="B372" s="7"/>
      <c r="C372" s="4"/>
      <c r="D372" s="4"/>
      <c r="E372" s="4"/>
    </row>
    <row r="373" spans="1:5">
      <c r="A373" s="9"/>
      <c r="B373" s="11"/>
      <c r="C373" s="12"/>
      <c r="D373" s="12"/>
      <c r="E373" s="12"/>
    </row>
    <row r="374" spans="1:5">
      <c r="A374" s="9"/>
      <c r="B374" s="11"/>
      <c r="C374" s="12"/>
      <c r="D374" s="12"/>
      <c r="E374" s="12"/>
    </row>
    <row r="375" spans="1:5">
      <c r="A375" s="9"/>
      <c r="B375" s="11"/>
      <c r="C375" s="12"/>
      <c r="D375" s="12"/>
      <c r="E375" s="12"/>
    </row>
    <row r="376" spans="1:5">
      <c r="A376" s="9"/>
      <c r="B376" s="11"/>
      <c r="C376" s="12"/>
      <c r="D376" s="12"/>
      <c r="E376" s="12"/>
    </row>
    <row r="377" spans="1:5">
      <c r="A377" s="9"/>
      <c r="B377" s="11"/>
      <c r="C377" s="12"/>
      <c r="D377" s="12"/>
      <c r="E377" s="12"/>
    </row>
    <row r="378" spans="1:5">
      <c r="A378" s="9"/>
      <c r="B378" s="11"/>
      <c r="C378" s="12"/>
      <c r="D378" s="12"/>
      <c r="E378" s="12"/>
    </row>
    <row r="379" spans="1:5">
      <c r="A379" s="9"/>
      <c r="B379" s="11"/>
      <c r="C379" s="12"/>
      <c r="D379" s="12"/>
      <c r="E379" s="12"/>
    </row>
    <row r="380" spans="1:5">
      <c r="A380" s="9"/>
      <c r="B380" s="11"/>
      <c r="C380" s="12"/>
      <c r="D380" s="12"/>
      <c r="E380" s="12"/>
    </row>
    <row r="381" spans="1:5">
      <c r="A381" s="9"/>
      <c r="B381" s="11"/>
      <c r="C381" s="12"/>
      <c r="D381" s="12"/>
      <c r="E381" s="12"/>
    </row>
    <row r="382" spans="1:5">
      <c r="A382" s="9"/>
      <c r="B382" s="11"/>
      <c r="C382" s="12"/>
      <c r="D382" s="12"/>
      <c r="E382" s="12"/>
    </row>
    <row r="383" spans="1:5">
      <c r="A383" s="9"/>
      <c r="B383" s="11"/>
      <c r="C383" s="12"/>
      <c r="D383" s="12"/>
      <c r="E383" s="12"/>
    </row>
    <row r="384" spans="1:5">
      <c r="A384" s="9"/>
      <c r="B384" s="11"/>
      <c r="C384" s="12"/>
      <c r="D384" s="12"/>
      <c r="E384" s="12"/>
    </row>
    <row r="385" spans="1:5">
      <c r="A385" s="9"/>
      <c r="B385" s="11"/>
      <c r="C385" s="12"/>
      <c r="D385" s="12"/>
      <c r="E385" s="12"/>
    </row>
    <row r="386" spans="1:5">
      <c r="B386" s="7"/>
      <c r="C386" s="4"/>
      <c r="D386" s="4"/>
      <c r="E386" s="4"/>
    </row>
    <row r="387" spans="1:5">
      <c r="B387" s="7"/>
      <c r="C387" s="4"/>
      <c r="D387" s="4"/>
      <c r="E387" s="4"/>
    </row>
    <row r="388" spans="1:5">
      <c r="B388" s="7"/>
      <c r="C388" s="4"/>
      <c r="D388" s="4"/>
      <c r="E388" s="4"/>
    </row>
    <row r="389" spans="1:5">
      <c r="B389" s="7"/>
      <c r="C389" s="4"/>
      <c r="D389" s="4"/>
      <c r="E389" s="4"/>
    </row>
    <row r="390" spans="1:5">
      <c r="B390" s="7"/>
      <c r="C390" s="4"/>
      <c r="D390" s="4"/>
      <c r="E390" s="4"/>
    </row>
    <row r="391" spans="1:5">
      <c r="B391" s="7"/>
      <c r="C391" s="4"/>
      <c r="D391" s="4"/>
      <c r="E391" s="4"/>
    </row>
    <row r="392" spans="1:5">
      <c r="B392" s="7"/>
      <c r="C392" s="4"/>
      <c r="D392" s="4"/>
      <c r="E392" s="4"/>
    </row>
    <row r="393" spans="1:5">
      <c r="B393" s="7"/>
      <c r="C393" s="4"/>
      <c r="D393" s="4"/>
      <c r="E393" s="4"/>
    </row>
    <row r="394" spans="1:5">
      <c r="B394" s="7"/>
      <c r="C394" s="4"/>
      <c r="D394" s="4"/>
      <c r="E394" s="4"/>
    </row>
    <row r="395" spans="1:5">
      <c r="B395" s="7"/>
      <c r="C395" s="4"/>
      <c r="D395" s="4"/>
      <c r="E395" s="4"/>
    </row>
    <row r="396" spans="1:5">
      <c r="B396" s="7"/>
      <c r="C396" s="4"/>
      <c r="D396" s="4"/>
      <c r="E396" s="4"/>
    </row>
    <row r="397" spans="1:5">
      <c r="B397" s="7"/>
      <c r="C397" s="4"/>
      <c r="D397" s="4"/>
      <c r="E397" s="4"/>
    </row>
    <row r="398" spans="1:5">
      <c r="B398" s="7"/>
      <c r="C398" s="4"/>
      <c r="D398" s="4"/>
      <c r="E398" s="4"/>
    </row>
    <row r="399" spans="1:5">
      <c r="B399" s="7"/>
      <c r="C399" s="4"/>
      <c r="D399" s="4"/>
      <c r="E399" s="4"/>
    </row>
    <row r="400" spans="1:5">
      <c r="A400" s="9"/>
      <c r="B400" s="11"/>
      <c r="C400" s="12"/>
      <c r="D400" s="12"/>
      <c r="E400" s="12"/>
    </row>
    <row r="401" spans="1:5">
      <c r="A401" s="9"/>
      <c r="B401" s="11"/>
      <c r="C401" s="12"/>
      <c r="D401" s="12"/>
      <c r="E401" s="12"/>
    </row>
    <row r="402" spans="1:5">
      <c r="A402" s="9"/>
      <c r="B402" s="11"/>
      <c r="C402" s="12"/>
      <c r="D402" s="12"/>
      <c r="E402" s="12"/>
    </row>
    <row r="403" spans="1:5">
      <c r="A403" s="9"/>
      <c r="B403" s="11"/>
      <c r="C403" s="12"/>
      <c r="D403" s="12"/>
      <c r="E403" s="12"/>
    </row>
    <row r="404" spans="1:5">
      <c r="A404" s="9"/>
      <c r="B404" s="11"/>
      <c r="C404" s="12"/>
      <c r="D404" s="12"/>
      <c r="E404" s="12"/>
    </row>
    <row r="405" spans="1:5">
      <c r="A405" s="9"/>
      <c r="B405" s="11"/>
      <c r="C405" s="12"/>
      <c r="D405" s="12"/>
      <c r="E405" s="12"/>
    </row>
    <row r="406" spans="1:5">
      <c r="A406" s="9"/>
      <c r="B406" s="11"/>
      <c r="C406" s="12"/>
      <c r="D406" s="12"/>
      <c r="E406" s="12"/>
    </row>
    <row r="407" spans="1:5">
      <c r="A407" s="9"/>
      <c r="B407" s="11"/>
      <c r="C407" s="12"/>
      <c r="D407" s="12"/>
      <c r="E407" s="12"/>
    </row>
    <row r="408" spans="1:5">
      <c r="A408" s="9"/>
      <c r="B408" s="11"/>
      <c r="C408" s="12"/>
      <c r="D408" s="12"/>
      <c r="E408" s="12"/>
    </row>
    <row r="409" spans="1:5">
      <c r="A409" s="9"/>
      <c r="B409" s="11"/>
      <c r="C409" s="12"/>
      <c r="D409" s="12"/>
      <c r="E409" s="12"/>
    </row>
    <row r="410" spans="1:5">
      <c r="A410" s="9"/>
      <c r="B410" s="11"/>
      <c r="C410" s="12"/>
      <c r="D410" s="12"/>
      <c r="E410" s="12"/>
    </row>
    <row r="411" spans="1:5">
      <c r="A411" s="9"/>
      <c r="B411" s="11"/>
      <c r="C411" s="12"/>
      <c r="D411" s="12"/>
      <c r="E411" s="12"/>
    </row>
    <row r="412" spans="1:5">
      <c r="A412" s="9"/>
      <c r="B412" s="11"/>
      <c r="C412" s="12"/>
      <c r="D412" s="12"/>
      <c r="E412" s="12"/>
    </row>
    <row r="413" spans="1:5">
      <c r="A413" s="9"/>
      <c r="B413" s="11"/>
      <c r="C413" s="12"/>
      <c r="D413" s="12"/>
      <c r="E413" s="12"/>
    </row>
    <row r="414" spans="1:5">
      <c r="B414" s="7"/>
      <c r="C414" s="4"/>
      <c r="D414" s="4"/>
      <c r="E414" s="4"/>
    </row>
    <row r="415" spans="1:5">
      <c r="B415" s="7"/>
      <c r="C415" s="4"/>
      <c r="D415" s="4"/>
      <c r="E415" s="4"/>
    </row>
    <row r="416" spans="1:5">
      <c r="B416" s="7"/>
      <c r="C416" s="4"/>
      <c r="D416" s="4"/>
      <c r="E416" s="4"/>
    </row>
    <row r="417" spans="1:5">
      <c r="B417" s="7"/>
      <c r="C417" s="4"/>
      <c r="D417" s="4"/>
      <c r="E417" s="4"/>
    </row>
    <row r="418" spans="1:5">
      <c r="B418" s="7"/>
      <c r="C418" s="4"/>
      <c r="D418" s="4"/>
      <c r="E418" s="4"/>
    </row>
    <row r="419" spans="1:5">
      <c r="B419" s="7"/>
      <c r="C419" s="4"/>
      <c r="D419" s="4"/>
      <c r="E419" s="4"/>
    </row>
    <row r="420" spans="1:5">
      <c r="B420" s="7"/>
      <c r="C420" s="4"/>
      <c r="D420" s="4"/>
      <c r="E420" s="4"/>
    </row>
    <row r="421" spans="1:5">
      <c r="B421" s="7"/>
      <c r="C421" s="4"/>
      <c r="D421" s="4"/>
      <c r="E421" s="4"/>
    </row>
    <row r="422" spans="1:5">
      <c r="B422" s="7"/>
      <c r="C422" s="4"/>
      <c r="D422" s="4"/>
      <c r="E422" s="4"/>
    </row>
    <row r="423" spans="1:5">
      <c r="B423" s="7"/>
      <c r="C423" s="4"/>
      <c r="D423" s="4"/>
      <c r="E423" s="4"/>
    </row>
    <row r="424" spans="1:5">
      <c r="B424" s="7"/>
      <c r="C424" s="4"/>
      <c r="D424" s="4"/>
      <c r="E424" s="4"/>
    </row>
    <row r="425" spans="1:5">
      <c r="A425" s="9"/>
      <c r="B425" s="11"/>
      <c r="C425" s="12"/>
      <c r="D425" s="12"/>
      <c r="E425" s="12"/>
    </row>
    <row r="426" spans="1:5">
      <c r="A426" s="9"/>
      <c r="B426" s="11"/>
      <c r="C426" s="12"/>
      <c r="D426" s="12"/>
      <c r="E426" s="12"/>
    </row>
    <row r="427" spans="1:5">
      <c r="A427" s="9"/>
      <c r="B427" s="11"/>
      <c r="C427" s="12"/>
      <c r="D427" s="12"/>
      <c r="E427" s="12"/>
    </row>
    <row r="428" spans="1:5">
      <c r="A428" s="9"/>
      <c r="B428" s="11"/>
      <c r="C428" s="12"/>
      <c r="D428" s="12"/>
      <c r="E428" s="12"/>
    </row>
    <row r="429" spans="1:5">
      <c r="A429" s="9"/>
      <c r="B429" s="11"/>
      <c r="C429" s="12"/>
      <c r="D429" s="12"/>
      <c r="E429" s="12"/>
    </row>
    <row r="430" spans="1:5">
      <c r="A430" s="9"/>
      <c r="B430" s="11"/>
      <c r="C430" s="12"/>
      <c r="D430" s="12"/>
      <c r="E430" s="12"/>
    </row>
    <row r="431" spans="1:5">
      <c r="A431" s="9"/>
      <c r="B431" s="11"/>
      <c r="C431" s="12"/>
      <c r="D431" s="12"/>
      <c r="E431" s="12"/>
    </row>
    <row r="432" spans="1:5">
      <c r="A432" s="9"/>
      <c r="B432" s="11"/>
      <c r="C432" s="12"/>
      <c r="D432" s="12"/>
      <c r="E432" s="12"/>
    </row>
    <row r="433" spans="1:5">
      <c r="A433" s="9"/>
      <c r="B433" s="11"/>
      <c r="C433" s="12"/>
      <c r="D433" s="12"/>
      <c r="E433" s="12"/>
    </row>
    <row r="434" spans="1:5">
      <c r="A434" s="9"/>
      <c r="B434" s="11"/>
      <c r="C434" s="12"/>
      <c r="D434" s="12"/>
      <c r="E434" s="12"/>
    </row>
    <row r="435" spans="1:5">
      <c r="A435" s="9"/>
      <c r="B435" s="11"/>
      <c r="C435" s="12"/>
      <c r="D435" s="12"/>
      <c r="E435" s="12"/>
    </row>
    <row r="436" spans="1:5">
      <c r="B436" s="7"/>
      <c r="C436" s="4"/>
      <c r="D436" s="4"/>
      <c r="E436" s="4"/>
    </row>
    <row r="437" spans="1:5">
      <c r="B437" s="7"/>
      <c r="C437" s="4"/>
      <c r="D437" s="4"/>
      <c r="E437" s="4"/>
    </row>
    <row r="438" spans="1:5">
      <c r="B438" s="7"/>
      <c r="C438" s="4"/>
      <c r="D438" s="4"/>
      <c r="E438" s="4"/>
    </row>
    <row r="439" spans="1:5">
      <c r="B439" s="7"/>
      <c r="C439" s="4"/>
      <c r="D439" s="4"/>
      <c r="E439" s="4"/>
    </row>
    <row r="440" spans="1:5">
      <c r="B440" s="7"/>
      <c r="C440" s="4"/>
      <c r="D440" s="4"/>
      <c r="E440" s="4"/>
    </row>
    <row r="441" spans="1:5">
      <c r="B441" s="7"/>
      <c r="C441" s="4"/>
      <c r="D441" s="4"/>
      <c r="E441" s="4"/>
    </row>
    <row r="442" spans="1:5">
      <c r="B442" s="7"/>
      <c r="C442" s="4"/>
      <c r="D442" s="4"/>
      <c r="E442" s="4"/>
    </row>
    <row r="443" spans="1:5">
      <c r="B443" s="7"/>
      <c r="C443" s="4"/>
      <c r="D443" s="4"/>
      <c r="E443" s="4"/>
    </row>
    <row r="444" spans="1:5">
      <c r="B444" s="7"/>
      <c r="C444" s="4"/>
      <c r="D444" s="4"/>
      <c r="E444" s="4"/>
    </row>
    <row r="445" spans="1:5">
      <c r="B445" s="7"/>
      <c r="C445" s="4"/>
      <c r="D445" s="4"/>
      <c r="E445" s="4"/>
    </row>
    <row r="446" spans="1:5">
      <c r="B446" s="7"/>
      <c r="C446" s="4"/>
      <c r="D446" s="4"/>
      <c r="E446" s="4"/>
    </row>
    <row r="447" spans="1:5">
      <c r="A447" s="9"/>
      <c r="B447" s="11"/>
      <c r="C447" s="12"/>
      <c r="D447" s="12"/>
      <c r="E447" s="12"/>
    </row>
    <row r="448" spans="1:5">
      <c r="A448" s="9"/>
      <c r="B448" s="11"/>
      <c r="C448" s="12"/>
      <c r="D448" s="12"/>
      <c r="E448" s="12"/>
    </row>
    <row r="449" spans="1:5">
      <c r="A449" s="9"/>
      <c r="B449" s="11"/>
      <c r="C449" s="12"/>
      <c r="D449" s="12"/>
      <c r="E449" s="12"/>
    </row>
    <row r="450" spans="1:5">
      <c r="A450" s="9"/>
      <c r="B450" s="11"/>
      <c r="C450" s="12"/>
      <c r="D450" s="12"/>
      <c r="E450" s="12"/>
    </row>
    <row r="451" spans="1:5">
      <c r="A451" s="9"/>
      <c r="B451" s="11"/>
      <c r="C451" s="12"/>
      <c r="D451" s="12"/>
      <c r="E451" s="12"/>
    </row>
    <row r="452" spans="1:5">
      <c r="A452" s="9"/>
      <c r="B452" s="11"/>
      <c r="C452" s="12"/>
      <c r="D452" s="12"/>
      <c r="E452" s="12"/>
    </row>
    <row r="453" spans="1:5">
      <c r="A453" s="9"/>
      <c r="B453" s="11"/>
      <c r="C453" s="12"/>
      <c r="D453" s="12"/>
      <c r="E453" s="12"/>
    </row>
    <row r="454" spans="1:5">
      <c r="A454" s="9"/>
      <c r="B454" s="11"/>
      <c r="C454" s="12"/>
      <c r="D454" s="12"/>
      <c r="E454" s="12"/>
    </row>
    <row r="455" spans="1:5">
      <c r="A455" s="9"/>
      <c r="B455" s="11"/>
      <c r="C455" s="12"/>
      <c r="D455" s="12"/>
      <c r="E455" s="12"/>
    </row>
    <row r="456" spans="1:5">
      <c r="A456" s="9"/>
      <c r="B456" s="11"/>
      <c r="C456" s="12"/>
      <c r="D456" s="12"/>
      <c r="E456" s="12"/>
    </row>
    <row r="457" spans="1:5">
      <c r="A457" s="9"/>
      <c r="B457" s="11"/>
      <c r="C457" s="12"/>
      <c r="D457" s="12"/>
      <c r="E457" s="12"/>
    </row>
    <row r="458" spans="1:5">
      <c r="B458" s="7"/>
      <c r="C458" s="4"/>
      <c r="D458" s="4"/>
      <c r="E458" s="4"/>
    </row>
    <row r="459" spans="1:5">
      <c r="B459" s="7"/>
      <c r="C459" s="4"/>
      <c r="D459" s="4"/>
      <c r="E459" s="4"/>
    </row>
    <row r="460" spans="1:5">
      <c r="B460" s="7"/>
      <c r="C460" s="4"/>
      <c r="D460" s="4"/>
      <c r="E460" s="4"/>
    </row>
    <row r="461" spans="1:5">
      <c r="B461" s="7"/>
      <c r="C461" s="4"/>
      <c r="D461" s="4"/>
      <c r="E461" s="4"/>
    </row>
    <row r="462" spans="1:5">
      <c r="B462" s="7"/>
      <c r="C462" s="4"/>
      <c r="D462" s="4"/>
      <c r="E462" s="4"/>
    </row>
    <row r="463" spans="1:5">
      <c r="B463" s="7"/>
      <c r="C463" s="4"/>
      <c r="D463" s="4"/>
      <c r="E463" s="4"/>
    </row>
    <row r="464" spans="1:5">
      <c r="B464" s="7"/>
      <c r="C464" s="4"/>
      <c r="D464" s="4"/>
      <c r="E464" s="4"/>
    </row>
    <row r="465" spans="1:5">
      <c r="B465" s="7"/>
      <c r="C465" s="4"/>
      <c r="D465" s="4"/>
      <c r="E465" s="4"/>
    </row>
    <row r="466" spans="1:5">
      <c r="B466" s="7"/>
      <c r="C466" s="4"/>
      <c r="D466" s="4"/>
      <c r="E466" s="4"/>
    </row>
    <row r="467" spans="1:5">
      <c r="B467" s="7"/>
      <c r="C467" s="4"/>
      <c r="D467" s="4"/>
      <c r="E467" s="4"/>
    </row>
    <row r="468" spans="1:5">
      <c r="B468" s="7"/>
      <c r="C468" s="4"/>
      <c r="D468" s="4"/>
      <c r="E468" s="4"/>
    </row>
    <row r="469" spans="1:5">
      <c r="B469" s="7"/>
      <c r="C469" s="4"/>
      <c r="D469" s="4"/>
      <c r="E469" s="4"/>
    </row>
    <row r="470" spans="1:5">
      <c r="B470" s="7"/>
      <c r="C470" s="4"/>
      <c r="D470" s="4"/>
      <c r="E470" s="4"/>
    </row>
    <row r="471" spans="1:5">
      <c r="B471" s="7"/>
      <c r="C471" s="4"/>
      <c r="D471" s="4"/>
      <c r="E471" s="4"/>
    </row>
    <row r="472" spans="1:5">
      <c r="A472" s="9"/>
      <c r="B472" s="11"/>
      <c r="C472" s="12"/>
      <c r="D472" s="12"/>
      <c r="E472" s="12"/>
    </row>
    <row r="473" spans="1:5">
      <c r="A473" s="9"/>
      <c r="B473" s="11"/>
      <c r="C473" s="12"/>
      <c r="D473" s="12"/>
      <c r="E473" s="12"/>
    </row>
    <row r="474" spans="1:5">
      <c r="A474" s="9"/>
      <c r="B474" s="11"/>
      <c r="C474" s="12"/>
      <c r="D474" s="12"/>
      <c r="E474" s="12"/>
    </row>
    <row r="475" spans="1:5">
      <c r="A475" s="9"/>
      <c r="B475" s="11"/>
      <c r="C475" s="12"/>
      <c r="D475" s="12"/>
      <c r="E475" s="12"/>
    </row>
    <row r="476" spans="1:5">
      <c r="A476" s="9"/>
      <c r="B476" s="11"/>
      <c r="C476" s="12"/>
      <c r="D476" s="12"/>
      <c r="E476" s="12"/>
    </row>
    <row r="477" spans="1:5">
      <c r="A477" s="9"/>
      <c r="B477" s="11"/>
      <c r="C477" s="12"/>
      <c r="D477" s="12"/>
      <c r="E477" s="12"/>
    </row>
    <row r="478" spans="1:5">
      <c r="A478" s="9"/>
      <c r="B478" s="11"/>
      <c r="C478" s="12"/>
      <c r="D478" s="12"/>
      <c r="E478" s="12"/>
    </row>
    <row r="479" spans="1:5">
      <c r="A479" s="9"/>
      <c r="B479" s="11"/>
      <c r="C479" s="12"/>
      <c r="D479" s="12"/>
      <c r="E479" s="12"/>
    </row>
    <row r="480" spans="1:5">
      <c r="A480" s="9"/>
      <c r="B480" s="11"/>
      <c r="C480" s="12"/>
      <c r="D480" s="12"/>
      <c r="E480" s="12"/>
    </row>
    <row r="481" spans="1:5">
      <c r="A481" s="9"/>
      <c r="B481" s="11"/>
      <c r="C481" s="12"/>
      <c r="D481" s="12"/>
      <c r="E481" s="12"/>
    </row>
    <row r="482" spans="1:5">
      <c r="A482" s="9"/>
      <c r="B482" s="11"/>
      <c r="C482" s="12"/>
      <c r="D482" s="12"/>
      <c r="E482" s="12"/>
    </row>
    <row r="483" spans="1:5">
      <c r="A483" s="9"/>
      <c r="B483" s="11"/>
      <c r="C483" s="12"/>
      <c r="D483" s="12"/>
      <c r="E483" s="12"/>
    </row>
    <row r="484" spans="1:5">
      <c r="A484" s="9"/>
      <c r="B484" s="11"/>
      <c r="C484" s="12"/>
      <c r="D484" s="12"/>
      <c r="E484" s="12"/>
    </row>
    <row r="485" spans="1:5">
      <c r="A485" s="9"/>
      <c r="B485" s="11"/>
      <c r="C485" s="12"/>
      <c r="D485" s="12"/>
      <c r="E485" s="12"/>
    </row>
    <row r="487" spans="1:5">
      <c r="C487" s="3"/>
      <c r="D487" s="3"/>
      <c r="E487" s="3"/>
    </row>
  </sheetData>
  <mergeCells count="1">
    <mergeCell ref="A1:B1"/>
  </mergeCells>
  <phoneticPr fontId="57" type="noConversion"/>
  <pageMargins left="0.75" right="0.75" top="1" bottom="1" header="0.5" footer="0.5"/>
  <pageSetup scale="10"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487"/>
  <sheetViews>
    <sheetView workbookViewId="0">
      <selection sqref="A1:B1"/>
    </sheetView>
  </sheetViews>
  <sheetFormatPr defaultColWidth="7.33203125" defaultRowHeight="13.2"/>
  <cols>
    <col min="1" max="1" width="7.33203125" style="109" bestFit="1" customWidth="1"/>
    <col min="2" max="2" width="7.5546875" style="109" bestFit="1" customWidth="1"/>
    <col min="3" max="3" width="7.5546875" style="109" customWidth="1"/>
    <col min="4" max="4" width="7.109375" style="109" customWidth="1"/>
    <col min="5" max="5" width="9.44140625" style="109" customWidth="1"/>
    <col min="6" max="6" width="12.5546875" style="109" customWidth="1"/>
    <col min="7" max="10" width="9.44140625" style="109" customWidth="1"/>
    <col min="11" max="11" width="10.109375" style="109" customWidth="1"/>
    <col min="12" max="20" width="9.44140625" style="109" customWidth="1"/>
    <col min="21" max="21" width="7.44140625" style="109" customWidth="1"/>
    <col min="22" max="44" width="9.44140625" style="109" customWidth="1"/>
    <col min="45" max="255" width="8.88671875" style="109" customWidth="1"/>
    <col min="256" max="16384" width="7.33203125" style="109"/>
  </cols>
  <sheetData>
    <row r="1" spans="1:22" ht="39.6" customHeight="1">
      <c r="A1" s="380" t="s">
        <v>56</v>
      </c>
      <c r="B1" s="380"/>
      <c r="C1" s="143">
        <v>1</v>
      </c>
      <c r="D1" s="143">
        <v>1</v>
      </c>
    </row>
    <row r="2" spans="1:22" ht="22.95" customHeight="1">
      <c r="A2" s="142" t="s">
        <v>53</v>
      </c>
      <c r="B2" s="142" t="s">
        <v>2</v>
      </c>
      <c r="C2" s="137" t="s">
        <v>157</v>
      </c>
      <c r="D2" s="137" t="s">
        <v>72</v>
      </c>
      <c r="S2" s="140"/>
      <c r="T2" s="140"/>
    </row>
    <row r="3" spans="1:22" ht="12.75" customHeight="1">
      <c r="A3" s="137" t="s">
        <v>11</v>
      </c>
      <c r="B3" s="136">
        <v>41381</v>
      </c>
      <c r="C3" s="127">
        <f t="array" aca="1" ref="C3:C42" ca="1">INDIRECT(C$2)*C1</f>
        <v>1.3436776129943511</v>
      </c>
      <c r="D3" s="127">
        <f t="array" aca="1" ref="D3:D42" ca="1">INDIRECT(D$2)*D1</f>
        <v>2.98</v>
      </c>
      <c r="E3" s="132"/>
      <c r="F3" s="132"/>
    </row>
    <row r="4" spans="1:22">
      <c r="A4" s="137" t="s">
        <v>11</v>
      </c>
      <c r="B4" s="136">
        <v>41388</v>
      </c>
      <c r="C4" s="127">
        <f ca="1"/>
        <v>2.1542913135593218</v>
      </c>
      <c r="D4" s="127">
        <f ca="1"/>
        <v>4.4746666666666668</v>
      </c>
    </row>
    <row r="5" spans="1:22">
      <c r="A5" s="137" t="s">
        <v>11</v>
      </c>
      <c r="B5" s="136">
        <v>41395</v>
      </c>
      <c r="C5" s="127">
        <f ca="1"/>
        <v>1.4977471751412434</v>
      </c>
      <c r="D5" s="127">
        <f ca="1"/>
        <v>2.024</v>
      </c>
    </row>
    <row r="6" spans="1:22">
      <c r="A6" s="137" t="s">
        <v>11</v>
      </c>
      <c r="B6" s="136">
        <v>41403</v>
      </c>
      <c r="C6" s="127">
        <f ca="1"/>
        <v>0.98795611064762756</v>
      </c>
      <c r="D6" s="127">
        <f ca="1"/>
        <v>2.2759999999999998</v>
      </c>
    </row>
    <row r="7" spans="1:22">
      <c r="A7" s="137" t="s">
        <v>11</v>
      </c>
      <c r="B7" s="136">
        <v>41409</v>
      </c>
      <c r="C7" s="127">
        <f ca="1"/>
        <v>1.2089134017631005</v>
      </c>
      <c r="D7" s="127">
        <f ca="1"/>
        <v>2.9717647058823529</v>
      </c>
    </row>
    <row r="8" spans="1:22">
      <c r="A8" s="137" t="s">
        <v>11</v>
      </c>
      <c r="B8" s="136">
        <v>41416</v>
      </c>
      <c r="C8" s="127">
        <f ca="1"/>
        <v>1.0220045269074192</v>
      </c>
      <c r="D8" s="127">
        <f ca="1"/>
        <v>1.94</v>
      </c>
    </row>
    <row r="9" spans="1:22">
      <c r="A9" s="137" t="s">
        <v>11</v>
      </c>
      <c r="B9" s="136">
        <v>41423</v>
      </c>
      <c r="C9" s="127">
        <f ca="1"/>
        <v>0.99318679378531094</v>
      </c>
      <c r="D9" s="127">
        <f ca="1"/>
        <v>1.9506000000000001</v>
      </c>
      <c r="V9" s="148"/>
    </row>
    <row r="10" spans="1:22" ht="13.2" customHeight="1">
      <c r="A10" s="137" t="s">
        <v>11</v>
      </c>
      <c r="B10" s="139">
        <v>41430</v>
      </c>
      <c r="C10" s="138">
        <f ca="1"/>
        <v>0.89973297159886678</v>
      </c>
      <c r="D10" s="138">
        <f ca="1"/>
        <v>2.5312999999999999</v>
      </c>
    </row>
    <row r="11" spans="1:22">
      <c r="A11" s="137" t="s">
        <v>11</v>
      </c>
      <c r="B11" s="139">
        <v>41437</v>
      </c>
      <c r="C11" s="138">
        <f ca="1"/>
        <v>1.1705264298528193</v>
      </c>
      <c r="D11" s="138">
        <f ca="1"/>
        <v>3.1120000000000001</v>
      </c>
    </row>
    <row r="12" spans="1:22">
      <c r="A12" s="137" t="s">
        <v>11</v>
      </c>
      <c r="B12" s="139">
        <v>41444</v>
      </c>
      <c r="C12" s="138">
        <f ca="1"/>
        <v>1.5772794384349671</v>
      </c>
      <c r="D12" s="138">
        <f ca="1"/>
        <v>3.9075000000000002</v>
      </c>
    </row>
    <row r="13" spans="1:22">
      <c r="A13" s="137" t="s">
        <v>11</v>
      </c>
      <c r="B13" s="139">
        <v>41451</v>
      </c>
      <c r="C13" s="138">
        <f ca="1"/>
        <v>1.3253618484917726</v>
      </c>
      <c r="D13" s="138">
        <f ca="1"/>
        <v>4.5880000000000001</v>
      </c>
    </row>
    <row r="14" spans="1:22">
      <c r="A14" s="137" t="s">
        <v>11</v>
      </c>
      <c r="B14" s="139">
        <v>41472</v>
      </c>
      <c r="C14" s="138">
        <f ca="1"/>
        <v>2.8251149173222516</v>
      </c>
      <c r="D14" s="138">
        <f ca="1"/>
        <v>8.0276923076923072</v>
      </c>
    </row>
    <row r="15" spans="1:22" ht="12.75" customHeight="1">
      <c r="A15" s="137" t="s">
        <v>11</v>
      </c>
      <c r="B15" s="139">
        <v>41479</v>
      </c>
      <c r="C15" s="138">
        <f ca="1"/>
        <v>2.3468504590395489</v>
      </c>
      <c r="D15" s="138">
        <f ca="1"/>
        <v>9.0764705882352938</v>
      </c>
    </row>
    <row r="16" spans="1:22">
      <c r="A16" s="137" t="s">
        <v>11</v>
      </c>
      <c r="B16" s="139">
        <v>41486</v>
      </c>
      <c r="C16" s="138">
        <f ca="1"/>
        <v>3.317936087570621</v>
      </c>
      <c r="D16" s="138">
        <f ca="1"/>
        <v>6.387096774193548</v>
      </c>
    </row>
    <row r="17" spans="1:22" ht="13.2" customHeight="1">
      <c r="A17" s="137" t="s">
        <v>11</v>
      </c>
      <c r="B17" s="136">
        <v>41493</v>
      </c>
      <c r="C17" s="127">
        <f ca="1"/>
        <v>2.2513310381355924</v>
      </c>
      <c r="D17" s="127">
        <f ca="1"/>
        <v>7.9588235294117657</v>
      </c>
    </row>
    <row r="18" spans="1:22">
      <c r="A18" s="137" t="s">
        <v>11</v>
      </c>
      <c r="B18" s="136">
        <v>41500</v>
      </c>
      <c r="C18" s="127">
        <f ca="1"/>
        <v>3.0535690324858766</v>
      </c>
      <c r="D18" s="127">
        <f ca="1"/>
        <v>9.5679999999999996</v>
      </c>
    </row>
    <row r="19" spans="1:22">
      <c r="A19" s="137" t="s">
        <v>11</v>
      </c>
      <c r="B19" s="136">
        <v>41507</v>
      </c>
      <c r="C19" s="127">
        <f ca="1"/>
        <v>2.3391690397045726</v>
      </c>
      <c r="D19" s="127">
        <f ca="1"/>
        <v>11.430463576158941</v>
      </c>
    </row>
    <row r="20" spans="1:22">
      <c r="A20" s="137" t="s">
        <v>11</v>
      </c>
      <c r="B20" s="136">
        <v>41521</v>
      </c>
      <c r="C20" s="127">
        <f ca="1"/>
        <v>6.87</v>
      </c>
      <c r="D20" s="127">
        <f ca="1"/>
        <v>8.2940000000000005</v>
      </c>
    </row>
    <row r="21" spans="1:22">
      <c r="A21" s="137" t="s">
        <v>11</v>
      </c>
      <c r="B21" s="136">
        <v>41528</v>
      </c>
      <c r="C21" s="127">
        <f ca="1"/>
        <v>5.1305985822088571</v>
      </c>
      <c r="D21" s="127">
        <f ca="1"/>
        <v>14.335999999999999</v>
      </c>
    </row>
    <row r="22" spans="1:22">
      <c r="A22" s="137" t="s">
        <v>11</v>
      </c>
      <c r="B22" s="136">
        <v>41542</v>
      </c>
      <c r="C22" s="127">
        <f ca="1"/>
        <v>2.2875523123488408</v>
      </c>
      <c r="D22" s="127">
        <f ca="1"/>
        <v>5.319166666666665</v>
      </c>
    </row>
    <row r="23" spans="1:22">
      <c r="A23" s="135" t="s">
        <v>12</v>
      </c>
      <c r="B23" s="134">
        <v>41381</v>
      </c>
      <c r="C23" s="133">
        <f ca="1"/>
        <v>1.36692302259887</v>
      </c>
      <c r="D23" s="133" t="e">
        <f ca="1"/>
        <v>#N/A</v>
      </c>
    </row>
    <row r="24" spans="1:22">
      <c r="A24" s="135" t="s">
        <v>12</v>
      </c>
      <c r="B24" s="134">
        <v>41388</v>
      </c>
      <c r="C24" s="133">
        <f ca="1"/>
        <v>2.1225847457627118</v>
      </c>
      <c r="D24" s="133" t="e">
        <f ca="1"/>
        <v>#N/A</v>
      </c>
      <c r="V24" s="154"/>
    </row>
    <row r="25" spans="1:22" ht="13.2" customHeight="1">
      <c r="A25" s="135" t="s">
        <v>12</v>
      </c>
      <c r="B25" s="134">
        <v>41395</v>
      </c>
      <c r="C25" s="133">
        <f ca="1"/>
        <v>1.4695985169491523</v>
      </c>
      <c r="D25" s="133" t="e">
        <f ca="1"/>
        <v>#N/A</v>
      </c>
    </row>
    <row r="26" spans="1:22" ht="15" customHeight="1">
      <c r="A26" s="135" t="s">
        <v>12</v>
      </c>
      <c r="B26" s="134">
        <v>41403</v>
      </c>
      <c r="C26" s="133">
        <f ca="1"/>
        <v>0.96645462570621443</v>
      </c>
      <c r="D26" s="133" t="e">
        <f ca="1"/>
        <v>#N/A</v>
      </c>
    </row>
    <row r="27" spans="1:22" ht="12.6" customHeight="1">
      <c r="A27" s="135" t="s">
        <v>12</v>
      </c>
      <c r="B27" s="134">
        <v>41409</v>
      </c>
      <c r="C27" s="133">
        <f ca="1"/>
        <v>1.1150084745762707</v>
      </c>
      <c r="D27" s="133" t="e">
        <f ca="1"/>
        <v>#N/A</v>
      </c>
    </row>
    <row r="28" spans="1:22">
      <c r="A28" s="135" t="s">
        <v>12</v>
      </c>
      <c r="B28" s="134">
        <v>41416</v>
      </c>
      <c r="C28" s="133">
        <f ca="1"/>
        <v>0.96755685028248639</v>
      </c>
      <c r="D28" s="133" t="e">
        <f ca="1"/>
        <v>#N/A</v>
      </c>
    </row>
    <row r="29" spans="1:22">
      <c r="A29" s="135" t="s">
        <v>12</v>
      </c>
      <c r="B29" s="134">
        <v>41423</v>
      </c>
      <c r="C29" s="133">
        <f ca="1"/>
        <v>0.94609427966101667</v>
      </c>
      <c r="D29" s="133" t="e">
        <f ca="1"/>
        <v>#N/A</v>
      </c>
    </row>
    <row r="30" spans="1:22">
      <c r="A30" s="135" t="s">
        <v>12</v>
      </c>
      <c r="B30" s="134">
        <v>41430</v>
      </c>
      <c r="C30" s="133">
        <f ca="1"/>
        <v>0.8055158898305087</v>
      </c>
      <c r="D30" s="133" t="e">
        <f ca="1"/>
        <v>#N/A</v>
      </c>
    </row>
    <row r="31" spans="1:22" ht="13.2" customHeight="1">
      <c r="A31" s="135" t="s">
        <v>12</v>
      </c>
      <c r="B31" s="134">
        <v>41437</v>
      </c>
      <c r="C31" s="133">
        <f ca="1"/>
        <v>0.91407821327683558</v>
      </c>
      <c r="D31" s="133" t="e">
        <f ca="1"/>
        <v>#N/A</v>
      </c>
    </row>
    <row r="32" spans="1:22" ht="13.2" customHeight="1">
      <c r="A32" s="135" t="s">
        <v>12</v>
      </c>
      <c r="B32" s="134">
        <v>41444</v>
      </c>
      <c r="C32" s="133">
        <f ca="1"/>
        <v>1.4148022598870051</v>
      </c>
      <c r="D32" s="133" t="e">
        <f ca="1"/>
        <v>#N/A</v>
      </c>
    </row>
    <row r="33" spans="1:4" ht="13.2" customHeight="1">
      <c r="A33" s="135" t="s">
        <v>12</v>
      </c>
      <c r="B33" s="134">
        <v>41451</v>
      </c>
      <c r="C33" s="133">
        <f ca="1"/>
        <v>1.131833333333333</v>
      </c>
      <c r="D33" s="133" t="e">
        <f ca="1"/>
        <v>#N/A</v>
      </c>
    </row>
    <row r="34" spans="1:4" ht="13.2" customHeight="1">
      <c r="A34" s="135" t="s">
        <v>12</v>
      </c>
      <c r="B34" s="134">
        <v>41472</v>
      </c>
      <c r="C34" s="133">
        <f ca="1"/>
        <v>2.6386649011299443</v>
      </c>
      <c r="D34" s="133" t="e">
        <f ca="1"/>
        <v>#N/A</v>
      </c>
    </row>
    <row r="35" spans="1:4" ht="13.2" customHeight="1">
      <c r="A35" s="135" t="s">
        <v>12</v>
      </c>
      <c r="B35" s="134">
        <v>41479</v>
      </c>
      <c r="C35" s="133">
        <f ca="1"/>
        <v>2.2975349576271182</v>
      </c>
      <c r="D35" s="133" t="e">
        <f ca="1"/>
        <v>#N/A</v>
      </c>
    </row>
    <row r="36" spans="1:4" ht="13.2" customHeight="1">
      <c r="A36" s="135" t="s">
        <v>12</v>
      </c>
      <c r="B36" s="134">
        <v>41486</v>
      </c>
      <c r="C36" s="133">
        <f ca="1"/>
        <v>2.6738112641242928</v>
      </c>
      <c r="D36" s="133" t="e">
        <f ca="1"/>
        <v>#N/A</v>
      </c>
    </row>
    <row r="37" spans="1:4" ht="13.2" customHeight="1">
      <c r="A37" s="135" t="s">
        <v>12</v>
      </c>
      <c r="B37" s="134">
        <v>41493</v>
      </c>
      <c r="C37" s="133">
        <f ca="1"/>
        <v>2.0671608403954802</v>
      </c>
      <c r="D37" s="133" t="e">
        <f ca="1"/>
        <v>#N/A</v>
      </c>
    </row>
    <row r="38" spans="1:4">
      <c r="A38" s="135" t="s">
        <v>12</v>
      </c>
      <c r="B38" s="134">
        <v>41500</v>
      </c>
      <c r="C38" s="133">
        <f ca="1"/>
        <v>2.6075340748587577</v>
      </c>
      <c r="D38" s="133" t="e">
        <f ca="1"/>
        <v>#N/A</v>
      </c>
    </row>
    <row r="39" spans="1:4" ht="12.6" customHeight="1">
      <c r="A39" s="135" t="s">
        <v>12</v>
      </c>
      <c r="B39" s="134">
        <v>41507</v>
      </c>
      <c r="C39" s="133">
        <f ca="1"/>
        <v>2.2179193149717511</v>
      </c>
      <c r="D39" s="133" t="e">
        <f ca="1"/>
        <v>#N/A</v>
      </c>
    </row>
    <row r="40" spans="1:4" ht="12.6" customHeight="1">
      <c r="A40" s="135" t="s">
        <v>12</v>
      </c>
      <c r="B40" s="134">
        <v>41521</v>
      </c>
      <c r="C40" s="133" t="e">
        <f ca="1"/>
        <v>#N/A</v>
      </c>
      <c r="D40" s="133" t="e">
        <f ca="1"/>
        <v>#N/A</v>
      </c>
    </row>
    <row r="41" spans="1:4">
      <c r="A41" s="135" t="s">
        <v>12</v>
      </c>
      <c r="B41" s="134">
        <v>41528</v>
      </c>
      <c r="C41" s="133">
        <f ca="1"/>
        <v>3.0018667019774004</v>
      </c>
      <c r="D41" s="133" t="e">
        <f ca="1"/>
        <v>#N/A</v>
      </c>
    </row>
    <row r="42" spans="1:4">
      <c r="A42" s="135" t="s">
        <v>12</v>
      </c>
      <c r="B42" s="134">
        <v>41542</v>
      </c>
      <c r="C42" s="133">
        <f ca="1"/>
        <v>1.8449906606710471</v>
      </c>
      <c r="D42" s="133" t="e">
        <f ca="1"/>
        <v>#N/A</v>
      </c>
    </row>
    <row r="44" spans="1:4">
      <c r="C44" s="127"/>
    </row>
    <row r="46" spans="1:4">
      <c r="C46" s="127"/>
    </row>
    <row r="53" ht="12.6" customHeight="1"/>
    <row r="65" ht="13.2" customHeight="1"/>
    <row r="202" spans="2:4">
      <c r="B202" s="132"/>
      <c r="C202" s="131"/>
      <c r="D202" s="131"/>
    </row>
    <row r="203" spans="2:4">
      <c r="B203" s="132"/>
      <c r="C203" s="131"/>
      <c r="D203" s="131"/>
    </row>
    <row r="204" spans="2:4">
      <c r="B204" s="132"/>
      <c r="C204" s="131"/>
      <c r="D204" s="131"/>
    </row>
    <row r="205" spans="2:4">
      <c r="B205" s="132"/>
      <c r="C205" s="131"/>
      <c r="D205" s="131"/>
    </row>
    <row r="206" spans="2:4">
      <c r="B206" s="132"/>
      <c r="C206" s="131"/>
      <c r="D206" s="131"/>
    </row>
    <row r="207" spans="2:4">
      <c r="B207" s="132"/>
      <c r="C207" s="131"/>
      <c r="D207" s="131"/>
    </row>
    <row r="208" spans="2:4">
      <c r="B208" s="132"/>
      <c r="C208" s="131"/>
      <c r="D208" s="131"/>
    </row>
    <row r="209" spans="1:4">
      <c r="B209" s="132"/>
      <c r="C209" s="131"/>
      <c r="D209" s="131"/>
    </row>
    <row r="210" spans="1:4">
      <c r="A210" s="130"/>
      <c r="B210" s="129"/>
      <c r="C210" s="128"/>
      <c r="D210" s="128"/>
    </row>
    <row r="211" spans="1:4">
      <c r="A211" s="130"/>
      <c r="B211" s="129"/>
      <c r="C211" s="128"/>
      <c r="D211" s="128"/>
    </row>
    <row r="212" spans="1:4">
      <c r="A212" s="130"/>
      <c r="B212" s="129"/>
      <c r="C212" s="128"/>
      <c r="D212" s="128"/>
    </row>
    <row r="213" spans="1:4">
      <c r="A213" s="130"/>
      <c r="B213" s="129"/>
      <c r="C213" s="128"/>
      <c r="D213" s="128"/>
    </row>
    <row r="214" spans="1:4">
      <c r="A214" s="130"/>
      <c r="B214" s="129"/>
      <c r="C214" s="128"/>
      <c r="D214" s="128"/>
    </row>
    <row r="215" spans="1:4">
      <c r="A215" s="130"/>
      <c r="B215" s="129"/>
      <c r="C215" s="128"/>
      <c r="D215" s="128"/>
    </row>
    <row r="216" spans="1:4">
      <c r="A216" s="130"/>
      <c r="B216" s="129"/>
      <c r="C216" s="128"/>
      <c r="D216" s="128"/>
    </row>
    <row r="217" spans="1:4">
      <c r="A217" s="130"/>
      <c r="B217" s="129"/>
      <c r="C217" s="128"/>
      <c r="D217" s="128"/>
    </row>
    <row r="218" spans="1:4">
      <c r="A218" s="130"/>
      <c r="B218" s="129"/>
      <c r="C218" s="128"/>
      <c r="D218" s="128"/>
    </row>
    <row r="219" spans="1:4">
      <c r="A219" s="130"/>
      <c r="B219" s="129"/>
      <c r="C219" s="128"/>
      <c r="D219" s="128"/>
    </row>
    <row r="220" spans="1:4">
      <c r="A220" s="130"/>
      <c r="B220" s="129"/>
      <c r="C220" s="128"/>
      <c r="D220" s="128"/>
    </row>
    <row r="221" spans="1:4">
      <c r="A221" s="130"/>
      <c r="B221" s="129"/>
      <c r="C221" s="128"/>
      <c r="D221" s="128"/>
    </row>
    <row r="222" spans="1:4">
      <c r="B222" s="132"/>
      <c r="C222" s="131"/>
      <c r="D222" s="131"/>
    </row>
    <row r="223" spans="1:4">
      <c r="B223" s="132"/>
      <c r="C223" s="131"/>
      <c r="D223" s="131"/>
    </row>
    <row r="224" spans="1:4">
      <c r="B224" s="132"/>
      <c r="C224" s="131"/>
      <c r="D224" s="131"/>
    </row>
    <row r="225" spans="1:4">
      <c r="B225" s="132"/>
      <c r="C225" s="131"/>
      <c r="D225" s="131"/>
    </row>
    <row r="226" spans="1:4">
      <c r="B226" s="132"/>
      <c r="C226" s="131"/>
      <c r="D226" s="131"/>
    </row>
    <row r="227" spans="1:4">
      <c r="B227" s="132"/>
      <c r="C227" s="131"/>
      <c r="D227" s="131"/>
    </row>
    <row r="228" spans="1:4">
      <c r="B228" s="132"/>
      <c r="C228" s="131"/>
      <c r="D228" s="131"/>
    </row>
    <row r="229" spans="1:4">
      <c r="B229" s="132"/>
      <c r="C229" s="131"/>
      <c r="D229" s="131"/>
    </row>
    <row r="230" spans="1:4">
      <c r="B230" s="132"/>
      <c r="C230" s="131"/>
      <c r="D230" s="131"/>
    </row>
    <row r="231" spans="1:4">
      <c r="B231" s="132"/>
      <c r="C231" s="131"/>
      <c r="D231" s="131"/>
    </row>
    <row r="232" spans="1:4">
      <c r="B232" s="132"/>
      <c r="C232" s="131"/>
      <c r="D232" s="131"/>
    </row>
    <row r="233" spans="1:4">
      <c r="B233" s="132"/>
      <c r="C233" s="131"/>
      <c r="D233" s="131"/>
    </row>
    <row r="234" spans="1:4">
      <c r="A234" s="130"/>
      <c r="B234" s="129"/>
      <c r="C234" s="128"/>
      <c r="D234" s="128"/>
    </row>
    <row r="235" spans="1:4">
      <c r="A235" s="130"/>
      <c r="B235" s="129"/>
      <c r="C235" s="128"/>
      <c r="D235" s="128"/>
    </row>
    <row r="236" spans="1:4">
      <c r="A236" s="130"/>
      <c r="B236" s="129"/>
      <c r="C236" s="128"/>
      <c r="D236" s="128"/>
    </row>
    <row r="237" spans="1:4">
      <c r="A237" s="130"/>
      <c r="B237" s="129"/>
      <c r="C237" s="128"/>
      <c r="D237" s="128"/>
    </row>
    <row r="238" spans="1:4">
      <c r="A238" s="130"/>
      <c r="B238" s="129"/>
      <c r="C238" s="128"/>
      <c r="D238" s="128"/>
    </row>
    <row r="239" spans="1:4">
      <c r="A239" s="130"/>
      <c r="B239" s="129"/>
      <c r="C239" s="128"/>
      <c r="D239" s="128"/>
    </row>
    <row r="240" spans="1:4">
      <c r="A240" s="130"/>
      <c r="B240" s="129"/>
      <c r="C240" s="128"/>
      <c r="D240" s="128"/>
    </row>
    <row r="241" spans="1:4">
      <c r="A241" s="130"/>
      <c r="B241" s="129"/>
      <c r="C241" s="128"/>
      <c r="D241" s="128"/>
    </row>
    <row r="242" spans="1:4">
      <c r="A242" s="130"/>
      <c r="B242" s="129"/>
      <c r="C242" s="128"/>
      <c r="D242" s="128"/>
    </row>
    <row r="243" spans="1:4">
      <c r="A243" s="130"/>
      <c r="B243" s="129"/>
      <c r="C243" s="128"/>
      <c r="D243" s="128"/>
    </row>
    <row r="244" spans="1:4">
      <c r="A244" s="130"/>
      <c r="B244" s="129"/>
      <c r="C244" s="128"/>
      <c r="D244" s="128"/>
    </row>
    <row r="245" spans="1:4">
      <c r="A245" s="130"/>
      <c r="B245" s="129"/>
      <c r="C245" s="128"/>
      <c r="D245" s="128"/>
    </row>
    <row r="246" spans="1:4">
      <c r="B246" s="132"/>
      <c r="C246" s="131"/>
      <c r="D246" s="131"/>
    </row>
    <row r="247" spans="1:4">
      <c r="B247" s="132"/>
      <c r="C247" s="131"/>
      <c r="D247" s="131"/>
    </row>
    <row r="248" spans="1:4">
      <c r="B248" s="132"/>
      <c r="C248" s="131"/>
      <c r="D248" s="131"/>
    </row>
    <row r="249" spans="1:4">
      <c r="B249" s="132"/>
      <c r="C249" s="131"/>
      <c r="D249" s="131"/>
    </row>
    <row r="250" spans="1:4">
      <c r="B250" s="132"/>
      <c r="C250" s="131"/>
      <c r="D250" s="131"/>
    </row>
    <row r="251" spans="1:4">
      <c r="B251" s="132"/>
      <c r="C251" s="131"/>
      <c r="D251" s="131"/>
    </row>
    <row r="252" spans="1:4">
      <c r="B252" s="132"/>
      <c r="C252" s="131"/>
      <c r="D252" s="131"/>
    </row>
    <row r="253" spans="1:4">
      <c r="B253" s="132"/>
      <c r="C253" s="131"/>
      <c r="D253" s="131"/>
    </row>
    <row r="254" spans="1:4">
      <c r="B254" s="132"/>
      <c r="C254" s="131"/>
      <c r="D254" s="131"/>
    </row>
    <row r="255" spans="1:4">
      <c r="B255" s="132"/>
      <c r="C255" s="131"/>
      <c r="D255" s="131"/>
    </row>
    <row r="256" spans="1:4">
      <c r="B256" s="132"/>
      <c r="C256" s="131"/>
      <c r="D256" s="131"/>
    </row>
    <row r="257" spans="1:4">
      <c r="A257" s="130"/>
      <c r="B257" s="129"/>
      <c r="C257" s="128"/>
      <c r="D257" s="128"/>
    </row>
    <row r="258" spans="1:4">
      <c r="A258" s="130"/>
      <c r="B258" s="129"/>
      <c r="C258" s="128"/>
      <c r="D258" s="128"/>
    </row>
    <row r="259" spans="1:4">
      <c r="A259" s="130"/>
      <c r="B259" s="129"/>
      <c r="C259" s="128"/>
      <c r="D259" s="128"/>
    </row>
    <row r="260" spans="1:4">
      <c r="A260" s="130"/>
      <c r="B260" s="129"/>
      <c r="C260" s="128"/>
      <c r="D260" s="128"/>
    </row>
    <row r="261" spans="1:4">
      <c r="A261" s="130"/>
      <c r="B261" s="129"/>
      <c r="C261" s="128"/>
      <c r="D261" s="128"/>
    </row>
    <row r="262" spans="1:4">
      <c r="A262" s="130"/>
      <c r="B262" s="129"/>
      <c r="C262" s="128"/>
      <c r="D262" s="128"/>
    </row>
    <row r="263" spans="1:4">
      <c r="A263" s="130"/>
      <c r="B263" s="129"/>
      <c r="C263" s="128"/>
      <c r="D263" s="128"/>
    </row>
    <row r="264" spans="1:4">
      <c r="A264" s="130"/>
      <c r="B264" s="129"/>
      <c r="C264" s="128"/>
      <c r="D264" s="128"/>
    </row>
    <row r="265" spans="1:4">
      <c r="A265" s="130"/>
      <c r="B265" s="129"/>
      <c r="C265" s="128"/>
      <c r="D265" s="128"/>
    </row>
    <row r="266" spans="1:4">
      <c r="A266" s="130"/>
      <c r="B266" s="129"/>
      <c r="C266" s="128"/>
      <c r="D266" s="128"/>
    </row>
    <row r="267" spans="1:4">
      <c r="A267" s="130"/>
      <c r="B267" s="129"/>
      <c r="C267" s="128"/>
      <c r="D267" s="128"/>
    </row>
    <row r="268" spans="1:4">
      <c r="B268" s="132"/>
      <c r="C268" s="131"/>
      <c r="D268" s="131"/>
    </row>
    <row r="269" spans="1:4">
      <c r="B269" s="132"/>
      <c r="C269" s="131"/>
      <c r="D269" s="131"/>
    </row>
    <row r="270" spans="1:4">
      <c r="B270" s="132"/>
      <c r="C270" s="131"/>
      <c r="D270" s="131"/>
    </row>
    <row r="271" spans="1:4">
      <c r="B271" s="132"/>
      <c r="C271" s="131"/>
      <c r="D271" s="131"/>
    </row>
    <row r="272" spans="1:4">
      <c r="B272" s="132"/>
      <c r="C272" s="131"/>
      <c r="D272" s="131"/>
    </row>
    <row r="273" spans="1:4">
      <c r="B273" s="132"/>
      <c r="C273" s="131"/>
      <c r="D273" s="131"/>
    </row>
    <row r="274" spans="1:4">
      <c r="B274" s="132"/>
      <c r="C274" s="131"/>
      <c r="D274" s="131"/>
    </row>
    <row r="275" spans="1:4">
      <c r="B275" s="132"/>
      <c r="C275" s="131"/>
      <c r="D275" s="131"/>
    </row>
    <row r="276" spans="1:4">
      <c r="B276" s="132"/>
      <c r="C276" s="131"/>
      <c r="D276" s="131"/>
    </row>
    <row r="277" spans="1:4">
      <c r="B277" s="132"/>
      <c r="C277" s="131"/>
      <c r="D277" s="131"/>
    </row>
    <row r="278" spans="1:4">
      <c r="B278" s="132"/>
      <c r="C278" s="131"/>
      <c r="D278" s="131"/>
    </row>
    <row r="279" spans="1:4">
      <c r="A279" s="130"/>
      <c r="B279" s="129"/>
      <c r="C279" s="128"/>
      <c r="D279" s="128"/>
    </row>
    <row r="280" spans="1:4">
      <c r="A280" s="130"/>
      <c r="B280" s="129"/>
      <c r="C280" s="128"/>
      <c r="D280" s="128"/>
    </row>
    <row r="281" spans="1:4">
      <c r="A281" s="130"/>
      <c r="B281" s="129"/>
      <c r="C281" s="128"/>
      <c r="D281" s="128"/>
    </row>
    <row r="282" spans="1:4">
      <c r="A282" s="130"/>
      <c r="B282" s="129"/>
      <c r="C282" s="128"/>
      <c r="D282" s="128"/>
    </row>
    <row r="283" spans="1:4">
      <c r="A283" s="130"/>
      <c r="B283" s="129"/>
      <c r="C283" s="128"/>
      <c r="D283" s="128"/>
    </row>
    <row r="284" spans="1:4">
      <c r="A284" s="130"/>
      <c r="B284" s="129"/>
      <c r="C284" s="128"/>
      <c r="D284" s="128"/>
    </row>
    <row r="285" spans="1:4">
      <c r="A285" s="130"/>
      <c r="B285" s="129"/>
      <c r="C285" s="128"/>
      <c r="D285" s="128"/>
    </row>
    <row r="286" spans="1:4">
      <c r="A286" s="130"/>
      <c r="B286" s="129"/>
      <c r="C286" s="128"/>
      <c r="D286" s="128"/>
    </row>
    <row r="287" spans="1:4">
      <c r="A287" s="130"/>
      <c r="B287" s="129"/>
      <c r="C287" s="128"/>
      <c r="D287" s="128"/>
    </row>
    <row r="288" spans="1:4">
      <c r="A288" s="130"/>
      <c r="B288" s="129"/>
      <c r="C288" s="128"/>
      <c r="D288" s="128"/>
    </row>
    <row r="289" spans="1:4">
      <c r="A289" s="130"/>
      <c r="B289" s="129"/>
      <c r="C289" s="128"/>
      <c r="D289" s="128"/>
    </row>
    <row r="290" spans="1:4">
      <c r="B290" s="132"/>
      <c r="C290" s="131"/>
      <c r="D290" s="131"/>
    </row>
    <row r="291" spans="1:4">
      <c r="B291" s="132"/>
      <c r="C291" s="131"/>
      <c r="D291" s="131"/>
    </row>
    <row r="292" spans="1:4">
      <c r="B292" s="132"/>
      <c r="C292" s="131"/>
      <c r="D292" s="131"/>
    </row>
    <row r="293" spans="1:4">
      <c r="B293" s="132"/>
      <c r="C293" s="131"/>
      <c r="D293" s="131"/>
    </row>
    <row r="294" spans="1:4">
      <c r="B294" s="132"/>
      <c r="C294" s="131"/>
      <c r="D294" s="131"/>
    </row>
    <row r="295" spans="1:4">
      <c r="B295" s="132"/>
      <c r="C295" s="131"/>
      <c r="D295" s="131"/>
    </row>
    <row r="296" spans="1:4">
      <c r="B296" s="132"/>
      <c r="C296" s="131"/>
      <c r="D296" s="131"/>
    </row>
    <row r="297" spans="1:4">
      <c r="B297" s="132"/>
      <c r="C297" s="131"/>
      <c r="D297" s="131"/>
    </row>
    <row r="298" spans="1:4">
      <c r="B298" s="132"/>
      <c r="C298" s="131"/>
      <c r="D298" s="131"/>
    </row>
    <row r="299" spans="1:4">
      <c r="B299" s="132"/>
      <c r="C299" s="131"/>
      <c r="D299" s="131"/>
    </row>
    <row r="300" spans="1:4">
      <c r="B300" s="132"/>
      <c r="C300" s="131"/>
      <c r="D300" s="131"/>
    </row>
    <row r="301" spans="1:4">
      <c r="A301" s="130"/>
      <c r="B301" s="129"/>
      <c r="C301" s="128"/>
      <c r="D301" s="128"/>
    </row>
    <row r="302" spans="1:4">
      <c r="A302" s="130"/>
      <c r="B302" s="129"/>
      <c r="C302" s="128"/>
      <c r="D302" s="128"/>
    </row>
    <row r="303" spans="1:4">
      <c r="A303" s="130"/>
      <c r="B303" s="129"/>
      <c r="C303" s="128"/>
      <c r="D303" s="128"/>
    </row>
    <row r="304" spans="1:4">
      <c r="A304" s="130"/>
      <c r="B304" s="129"/>
      <c r="C304" s="128"/>
      <c r="D304" s="128"/>
    </row>
    <row r="305" spans="1:4">
      <c r="A305" s="130"/>
      <c r="B305" s="129"/>
      <c r="C305" s="128"/>
      <c r="D305" s="128"/>
    </row>
    <row r="306" spans="1:4">
      <c r="A306" s="130"/>
      <c r="B306" s="129"/>
      <c r="C306" s="128"/>
      <c r="D306" s="128"/>
    </row>
    <row r="307" spans="1:4">
      <c r="A307" s="130"/>
      <c r="B307" s="129"/>
      <c r="C307" s="128"/>
      <c r="D307" s="128"/>
    </row>
    <row r="308" spans="1:4">
      <c r="A308" s="130"/>
      <c r="B308" s="129"/>
      <c r="C308" s="128"/>
      <c r="D308" s="128"/>
    </row>
    <row r="309" spans="1:4">
      <c r="A309" s="130"/>
      <c r="B309" s="129"/>
      <c r="C309" s="128"/>
      <c r="D309" s="128"/>
    </row>
    <row r="310" spans="1:4">
      <c r="A310" s="130"/>
      <c r="B310" s="129"/>
      <c r="C310" s="128"/>
      <c r="D310" s="128"/>
    </row>
    <row r="311" spans="1:4">
      <c r="A311" s="130"/>
      <c r="B311" s="129"/>
      <c r="C311" s="128"/>
      <c r="D311" s="128"/>
    </row>
    <row r="312" spans="1:4">
      <c r="B312" s="132"/>
      <c r="C312" s="131"/>
      <c r="D312" s="131"/>
    </row>
    <row r="313" spans="1:4">
      <c r="B313" s="132"/>
      <c r="C313" s="131"/>
      <c r="D313" s="131"/>
    </row>
    <row r="314" spans="1:4">
      <c r="B314" s="132"/>
      <c r="C314" s="131"/>
      <c r="D314" s="131"/>
    </row>
    <row r="315" spans="1:4">
      <c r="B315" s="132"/>
      <c r="C315" s="131"/>
      <c r="D315" s="131"/>
    </row>
    <row r="316" spans="1:4">
      <c r="B316" s="132"/>
      <c r="C316" s="131"/>
      <c r="D316" s="131"/>
    </row>
    <row r="317" spans="1:4">
      <c r="B317" s="132"/>
      <c r="C317" s="131"/>
      <c r="D317" s="131"/>
    </row>
    <row r="318" spans="1:4">
      <c r="B318" s="132"/>
      <c r="C318" s="131"/>
      <c r="D318" s="131"/>
    </row>
    <row r="319" spans="1:4">
      <c r="B319" s="132"/>
      <c r="C319" s="131"/>
      <c r="D319" s="131"/>
    </row>
    <row r="320" spans="1:4">
      <c r="B320" s="132"/>
      <c r="C320" s="131"/>
      <c r="D320" s="131"/>
    </row>
    <row r="321" spans="1:4">
      <c r="B321" s="132"/>
      <c r="C321" s="131"/>
      <c r="D321" s="131"/>
    </row>
    <row r="322" spans="1:4">
      <c r="B322" s="132"/>
      <c r="C322" s="131"/>
      <c r="D322" s="131"/>
    </row>
    <row r="323" spans="1:4">
      <c r="A323" s="130"/>
      <c r="B323" s="129"/>
      <c r="C323" s="128"/>
      <c r="D323" s="128"/>
    </row>
    <row r="324" spans="1:4">
      <c r="A324" s="130"/>
      <c r="B324" s="129"/>
      <c r="C324" s="128"/>
      <c r="D324" s="128"/>
    </row>
    <row r="325" spans="1:4">
      <c r="A325" s="130"/>
      <c r="B325" s="129"/>
      <c r="C325" s="128"/>
      <c r="D325" s="128"/>
    </row>
    <row r="326" spans="1:4">
      <c r="A326" s="130"/>
      <c r="B326" s="129"/>
      <c r="C326" s="128"/>
      <c r="D326" s="128"/>
    </row>
    <row r="327" spans="1:4">
      <c r="A327" s="130"/>
      <c r="B327" s="129"/>
      <c r="C327" s="128"/>
      <c r="D327" s="128"/>
    </row>
    <row r="328" spans="1:4">
      <c r="A328" s="130"/>
      <c r="B328" s="129"/>
      <c r="C328" s="128"/>
      <c r="D328" s="128"/>
    </row>
    <row r="329" spans="1:4">
      <c r="A329" s="130"/>
      <c r="B329" s="129"/>
      <c r="C329" s="128"/>
      <c r="D329" s="128"/>
    </row>
    <row r="330" spans="1:4">
      <c r="A330" s="130"/>
      <c r="B330" s="129"/>
      <c r="C330" s="128"/>
      <c r="D330" s="128"/>
    </row>
    <row r="331" spans="1:4">
      <c r="A331" s="130"/>
      <c r="B331" s="129"/>
      <c r="C331" s="128"/>
      <c r="D331" s="128"/>
    </row>
    <row r="332" spans="1:4">
      <c r="A332" s="130"/>
      <c r="B332" s="129"/>
      <c r="C332" s="128"/>
      <c r="D332" s="128"/>
    </row>
    <row r="333" spans="1:4">
      <c r="A333" s="130"/>
      <c r="B333" s="129"/>
      <c r="C333" s="128"/>
      <c r="D333" s="128"/>
    </row>
    <row r="334" spans="1:4">
      <c r="B334" s="132"/>
      <c r="C334" s="131"/>
      <c r="D334" s="131"/>
    </row>
    <row r="335" spans="1:4">
      <c r="B335" s="132"/>
      <c r="C335" s="131"/>
      <c r="D335" s="131"/>
    </row>
    <row r="336" spans="1:4">
      <c r="B336" s="132"/>
      <c r="C336" s="131"/>
      <c r="D336" s="131"/>
    </row>
    <row r="337" spans="1:4">
      <c r="B337" s="132"/>
      <c r="C337" s="131"/>
      <c r="D337" s="131"/>
    </row>
    <row r="338" spans="1:4">
      <c r="B338" s="132"/>
      <c r="C338" s="131"/>
      <c r="D338" s="131"/>
    </row>
    <row r="339" spans="1:4">
      <c r="B339" s="132"/>
      <c r="C339" s="131"/>
      <c r="D339" s="131"/>
    </row>
    <row r="340" spans="1:4">
      <c r="B340" s="132"/>
      <c r="C340" s="131"/>
      <c r="D340" s="131"/>
    </row>
    <row r="341" spans="1:4">
      <c r="B341" s="132"/>
      <c r="C341" s="131"/>
      <c r="D341" s="131"/>
    </row>
    <row r="342" spans="1:4">
      <c r="B342" s="132"/>
      <c r="C342" s="131"/>
      <c r="D342" s="131"/>
    </row>
    <row r="343" spans="1:4">
      <c r="B343" s="132"/>
      <c r="C343" s="131"/>
      <c r="D343" s="131"/>
    </row>
    <row r="344" spans="1:4">
      <c r="B344" s="132"/>
      <c r="C344" s="131"/>
      <c r="D344" s="131"/>
    </row>
    <row r="345" spans="1:4">
      <c r="B345" s="132"/>
      <c r="C345" s="131"/>
      <c r="D345" s="131"/>
    </row>
    <row r="346" spans="1:4">
      <c r="B346" s="132"/>
      <c r="C346" s="131"/>
      <c r="D346" s="131"/>
    </row>
    <row r="347" spans="1:4">
      <c r="A347" s="130"/>
      <c r="B347" s="129"/>
      <c r="C347" s="128"/>
      <c r="D347" s="128"/>
    </row>
    <row r="348" spans="1:4">
      <c r="A348" s="130"/>
      <c r="B348" s="129"/>
      <c r="C348" s="128"/>
      <c r="D348" s="128"/>
    </row>
    <row r="349" spans="1:4">
      <c r="A349" s="130"/>
      <c r="B349" s="129"/>
      <c r="C349" s="128"/>
      <c r="D349" s="128"/>
    </row>
    <row r="350" spans="1:4">
      <c r="A350" s="130"/>
      <c r="B350" s="129"/>
      <c r="C350" s="128"/>
      <c r="D350" s="128"/>
    </row>
    <row r="351" spans="1:4">
      <c r="A351" s="130"/>
      <c r="B351" s="129"/>
      <c r="C351" s="128"/>
      <c r="D351" s="128"/>
    </row>
    <row r="352" spans="1:4">
      <c r="A352" s="130"/>
      <c r="B352" s="129"/>
      <c r="C352" s="128"/>
      <c r="D352" s="128"/>
    </row>
    <row r="353" spans="1:4">
      <c r="A353" s="130"/>
      <c r="B353" s="129"/>
      <c r="C353" s="128"/>
      <c r="D353" s="128"/>
    </row>
    <row r="354" spans="1:4">
      <c r="A354" s="130"/>
      <c r="B354" s="129"/>
      <c r="C354" s="128"/>
      <c r="D354" s="128"/>
    </row>
    <row r="355" spans="1:4">
      <c r="A355" s="130"/>
      <c r="B355" s="129"/>
      <c r="C355" s="128"/>
      <c r="D355" s="128"/>
    </row>
    <row r="356" spans="1:4">
      <c r="A356" s="130"/>
      <c r="B356" s="129"/>
      <c r="C356" s="128"/>
      <c r="D356" s="128"/>
    </row>
    <row r="357" spans="1:4">
      <c r="A357" s="130"/>
      <c r="B357" s="129"/>
      <c r="C357" s="128"/>
      <c r="D357" s="128"/>
    </row>
    <row r="358" spans="1:4">
      <c r="A358" s="130"/>
      <c r="B358" s="129"/>
      <c r="C358" s="128"/>
      <c r="D358" s="128"/>
    </row>
    <row r="359" spans="1:4">
      <c r="A359" s="130"/>
      <c r="B359" s="129"/>
      <c r="C359" s="128"/>
      <c r="D359" s="128"/>
    </row>
    <row r="360" spans="1:4">
      <c r="B360" s="132"/>
      <c r="C360" s="131"/>
      <c r="D360" s="131"/>
    </row>
    <row r="361" spans="1:4">
      <c r="B361" s="132"/>
      <c r="C361" s="131"/>
      <c r="D361" s="131"/>
    </row>
    <row r="362" spans="1:4">
      <c r="B362" s="132"/>
      <c r="C362" s="131"/>
      <c r="D362" s="131"/>
    </row>
    <row r="363" spans="1:4">
      <c r="B363" s="132"/>
      <c r="C363" s="131"/>
      <c r="D363" s="131"/>
    </row>
    <row r="364" spans="1:4">
      <c r="B364" s="132"/>
      <c r="C364" s="131"/>
      <c r="D364" s="131"/>
    </row>
    <row r="365" spans="1:4">
      <c r="B365" s="132"/>
      <c r="C365" s="131"/>
      <c r="D365" s="131"/>
    </row>
    <row r="366" spans="1:4">
      <c r="B366" s="132"/>
      <c r="C366" s="131"/>
      <c r="D366" s="131"/>
    </row>
    <row r="367" spans="1:4">
      <c r="B367" s="132"/>
      <c r="C367" s="131"/>
      <c r="D367" s="131"/>
    </row>
    <row r="368" spans="1:4">
      <c r="B368" s="132"/>
      <c r="C368" s="131"/>
      <c r="D368" s="131"/>
    </row>
    <row r="369" spans="1:4">
      <c r="B369" s="132"/>
      <c r="C369" s="131"/>
      <c r="D369" s="131"/>
    </row>
    <row r="370" spans="1:4">
      <c r="B370" s="132"/>
      <c r="C370" s="131"/>
      <c r="D370" s="131"/>
    </row>
    <row r="371" spans="1:4">
      <c r="B371" s="132"/>
      <c r="C371" s="131"/>
      <c r="D371" s="131"/>
    </row>
    <row r="372" spans="1:4">
      <c r="B372" s="132"/>
      <c r="C372" s="131"/>
      <c r="D372" s="131"/>
    </row>
    <row r="373" spans="1:4">
      <c r="A373" s="130"/>
      <c r="B373" s="129"/>
      <c r="C373" s="128"/>
      <c r="D373" s="128"/>
    </row>
    <row r="374" spans="1:4">
      <c r="A374" s="130"/>
      <c r="B374" s="129"/>
      <c r="C374" s="128"/>
      <c r="D374" s="128"/>
    </row>
    <row r="375" spans="1:4">
      <c r="A375" s="130"/>
      <c r="B375" s="129"/>
      <c r="C375" s="128"/>
      <c r="D375" s="128"/>
    </row>
    <row r="376" spans="1:4">
      <c r="A376" s="130"/>
      <c r="B376" s="129"/>
      <c r="C376" s="128"/>
      <c r="D376" s="128"/>
    </row>
    <row r="377" spans="1:4">
      <c r="A377" s="130"/>
      <c r="B377" s="129"/>
      <c r="C377" s="128"/>
      <c r="D377" s="128"/>
    </row>
    <row r="378" spans="1:4">
      <c r="A378" s="130"/>
      <c r="B378" s="129"/>
      <c r="C378" s="128"/>
      <c r="D378" s="128"/>
    </row>
    <row r="379" spans="1:4">
      <c r="A379" s="130"/>
      <c r="B379" s="129"/>
      <c r="C379" s="128"/>
      <c r="D379" s="128"/>
    </row>
    <row r="380" spans="1:4">
      <c r="A380" s="130"/>
      <c r="B380" s="129"/>
      <c r="C380" s="128"/>
      <c r="D380" s="128"/>
    </row>
    <row r="381" spans="1:4">
      <c r="A381" s="130"/>
      <c r="B381" s="129"/>
      <c r="C381" s="128"/>
      <c r="D381" s="128"/>
    </row>
    <row r="382" spans="1:4">
      <c r="A382" s="130"/>
      <c r="B382" s="129"/>
      <c r="C382" s="128"/>
      <c r="D382" s="128"/>
    </row>
    <row r="383" spans="1:4">
      <c r="A383" s="130"/>
      <c r="B383" s="129"/>
      <c r="C383" s="128"/>
      <c r="D383" s="128"/>
    </row>
    <row r="384" spans="1:4">
      <c r="A384" s="130"/>
      <c r="B384" s="129"/>
      <c r="C384" s="128"/>
      <c r="D384" s="128"/>
    </row>
    <row r="385" spans="1:4">
      <c r="A385" s="130"/>
      <c r="B385" s="129"/>
      <c r="C385" s="128"/>
      <c r="D385" s="128"/>
    </row>
    <row r="386" spans="1:4">
      <c r="B386" s="132"/>
      <c r="C386" s="131"/>
      <c r="D386" s="131"/>
    </row>
    <row r="387" spans="1:4">
      <c r="B387" s="132"/>
      <c r="C387" s="131"/>
      <c r="D387" s="131"/>
    </row>
    <row r="388" spans="1:4">
      <c r="B388" s="132"/>
      <c r="C388" s="131"/>
      <c r="D388" s="131"/>
    </row>
    <row r="389" spans="1:4">
      <c r="B389" s="132"/>
      <c r="C389" s="131"/>
      <c r="D389" s="131"/>
    </row>
    <row r="390" spans="1:4">
      <c r="B390" s="132"/>
      <c r="C390" s="131"/>
      <c r="D390" s="131"/>
    </row>
    <row r="391" spans="1:4">
      <c r="B391" s="132"/>
      <c r="C391" s="131"/>
      <c r="D391" s="131"/>
    </row>
    <row r="392" spans="1:4">
      <c r="B392" s="132"/>
      <c r="C392" s="131"/>
      <c r="D392" s="131"/>
    </row>
    <row r="393" spans="1:4">
      <c r="B393" s="132"/>
      <c r="C393" s="131"/>
      <c r="D393" s="131"/>
    </row>
    <row r="394" spans="1:4">
      <c r="B394" s="132"/>
      <c r="C394" s="131"/>
      <c r="D394" s="131"/>
    </row>
    <row r="395" spans="1:4">
      <c r="B395" s="132"/>
      <c r="C395" s="131"/>
      <c r="D395" s="131"/>
    </row>
    <row r="396" spans="1:4">
      <c r="B396" s="132"/>
      <c r="C396" s="131"/>
      <c r="D396" s="131"/>
    </row>
    <row r="397" spans="1:4">
      <c r="B397" s="132"/>
      <c r="C397" s="131"/>
      <c r="D397" s="131"/>
    </row>
    <row r="398" spans="1:4">
      <c r="B398" s="132"/>
      <c r="C398" s="131"/>
      <c r="D398" s="131"/>
    </row>
    <row r="399" spans="1:4">
      <c r="B399" s="132"/>
      <c r="C399" s="131"/>
      <c r="D399" s="131"/>
    </row>
    <row r="400" spans="1:4">
      <c r="A400" s="130"/>
      <c r="B400" s="129"/>
      <c r="C400" s="128"/>
      <c r="D400" s="128"/>
    </row>
    <row r="401" spans="1:4">
      <c r="A401" s="130"/>
      <c r="B401" s="129"/>
      <c r="C401" s="128"/>
      <c r="D401" s="128"/>
    </row>
    <row r="402" spans="1:4">
      <c r="A402" s="130"/>
      <c r="B402" s="129"/>
      <c r="C402" s="128"/>
      <c r="D402" s="128"/>
    </row>
    <row r="403" spans="1:4">
      <c r="A403" s="130"/>
      <c r="B403" s="129"/>
      <c r="C403" s="128"/>
      <c r="D403" s="128"/>
    </row>
    <row r="404" spans="1:4">
      <c r="A404" s="130"/>
      <c r="B404" s="129"/>
      <c r="C404" s="128"/>
      <c r="D404" s="128"/>
    </row>
    <row r="405" spans="1:4">
      <c r="A405" s="130"/>
      <c r="B405" s="129"/>
      <c r="C405" s="128"/>
      <c r="D405" s="128"/>
    </row>
    <row r="406" spans="1:4">
      <c r="A406" s="130"/>
      <c r="B406" s="129"/>
      <c r="C406" s="128"/>
      <c r="D406" s="128"/>
    </row>
    <row r="407" spans="1:4">
      <c r="A407" s="130"/>
      <c r="B407" s="129"/>
      <c r="C407" s="128"/>
      <c r="D407" s="128"/>
    </row>
    <row r="408" spans="1:4">
      <c r="A408" s="130"/>
      <c r="B408" s="129"/>
      <c r="C408" s="128"/>
      <c r="D408" s="128"/>
    </row>
    <row r="409" spans="1:4">
      <c r="A409" s="130"/>
      <c r="B409" s="129"/>
      <c r="C409" s="128"/>
      <c r="D409" s="128"/>
    </row>
    <row r="410" spans="1:4">
      <c r="A410" s="130"/>
      <c r="B410" s="129"/>
      <c r="C410" s="128"/>
      <c r="D410" s="128"/>
    </row>
    <row r="411" spans="1:4">
      <c r="A411" s="130"/>
      <c r="B411" s="129"/>
      <c r="C411" s="128"/>
      <c r="D411" s="128"/>
    </row>
    <row r="412" spans="1:4">
      <c r="A412" s="130"/>
      <c r="B412" s="129"/>
      <c r="C412" s="128"/>
      <c r="D412" s="128"/>
    </row>
    <row r="413" spans="1:4">
      <c r="A413" s="130"/>
      <c r="B413" s="129"/>
      <c r="C413" s="128"/>
      <c r="D413" s="128"/>
    </row>
    <row r="414" spans="1:4">
      <c r="B414" s="132"/>
      <c r="C414" s="131"/>
      <c r="D414" s="131"/>
    </row>
    <row r="415" spans="1:4">
      <c r="B415" s="132"/>
      <c r="C415" s="131"/>
      <c r="D415" s="131"/>
    </row>
    <row r="416" spans="1:4">
      <c r="B416" s="132"/>
      <c r="C416" s="131"/>
      <c r="D416" s="131"/>
    </row>
    <row r="417" spans="1:4">
      <c r="B417" s="132"/>
      <c r="C417" s="131"/>
      <c r="D417" s="131"/>
    </row>
    <row r="418" spans="1:4">
      <c r="B418" s="132"/>
      <c r="C418" s="131"/>
      <c r="D418" s="131"/>
    </row>
    <row r="419" spans="1:4">
      <c r="B419" s="132"/>
      <c r="C419" s="131"/>
      <c r="D419" s="131"/>
    </row>
    <row r="420" spans="1:4">
      <c r="B420" s="132"/>
      <c r="C420" s="131"/>
      <c r="D420" s="131"/>
    </row>
    <row r="421" spans="1:4">
      <c r="B421" s="132"/>
      <c r="C421" s="131"/>
      <c r="D421" s="131"/>
    </row>
    <row r="422" spans="1:4">
      <c r="B422" s="132"/>
      <c r="C422" s="131"/>
      <c r="D422" s="131"/>
    </row>
    <row r="423" spans="1:4">
      <c r="B423" s="132"/>
      <c r="C423" s="131"/>
      <c r="D423" s="131"/>
    </row>
    <row r="424" spans="1:4">
      <c r="B424" s="132"/>
      <c r="C424" s="131"/>
      <c r="D424" s="131"/>
    </row>
    <row r="425" spans="1:4">
      <c r="A425" s="130"/>
      <c r="B425" s="129"/>
      <c r="C425" s="128"/>
      <c r="D425" s="128"/>
    </row>
    <row r="426" spans="1:4">
      <c r="A426" s="130"/>
      <c r="B426" s="129"/>
      <c r="C426" s="128"/>
      <c r="D426" s="128"/>
    </row>
    <row r="427" spans="1:4">
      <c r="A427" s="130"/>
      <c r="B427" s="129"/>
      <c r="C427" s="128"/>
      <c r="D427" s="128"/>
    </row>
    <row r="428" spans="1:4">
      <c r="A428" s="130"/>
      <c r="B428" s="129"/>
      <c r="C428" s="128"/>
      <c r="D428" s="128"/>
    </row>
    <row r="429" spans="1:4">
      <c r="A429" s="130"/>
      <c r="B429" s="129"/>
      <c r="C429" s="128"/>
      <c r="D429" s="128"/>
    </row>
    <row r="430" spans="1:4">
      <c r="A430" s="130"/>
      <c r="B430" s="129"/>
      <c r="C430" s="128"/>
      <c r="D430" s="128"/>
    </row>
    <row r="431" spans="1:4">
      <c r="A431" s="130"/>
      <c r="B431" s="129"/>
      <c r="C431" s="128"/>
      <c r="D431" s="128"/>
    </row>
    <row r="432" spans="1:4">
      <c r="A432" s="130"/>
      <c r="B432" s="129"/>
      <c r="C432" s="128"/>
      <c r="D432" s="128"/>
    </row>
    <row r="433" spans="1:4">
      <c r="A433" s="130"/>
      <c r="B433" s="129"/>
      <c r="C433" s="128"/>
      <c r="D433" s="128"/>
    </row>
    <row r="434" spans="1:4">
      <c r="A434" s="130"/>
      <c r="B434" s="129"/>
      <c r="C434" s="128"/>
      <c r="D434" s="128"/>
    </row>
    <row r="435" spans="1:4">
      <c r="A435" s="130"/>
      <c r="B435" s="129"/>
      <c r="C435" s="128"/>
      <c r="D435" s="128"/>
    </row>
    <row r="436" spans="1:4">
      <c r="B436" s="132"/>
      <c r="C436" s="131"/>
      <c r="D436" s="131"/>
    </row>
    <row r="437" spans="1:4">
      <c r="B437" s="132"/>
      <c r="C437" s="131"/>
      <c r="D437" s="131"/>
    </row>
    <row r="438" spans="1:4">
      <c r="B438" s="132"/>
      <c r="C438" s="131"/>
      <c r="D438" s="131"/>
    </row>
    <row r="439" spans="1:4">
      <c r="B439" s="132"/>
      <c r="C439" s="131"/>
      <c r="D439" s="131"/>
    </row>
    <row r="440" spans="1:4">
      <c r="B440" s="132"/>
      <c r="C440" s="131"/>
      <c r="D440" s="131"/>
    </row>
    <row r="441" spans="1:4">
      <c r="B441" s="132"/>
      <c r="C441" s="131"/>
      <c r="D441" s="131"/>
    </row>
    <row r="442" spans="1:4">
      <c r="B442" s="132"/>
      <c r="C442" s="131"/>
      <c r="D442" s="131"/>
    </row>
    <row r="443" spans="1:4">
      <c r="B443" s="132"/>
      <c r="C443" s="131"/>
      <c r="D443" s="131"/>
    </row>
    <row r="444" spans="1:4">
      <c r="B444" s="132"/>
      <c r="C444" s="131"/>
      <c r="D444" s="131"/>
    </row>
    <row r="445" spans="1:4">
      <c r="B445" s="132"/>
      <c r="C445" s="131"/>
      <c r="D445" s="131"/>
    </row>
    <row r="446" spans="1:4">
      <c r="B446" s="132"/>
      <c r="C446" s="131"/>
      <c r="D446" s="131"/>
    </row>
    <row r="447" spans="1:4">
      <c r="A447" s="130"/>
      <c r="B447" s="129"/>
      <c r="C447" s="128"/>
      <c r="D447" s="128"/>
    </row>
    <row r="448" spans="1:4">
      <c r="A448" s="130"/>
      <c r="B448" s="129"/>
      <c r="C448" s="128"/>
      <c r="D448" s="128"/>
    </row>
    <row r="449" spans="1:4">
      <c r="A449" s="130"/>
      <c r="B449" s="129"/>
      <c r="C449" s="128"/>
      <c r="D449" s="128"/>
    </row>
    <row r="450" spans="1:4">
      <c r="A450" s="130"/>
      <c r="B450" s="129"/>
      <c r="C450" s="128"/>
      <c r="D450" s="128"/>
    </row>
    <row r="451" spans="1:4">
      <c r="A451" s="130"/>
      <c r="B451" s="129"/>
      <c r="C451" s="128"/>
      <c r="D451" s="128"/>
    </row>
    <row r="452" spans="1:4">
      <c r="A452" s="130"/>
      <c r="B452" s="129"/>
      <c r="C452" s="128"/>
      <c r="D452" s="128"/>
    </row>
    <row r="453" spans="1:4">
      <c r="A453" s="130"/>
      <c r="B453" s="129"/>
      <c r="C453" s="128"/>
      <c r="D453" s="128"/>
    </row>
    <row r="454" spans="1:4">
      <c r="A454" s="130"/>
      <c r="B454" s="129"/>
      <c r="C454" s="128"/>
      <c r="D454" s="128"/>
    </row>
    <row r="455" spans="1:4">
      <c r="A455" s="130"/>
      <c r="B455" s="129"/>
      <c r="C455" s="128"/>
      <c r="D455" s="128"/>
    </row>
    <row r="456" spans="1:4">
      <c r="A456" s="130"/>
      <c r="B456" s="129"/>
      <c r="C456" s="128"/>
      <c r="D456" s="128"/>
    </row>
    <row r="457" spans="1:4">
      <c r="A457" s="130"/>
      <c r="B457" s="129"/>
      <c r="C457" s="128"/>
      <c r="D457" s="128"/>
    </row>
    <row r="458" spans="1:4">
      <c r="B458" s="132"/>
      <c r="C458" s="131"/>
      <c r="D458" s="131"/>
    </row>
    <row r="459" spans="1:4">
      <c r="B459" s="132"/>
      <c r="C459" s="131"/>
      <c r="D459" s="131"/>
    </row>
    <row r="460" spans="1:4">
      <c r="B460" s="132"/>
      <c r="C460" s="131"/>
      <c r="D460" s="131"/>
    </row>
    <row r="461" spans="1:4">
      <c r="B461" s="132"/>
      <c r="C461" s="131"/>
      <c r="D461" s="131"/>
    </row>
    <row r="462" spans="1:4">
      <c r="B462" s="132"/>
      <c r="C462" s="131"/>
      <c r="D462" s="131"/>
    </row>
    <row r="463" spans="1:4">
      <c r="B463" s="132"/>
      <c r="C463" s="131"/>
      <c r="D463" s="131"/>
    </row>
    <row r="464" spans="1:4">
      <c r="B464" s="132"/>
      <c r="C464" s="131"/>
      <c r="D464" s="131"/>
    </row>
    <row r="465" spans="1:4">
      <c r="B465" s="132"/>
      <c r="C465" s="131"/>
      <c r="D465" s="131"/>
    </row>
    <row r="466" spans="1:4">
      <c r="B466" s="132"/>
      <c r="C466" s="131"/>
      <c r="D466" s="131"/>
    </row>
    <row r="467" spans="1:4">
      <c r="B467" s="132"/>
      <c r="C467" s="131"/>
      <c r="D467" s="131"/>
    </row>
    <row r="468" spans="1:4">
      <c r="B468" s="132"/>
      <c r="C468" s="131"/>
      <c r="D468" s="131"/>
    </row>
    <row r="469" spans="1:4">
      <c r="B469" s="132"/>
      <c r="C469" s="131"/>
      <c r="D469" s="131"/>
    </row>
    <row r="470" spans="1:4">
      <c r="B470" s="132"/>
      <c r="C470" s="131"/>
      <c r="D470" s="131"/>
    </row>
    <row r="471" spans="1:4">
      <c r="B471" s="132"/>
      <c r="C471" s="131"/>
      <c r="D471" s="131"/>
    </row>
    <row r="472" spans="1:4">
      <c r="A472" s="130"/>
      <c r="B472" s="129"/>
      <c r="C472" s="128"/>
      <c r="D472" s="128"/>
    </row>
    <row r="473" spans="1:4">
      <c r="A473" s="130"/>
      <c r="B473" s="129"/>
      <c r="C473" s="128"/>
      <c r="D473" s="128"/>
    </row>
    <row r="474" spans="1:4">
      <c r="A474" s="130"/>
      <c r="B474" s="129"/>
      <c r="C474" s="128"/>
      <c r="D474" s="128"/>
    </row>
    <row r="475" spans="1:4">
      <c r="A475" s="130"/>
      <c r="B475" s="129"/>
      <c r="C475" s="128"/>
      <c r="D475" s="128"/>
    </row>
    <row r="476" spans="1:4">
      <c r="A476" s="130"/>
      <c r="B476" s="129"/>
      <c r="C476" s="128"/>
      <c r="D476" s="128"/>
    </row>
    <row r="477" spans="1:4">
      <c r="A477" s="130"/>
      <c r="B477" s="129"/>
      <c r="C477" s="128"/>
      <c r="D477" s="128"/>
    </row>
    <row r="478" spans="1:4">
      <c r="A478" s="130"/>
      <c r="B478" s="129"/>
      <c r="C478" s="128"/>
      <c r="D478" s="128"/>
    </row>
    <row r="479" spans="1:4">
      <c r="A479" s="130"/>
      <c r="B479" s="129"/>
      <c r="C479" s="128"/>
      <c r="D479" s="128"/>
    </row>
    <row r="480" spans="1:4">
      <c r="A480" s="130"/>
      <c r="B480" s="129"/>
      <c r="C480" s="128"/>
      <c r="D480" s="128"/>
    </row>
    <row r="481" spans="1:4">
      <c r="A481" s="130"/>
      <c r="B481" s="129"/>
      <c r="C481" s="128"/>
      <c r="D481" s="128"/>
    </row>
    <row r="482" spans="1:4">
      <c r="A482" s="130"/>
      <c r="B482" s="129"/>
      <c r="C482" s="128"/>
      <c r="D482" s="128"/>
    </row>
    <row r="483" spans="1:4">
      <c r="A483" s="130"/>
      <c r="B483" s="129"/>
      <c r="C483" s="128"/>
      <c r="D483" s="128"/>
    </row>
    <row r="484" spans="1:4">
      <c r="A484" s="130"/>
      <c r="B484" s="129"/>
      <c r="C484" s="128"/>
      <c r="D484" s="128"/>
    </row>
    <row r="485" spans="1:4">
      <c r="A485" s="130"/>
      <c r="B485" s="129"/>
      <c r="C485" s="128"/>
      <c r="D485" s="128"/>
    </row>
    <row r="487" spans="1:4">
      <c r="C487" s="127"/>
      <c r="D487" s="127"/>
    </row>
  </sheetData>
  <mergeCells count="1">
    <mergeCell ref="A1:B1"/>
  </mergeCells>
  <phoneticPr fontId="57" type="noConversion"/>
  <pageMargins left="0.75" right="0.75" top="1" bottom="1" header="0.5" footer="0.5"/>
  <pageSetup scale="1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zoomScale="85" zoomScaleNormal="85" workbookViewId="0">
      <pane xSplit="1" ySplit="6" topLeftCell="B7" activePane="bottomRight" state="frozen"/>
      <selection pane="topRight" activeCell="B1" sqref="B1"/>
      <selection pane="bottomLeft" activeCell="A7" sqref="A7"/>
      <selection pane="bottomRight" activeCell="K9" sqref="K9"/>
    </sheetView>
  </sheetViews>
  <sheetFormatPr defaultRowHeight="13.2"/>
  <cols>
    <col min="3" max="4" width="8.88671875" style="161"/>
  </cols>
  <sheetData>
    <row r="1" spans="1:15">
      <c r="A1" t="s">
        <v>218</v>
      </c>
    </row>
    <row r="2" spans="1:15">
      <c r="A2" t="s">
        <v>212</v>
      </c>
      <c r="B2" t="s">
        <v>164</v>
      </c>
    </row>
    <row r="3" spans="1:15">
      <c r="A3">
        <v>1</v>
      </c>
      <c r="B3">
        <f>0.42*A3^0.62</f>
        <v>0.42</v>
      </c>
    </row>
    <row r="4" spans="1:15">
      <c r="A4">
        <v>100</v>
      </c>
      <c r="B4" s="161">
        <f>0.42*A4^0.62</f>
        <v>7.2987634807473771</v>
      </c>
    </row>
    <row r="5" spans="1:15">
      <c r="L5" t="s">
        <v>225</v>
      </c>
    </row>
    <row r="6" spans="1:15">
      <c r="A6" t="s">
        <v>2</v>
      </c>
      <c r="B6" s="249" t="s">
        <v>219</v>
      </c>
      <c r="C6" s="249" t="s">
        <v>221</v>
      </c>
      <c r="D6" s="249" t="s">
        <v>222</v>
      </c>
      <c r="E6" s="249" t="s">
        <v>179</v>
      </c>
      <c r="F6" s="249"/>
      <c r="G6" s="249"/>
      <c r="H6" s="249"/>
      <c r="I6" s="249"/>
      <c r="J6" s="249"/>
      <c r="L6" t="s">
        <v>223</v>
      </c>
      <c r="M6" t="s">
        <v>219</v>
      </c>
      <c r="N6" t="s">
        <v>221</v>
      </c>
      <c r="O6" t="s">
        <v>222</v>
      </c>
    </row>
    <row r="7" spans="1:15">
      <c r="A7" s="92">
        <f>SUM!A5</f>
        <v>41381</v>
      </c>
      <c r="B7" s="3">
        <f>SUM!S5/1.5</f>
        <v>18.523021778532542</v>
      </c>
      <c r="C7" s="3">
        <f>-SUM!T5/1.5</f>
        <v>7.8506856554697277</v>
      </c>
      <c r="D7" s="3">
        <f>B7-C7</f>
        <v>10.672336123062813</v>
      </c>
      <c r="E7" s="4">
        <f t="shared" ref="E7:E26" si="0">B7/C7</f>
        <v>2.3594145265040876</v>
      </c>
      <c r="L7">
        <v>-10</v>
      </c>
      <c r="M7">
        <f t="array" ref="M7:M18">FREQUENCY(B7:B46,$L7:$L17)</f>
        <v>0</v>
      </c>
      <c r="N7" s="161">
        <f t="array" ref="N7:N18">FREQUENCY(C7:C46,$L7:$L17)</f>
        <v>0</v>
      </c>
      <c r="O7" s="161">
        <f t="array" ref="O7:O18">FREQUENCY(D7:D46,$L7:$L17)</f>
        <v>2</v>
      </c>
    </row>
    <row r="8" spans="1:15">
      <c r="A8" s="92">
        <f>SUM!A6</f>
        <v>41388</v>
      </c>
      <c r="B8" s="3">
        <f>SUM!S6/1.5</f>
        <v>12.379117075211086</v>
      </c>
      <c r="C8" s="3">
        <f>-SUM!T6/1.5</f>
        <v>14.806539818073595</v>
      </c>
      <c r="D8" s="3">
        <f t="shared" ref="D8:D46" si="1">B8-C8</f>
        <v>-2.4274227428625093</v>
      </c>
      <c r="E8" s="4">
        <f t="shared" si="0"/>
        <v>0.83605739270025281</v>
      </c>
      <c r="L8">
        <v>-7</v>
      </c>
      <c r="M8">
        <v>0</v>
      </c>
      <c r="N8">
        <v>0</v>
      </c>
      <c r="O8">
        <v>1</v>
      </c>
    </row>
    <row r="9" spans="1:15">
      <c r="A9" s="92">
        <f>SUM!A7</f>
        <v>41395</v>
      </c>
      <c r="B9" s="3">
        <f>SUM!S7/1.5</f>
        <v>10.682983751443324</v>
      </c>
      <c r="C9" s="3">
        <f>-SUM!T7/1.5</f>
        <v>11.007941870904084</v>
      </c>
      <c r="D9" s="3">
        <f t="shared" si="1"/>
        <v>-0.32495811946076003</v>
      </c>
      <c r="E9" s="4">
        <f t="shared" si="0"/>
        <v>0.97047966611091208</v>
      </c>
      <c r="L9">
        <v>-4</v>
      </c>
      <c r="M9">
        <v>0</v>
      </c>
      <c r="N9">
        <v>0</v>
      </c>
      <c r="O9">
        <v>2</v>
      </c>
    </row>
    <row r="10" spans="1:15">
      <c r="A10" s="92">
        <f>SUM!A8</f>
        <v>41403</v>
      </c>
      <c r="B10" s="3">
        <f>SUM!S8/1.5</f>
        <v>14.849869963663229</v>
      </c>
      <c r="C10" s="3">
        <f>-SUM!T8/1.5</f>
        <v>9.7200247988822994</v>
      </c>
      <c r="D10" s="3">
        <f t="shared" si="1"/>
        <v>5.1298451647809298</v>
      </c>
      <c r="E10" s="4">
        <f t="shared" si="0"/>
        <v>1.5277605017397495</v>
      </c>
      <c r="L10">
        <v>0.1</v>
      </c>
      <c r="M10">
        <v>0</v>
      </c>
      <c r="N10">
        <v>0</v>
      </c>
      <c r="O10">
        <v>0</v>
      </c>
    </row>
    <row r="11" spans="1:15">
      <c r="A11" s="92">
        <f>SUM!A9</f>
        <v>41409</v>
      </c>
      <c r="B11" s="3">
        <f>SUM!S9/1.5</f>
        <v>8.3832440101283279</v>
      </c>
      <c r="C11" s="3">
        <f>-SUM!T9/1.5</f>
        <v>12.895125896878739</v>
      </c>
      <c r="D11" s="3">
        <f t="shared" si="1"/>
        <v>-4.5118818867504107</v>
      </c>
      <c r="E11" s="4">
        <f t="shared" si="0"/>
        <v>0.65010951247536786</v>
      </c>
      <c r="L11">
        <v>0</v>
      </c>
      <c r="M11">
        <v>0</v>
      </c>
      <c r="N11">
        <v>0</v>
      </c>
      <c r="O11">
        <v>6</v>
      </c>
    </row>
    <row r="12" spans="1:15">
      <c r="A12" s="92">
        <f>SUM!A10</f>
        <v>41416</v>
      </c>
      <c r="B12" s="3">
        <f>SUM!S10/1.5</f>
        <v>10.952774416386704</v>
      </c>
      <c r="C12" s="3">
        <f>-SUM!T10/1.5</f>
        <v>21.751687188443327</v>
      </c>
      <c r="D12" s="3">
        <f t="shared" si="1"/>
        <v>-10.798912772056623</v>
      </c>
      <c r="E12" s="4">
        <f t="shared" si="0"/>
        <v>0.50353677494065441</v>
      </c>
      <c r="L12">
        <v>5</v>
      </c>
      <c r="M12">
        <v>0</v>
      </c>
      <c r="N12">
        <v>1</v>
      </c>
      <c r="O12">
        <v>8</v>
      </c>
    </row>
    <row r="13" spans="1:15">
      <c r="A13" s="92">
        <f>SUM!A11</f>
        <v>41423</v>
      </c>
      <c r="B13" s="3">
        <f>SUM!S11/1.5</f>
        <v>17.1348927618339</v>
      </c>
      <c r="C13" s="3">
        <f>-SUM!T11/1.5</f>
        <v>13.90134615060313</v>
      </c>
      <c r="D13" s="3">
        <f t="shared" si="1"/>
        <v>3.2335466112307696</v>
      </c>
      <c r="E13" s="4">
        <f t="shared" si="0"/>
        <v>1.2326067257227802</v>
      </c>
      <c r="L13">
        <v>10</v>
      </c>
      <c r="M13">
        <v>4</v>
      </c>
      <c r="N13">
        <v>11</v>
      </c>
      <c r="O13">
        <v>7</v>
      </c>
    </row>
    <row r="14" spans="1:15">
      <c r="A14" s="92">
        <f>SUM!A12</f>
        <v>41430</v>
      </c>
      <c r="B14" s="3">
        <f>SUM!S12/1.5</f>
        <v>15.400063377694174</v>
      </c>
      <c r="C14" s="3">
        <f>-SUM!T12/1.5</f>
        <v>17.971620787629668</v>
      </c>
      <c r="D14" s="3">
        <f t="shared" si="1"/>
        <v>-2.5715574099354939</v>
      </c>
      <c r="E14" s="4">
        <f t="shared" si="0"/>
        <v>0.85691010063457584</v>
      </c>
      <c r="L14">
        <v>20</v>
      </c>
      <c r="M14">
        <v>19</v>
      </c>
      <c r="N14">
        <v>20</v>
      </c>
      <c r="O14">
        <v>6</v>
      </c>
    </row>
    <row r="15" spans="1:15">
      <c r="A15" s="92">
        <f>SUM!A13</f>
        <v>41437</v>
      </c>
      <c r="B15" s="3">
        <f>SUM!S13/1.5</f>
        <v>26.740901637792735</v>
      </c>
      <c r="C15" s="3">
        <f>-SUM!T13/1.5</f>
        <v>24.550069158668574</v>
      </c>
      <c r="D15" s="3">
        <f t="shared" si="1"/>
        <v>2.1908324791241611</v>
      </c>
      <c r="E15" s="4">
        <f t="shared" si="0"/>
        <v>1.0892393607922111</v>
      </c>
      <c r="L15">
        <v>30</v>
      </c>
      <c r="M15">
        <v>6</v>
      </c>
      <c r="N15">
        <v>7</v>
      </c>
      <c r="O15">
        <v>3</v>
      </c>
    </row>
    <row r="16" spans="1:15">
      <c r="A16" s="92">
        <f>SUM!A14</f>
        <v>41444</v>
      </c>
      <c r="B16" s="3">
        <f>SUM!S14/1.5</f>
        <v>18.800056054706459</v>
      </c>
      <c r="C16" s="3">
        <f>-SUM!T14/1.5</f>
        <v>10.629463562080881</v>
      </c>
      <c r="D16" s="3">
        <f t="shared" si="1"/>
        <v>8.1705924926255786</v>
      </c>
      <c r="E16" s="4">
        <f t="shared" si="0"/>
        <v>1.7686740205566931</v>
      </c>
      <c r="L16">
        <v>40</v>
      </c>
      <c r="M16">
        <v>4</v>
      </c>
      <c r="N16">
        <v>1</v>
      </c>
      <c r="O16">
        <v>0</v>
      </c>
    </row>
    <row r="17" spans="1:15">
      <c r="A17" s="92">
        <f>SUM!A15</f>
        <v>41451</v>
      </c>
      <c r="B17" s="3">
        <f>SUM!S15/1.5</f>
        <v>21.256346181829951</v>
      </c>
      <c r="C17" s="3">
        <f>-SUM!T15/1.5</f>
        <v>9.5079106726792695</v>
      </c>
      <c r="D17" s="3">
        <f t="shared" si="1"/>
        <v>11.748435509150681</v>
      </c>
      <c r="E17" s="4">
        <f t="shared" si="0"/>
        <v>2.2356484945645843</v>
      </c>
      <c r="L17">
        <v>80</v>
      </c>
      <c r="M17">
        <v>6</v>
      </c>
      <c r="N17">
        <v>0</v>
      </c>
      <c r="O17">
        <v>4</v>
      </c>
    </row>
    <row r="18" spans="1:15">
      <c r="A18" s="92">
        <f>SUM!A16</f>
        <v>41472</v>
      </c>
      <c r="B18" s="3">
        <f>SUM!S16/1.5</f>
        <v>21.400659013968294</v>
      </c>
      <c r="C18" s="3">
        <f>-SUM!T16/1.5</f>
        <v>18.977384234567843</v>
      </c>
      <c r="D18" s="3">
        <f t="shared" si="1"/>
        <v>2.423274779400451</v>
      </c>
      <c r="E18" s="4">
        <f t="shared" si="0"/>
        <v>1.1276927710082609</v>
      </c>
      <c r="L18" t="s">
        <v>224</v>
      </c>
      <c r="M18">
        <v>1</v>
      </c>
      <c r="N18">
        <v>0</v>
      </c>
      <c r="O18">
        <v>1</v>
      </c>
    </row>
    <row r="19" spans="1:15">
      <c r="A19" s="92">
        <f>SUM!A17</f>
        <v>41479</v>
      </c>
      <c r="B19" s="3">
        <f>SUM!S17/1.5</f>
        <v>73.492584061763935</v>
      </c>
      <c r="C19" s="3">
        <f>-SUM!T17/1.5</f>
        <v>21.439302079277528</v>
      </c>
      <c r="D19" s="3">
        <f t="shared" si="1"/>
        <v>52.053281982486411</v>
      </c>
      <c r="E19" s="4">
        <f t="shared" si="0"/>
        <v>3.427937336299733</v>
      </c>
    </row>
    <row r="20" spans="1:15">
      <c r="A20" s="92">
        <f>SUM!A18</f>
        <v>41486</v>
      </c>
      <c r="B20" s="3">
        <f>SUM!S18/1.5</f>
        <v>38.120161505503695</v>
      </c>
      <c r="C20" s="3">
        <f>-SUM!T18/1.5</f>
        <v>23.886006503319305</v>
      </c>
      <c r="D20" s="3">
        <f t="shared" si="1"/>
        <v>14.234155002184391</v>
      </c>
      <c r="E20" s="4">
        <f t="shared" si="0"/>
        <v>1.5959202514747013</v>
      </c>
      <c r="M20">
        <f>SUM(M7:M18)</f>
        <v>40</v>
      </c>
      <c r="N20" s="161">
        <f>SUM(N7:N18)</f>
        <v>40</v>
      </c>
      <c r="O20" s="161">
        <f>SUM(O7:O18)</f>
        <v>40</v>
      </c>
    </row>
    <row r="21" spans="1:15">
      <c r="A21" s="92">
        <f>SUM!A19</f>
        <v>41493</v>
      </c>
      <c r="B21" s="3">
        <f>SUM!S19/1.5</f>
        <v>24.83105012898767</v>
      </c>
      <c r="C21" s="3">
        <f>-SUM!T19/1.5</f>
        <v>11.690113572107116</v>
      </c>
      <c r="D21" s="3">
        <f t="shared" si="1"/>
        <v>13.140936556880554</v>
      </c>
      <c r="E21" s="4">
        <f t="shared" si="0"/>
        <v>2.1241068340204268</v>
      </c>
    </row>
    <row r="22" spans="1:15">
      <c r="A22" s="92">
        <f>SUM!A20</f>
        <v>41500</v>
      </c>
      <c r="B22" s="3">
        <f>SUM!S20/1.5</f>
        <v>47.822570582262891</v>
      </c>
      <c r="C22" s="3">
        <f>-SUM!T20/1.5</f>
        <v>28.125822004025849</v>
      </c>
      <c r="D22" s="3">
        <f t="shared" si="1"/>
        <v>19.696748578237042</v>
      </c>
      <c r="E22" s="4">
        <f t="shared" si="0"/>
        <v>1.7003083705577637</v>
      </c>
    </row>
    <row r="23" spans="1:15">
      <c r="A23" s="92">
        <f>SUM!A21</f>
        <v>41507</v>
      </c>
      <c r="B23" s="3">
        <f>SUM!S21/1.5</f>
        <v>26.543871315200587</v>
      </c>
      <c r="C23" s="3">
        <f>-SUM!T21/1.5</f>
        <v>19.436927796851734</v>
      </c>
      <c r="D23" s="3">
        <f t="shared" si="1"/>
        <v>7.106943518348853</v>
      </c>
      <c r="E23" s="4">
        <f t="shared" si="0"/>
        <v>1.3656412984926554</v>
      </c>
    </row>
    <row r="24" spans="1:15">
      <c r="A24" s="92">
        <f>SUM!A22</f>
        <v>41521</v>
      </c>
      <c r="B24" s="3">
        <f>SUM!S22/1.5</f>
        <v>47.864702195570537</v>
      </c>
      <c r="C24" s="3">
        <f>-SUM!T22/1.5</f>
        <v>1.1528549611022711</v>
      </c>
      <c r="D24" s="3">
        <f t="shared" si="1"/>
        <v>46.711847234468266</v>
      </c>
      <c r="E24" s="4">
        <f t="shared" si="0"/>
        <v>41.518407614610943</v>
      </c>
    </row>
    <row r="25" spans="1:15">
      <c r="A25" s="92">
        <f>SUM!A23</f>
        <v>41528</v>
      </c>
      <c r="B25" s="3">
        <f>SUM!S23/1.5</f>
        <v>73.695097260186003</v>
      </c>
      <c r="C25" s="3">
        <f>-SUM!T23/1.5</f>
        <v>29.73405433239105</v>
      </c>
      <c r="D25" s="3">
        <f t="shared" si="1"/>
        <v>43.961042927794949</v>
      </c>
      <c r="E25" s="4">
        <f t="shared" si="0"/>
        <v>2.4784745610660166</v>
      </c>
    </row>
    <row r="26" spans="1:15">
      <c r="A26" s="250">
        <f>SUM!A24</f>
        <v>41542</v>
      </c>
      <c r="B26" s="3">
        <f>SUM!S24/1.5</f>
        <v>32.844199066046457</v>
      </c>
      <c r="C26" s="3">
        <f>-SUM!T24/1.5</f>
        <v>5.2033169720757417</v>
      </c>
      <c r="D26" s="3">
        <f t="shared" si="1"/>
        <v>27.640882093970717</v>
      </c>
      <c r="E26" s="4">
        <f t="shared" si="0"/>
        <v>6.3121657285744845</v>
      </c>
    </row>
    <row r="27" spans="1:15">
      <c r="A27" s="186">
        <f>SUM!A25</f>
        <v>41381</v>
      </c>
      <c r="B27" s="3">
        <f>SUM!S25/5.9</f>
        <v>14.36374560564931</v>
      </c>
      <c r="C27" s="3">
        <f>-SUM!T25/5.9</f>
        <v>6.4161064212689967</v>
      </c>
      <c r="D27" s="3">
        <f t="shared" si="1"/>
        <v>7.9476391843803134</v>
      </c>
      <c r="E27" s="4">
        <f>B27/C27</f>
        <v>2.2387012718545907</v>
      </c>
    </row>
    <row r="28" spans="1:15">
      <c r="A28" s="186">
        <f>SUM!A26</f>
        <v>41388</v>
      </c>
      <c r="B28" s="3">
        <f>SUM!S26/5.9</f>
        <v>7.7952495190485847</v>
      </c>
      <c r="C28" s="3">
        <f>-SUM!T26/5.9</f>
        <v>13.247549327347148</v>
      </c>
      <c r="D28" s="3">
        <f t="shared" si="1"/>
        <v>-5.4522998082985632</v>
      </c>
      <c r="E28" s="4">
        <f t="shared" ref="E28:E46" si="2">B28/C28</f>
        <v>0.58842955224606819</v>
      </c>
    </row>
    <row r="29" spans="1:15">
      <c r="A29" s="186">
        <f>SUM!A27</f>
        <v>41395</v>
      </c>
      <c r="B29" s="3">
        <f>SUM!S27/5.9</f>
        <v>10.835352542372879</v>
      </c>
      <c r="C29" s="3">
        <f>-SUM!T27/5.9</f>
        <v>8.7856286774688677</v>
      </c>
      <c r="D29" s="3">
        <f t="shared" si="1"/>
        <v>2.0497238649040117</v>
      </c>
      <c r="E29" s="4">
        <f t="shared" si="2"/>
        <v>1.2333041766448221</v>
      </c>
    </row>
    <row r="30" spans="1:15">
      <c r="A30" s="186">
        <f>SUM!A28</f>
        <v>41403</v>
      </c>
      <c r="B30" s="3">
        <f>SUM!S28/5.9</f>
        <v>11.048396610169492</v>
      </c>
      <c r="C30" s="3">
        <f>-SUM!T28/5.9</f>
        <v>12.165258913611767</v>
      </c>
      <c r="D30" s="3">
        <f t="shared" si="1"/>
        <v>-1.1168623034422751</v>
      </c>
      <c r="E30" s="4">
        <f t="shared" si="2"/>
        <v>0.90819247569054096</v>
      </c>
    </row>
    <row r="31" spans="1:15">
      <c r="A31" s="186">
        <f>SUM!A29</f>
        <v>41409</v>
      </c>
      <c r="B31" s="3">
        <f>SUM!S29/5.9</f>
        <v>17.919766101694915</v>
      </c>
      <c r="C31" s="3">
        <f>-SUM!T29/5.9</f>
        <v>12.458918987767976</v>
      </c>
      <c r="D31" s="3">
        <f t="shared" si="1"/>
        <v>5.4608471139269383</v>
      </c>
      <c r="E31" s="4">
        <f t="shared" si="2"/>
        <v>1.4383082608762714</v>
      </c>
    </row>
    <row r="32" spans="1:15">
      <c r="A32" s="186">
        <f>SUM!A30</f>
        <v>41416</v>
      </c>
      <c r="B32" s="3">
        <f>SUM!S30/5.9</f>
        <v>8.5922101694915245</v>
      </c>
      <c r="C32" s="3">
        <f>-SUM!T30/5.9</f>
        <v>16.085586510354844</v>
      </c>
      <c r="D32" s="3">
        <f t="shared" si="1"/>
        <v>-7.4933763408633194</v>
      </c>
      <c r="E32" s="4">
        <f t="shared" si="2"/>
        <v>0.53415585213261729</v>
      </c>
    </row>
    <row r="33" spans="1:5">
      <c r="A33" s="186">
        <f>SUM!A31</f>
        <v>41423</v>
      </c>
      <c r="B33" s="3">
        <f>SUM!S31/5.9</f>
        <v>15.414779661016947</v>
      </c>
      <c r="C33" s="3">
        <f>-SUM!T31/5.9</f>
        <v>8.2923401732595625</v>
      </c>
      <c r="D33" s="3">
        <f t="shared" si="1"/>
        <v>7.1224394877573847</v>
      </c>
      <c r="E33" s="4">
        <f t="shared" si="2"/>
        <v>1.8589179096541679</v>
      </c>
    </row>
    <row r="34" spans="1:5">
      <c r="A34" s="186">
        <f>SUM!A32</f>
        <v>41430</v>
      </c>
      <c r="B34" s="3">
        <f>SUM!S32/5.9</f>
        <v>11.025059322033897</v>
      </c>
      <c r="C34" s="3">
        <f>-SUM!T32/5.9</f>
        <v>13.856841522890466</v>
      </c>
      <c r="D34" s="3">
        <f t="shared" si="1"/>
        <v>-2.8317822008565692</v>
      </c>
      <c r="E34" s="4">
        <f t="shared" si="2"/>
        <v>0.7956401394806546</v>
      </c>
    </row>
    <row r="35" spans="1:5">
      <c r="A35" s="186">
        <f>SUM!A33</f>
        <v>41437</v>
      </c>
      <c r="B35" s="3">
        <f>SUM!S33/5.9</f>
        <v>24.003193220338982</v>
      </c>
      <c r="C35" s="3">
        <f>-SUM!T33/5.9</f>
        <v>16.62567029113352</v>
      </c>
      <c r="D35" s="3">
        <f t="shared" si="1"/>
        <v>7.3775229292054618</v>
      </c>
      <c r="E35" s="4">
        <f t="shared" si="2"/>
        <v>1.4437428867538591</v>
      </c>
    </row>
    <row r="36" spans="1:5">
      <c r="A36" s="186">
        <f>SUM!A34</f>
        <v>41444</v>
      </c>
      <c r="B36" s="3">
        <f>SUM!S34/5.9</f>
        <v>19.540701694915253</v>
      </c>
      <c r="C36" s="3">
        <f>-SUM!T34/5.9</f>
        <v>16.62567029113352</v>
      </c>
      <c r="D36" s="3">
        <f t="shared" si="1"/>
        <v>2.9150314037817324</v>
      </c>
      <c r="E36" s="4">
        <f t="shared" si="2"/>
        <v>1.1753331656851345</v>
      </c>
    </row>
    <row r="37" spans="1:5">
      <c r="A37" s="186">
        <f>SUM!A35</f>
        <v>41451</v>
      </c>
      <c r="B37" s="3">
        <f>SUM!S35/5.9</f>
        <v>33.584269491525419</v>
      </c>
      <c r="C37" s="3">
        <f>-SUM!T35/5.9</f>
        <v>18.128440128511851</v>
      </c>
      <c r="D37" s="3">
        <f t="shared" si="1"/>
        <v>15.455829363013567</v>
      </c>
      <c r="E37" s="4">
        <f t="shared" si="2"/>
        <v>1.8525735944983548</v>
      </c>
    </row>
    <row r="38" spans="1:5">
      <c r="A38" s="186">
        <f>SUM!A36</f>
        <v>41472</v>
      </c>
      <c r="B38" s="3">
        <f>SUM!S36/5.9</f>
        <v>9.975801694915253</v>
      </c>
      <c r="C38" s="3">
        <f>-SUM!T36/5.9</f>
        <v>13.223628455360966</v>
      </c>
      <c r="D38" s="3">
        <f t="shared" si="1"/>
        <v>-3.2478267604457134</v>
      </c>
      <c r="E38" s="4">
        <f t="shared" si="2"/>
        <v>0.75439216464607961</v>
      </c>
    </row>
    <row r="39" spans="1:5">
      <c r="A39" s="186">
        <f>SUM!A37</f>
        <v>41479</v>
      </c>
      <c r="B39" s="3">
        <f>SUM!S37/5.9</f>
        <v>41.464623728813557</v>
      </c>
      <c r="C39" s="3">
        <f>-SUM!T37/5.9</f>
        <v>14.2236226002547</v>
      </c>
      <c r="D39" s="3">
        <f t="shared" si="1"/>
        <v>27.241001128558857</v>
      </c>
      <c r="E39" s="4">
        <f t="shared" si="2"/>
        <v>2.9151943140048622</v>
      </c>
    </row>
    <row r="40" spans="1:5">
      <c r="A40" s="186">
        <f>SUM!A38</f>
        <v>41486</v>
      </c>
      <c r="B40" s="3">
        <f>SUM!S38/5.9</f>
        <v>18.955561016949151</v>
      </c>
      <c r="C40" s="3">
        <f>-SUM!T38/5.9</f>
        <v>17.840312959335375</v>
      </c>
      <c r="D40" s="3">
        <f t="shared" si="1"/>
        <v>1.1152480576137762</v>
      </c>
      <c r="E40" s="4">
        <f t="shared" si="2"/>
        <v>1.0625128079398516</v>
      </c>
    </row>
    <row r="41" spans="1:5">
      <c r="A41" s="186">
        <f>SUM!A39</f>
        <v>41493</v>
      </c>
      <c r="B41" s="3">
        <f>SUM!S39/5.9</f>
        <v>11.107777966101693</v>
      </c>
      <c r="C41" s="3">
        <f>-SUM!T39/5.9</f>
        <v>7.5545764990390927</v>
      </c>
      <c r="D41" s="3">
        <f t="shared" si="1"/>
        <v>3.5532014670626006</v>
      </c>
      <c r="E41" s="4">
        <f t="shared" si="2"/>
        <v>1.4703376115808149</v>
      </c>
    </row>
    <row r="42" spans="1:5">
      <c r="A42" s="186">
        <f>SUM!A40</f>
        <v>41500</v>
      </c>
      <c r="B42" s="3">
        <f>SUM!S40/5.9</f>
        <v>10.205942372881356</v>
      </c>
      <c r="C42" s="3">
        <f>-SUM!T40/5.9</f>
        <v>9.3709379629290321</v>
      </c>
      <c r="D42" s="3">
        <f t="shared" si="1"/>
        <v>0.83500440995232417</v>
      </c>
      <c r="E42" s="4">
        <f t="shared" si="2"/>
        <v>1.0891057451511856</v>
      </c>
    </row>
    <row r="43" spans="1:5">
      <c r="A43" s="186">
        <f>SUM!A41</f>
        <v>41507</v>
      </c>
      <c r="B43" s="3">
        <f>SUM!S41/5.9</f>
        <v>11.642047457627118</v>
      </c>
      <c r="C43" s="3">
        <f>-SUM!T41/5.9</f>
        <v>35.4690282714826</v>
      </c>
      <c r="D43" s="3">
        <f t="shared" si="1"/>
        <v>-23.826980813855482</v>
      </c>
      <c r="E43" s="4">
        <f t="shared" si="2"/>
        <v>0.32823136197918967</v>
      </c>
    </row>
    <row r="44" spans="1:5">
      <c r="A44" s="186">
        <f>SUM!A42</f>
        <v>41521</v>
      </c>
      <c r="B44" s="3">
        <f>SUM!S42/5.9</f>
        <v>113.54249152542373</v>
      </c>
      <c r="C44" s="3">
        <f>-SUM!T42/5.9</f>
        <v>23.84656337468985</v>
      </c>
      <c r="D44" s="3">
        <f t="shared" si="1"/>
        <v>89.695928150733877</v>
      </c>
      <c r="E44" s="4">
        <f t="shared" si="2"/>
        <v>4.7613775511961149</v>
      </c>
    </row>
    <row r="45" spans="1:5">
      <c r="A45" s="186">
        <f>SUM!A43</f>
        <v>41528</v>
      </c>
      <c r="B45" s="3">
        <f>SUM!S43/5.9</f>
        <v>51.29518983050847</v>
      </c>
      <c r="C45" s="3">
        <f>-SUM!T43/5.9</f>
        <v>6.1816812075188583</v>
      </c>
      <c r="D45" s="3">
        <f t="shared" si="1"/>
        <v>45.113508622989613</v>
      </c>
      <c r="E45" s="4">
        <f t="shared" si="2"/>
        <v>8.297935158499838</v>
      </c>
    </row>
    <row r="46" spans="1:5">
      <c r="A46" s="186">
        <f>SUM!A44</f>
        <v>41542</v>
      </c>
      <c r="B46" s="3">
        <f>SUM!S44/5.9</f>
        <v>33.002849152542375</v>
      </c>
      <c r="C46" s="3">
        <f>-SUM!T44/5.9</f>
        <v>6.4467281041441016</v>
      </c>
      <c r="D46" s="3">
        <f t="shared" si="1"/>
        <v>26.556121048398275</v>
      </c>
      <c r="E46" s="4">
        <f t="shared" si="2"/>
        <v>5.1193176785798364</v>
      </c>
    </row>
    <row r="47" spans="1:5">
      <c r="A47" s="92"/>
    </row>
    <row r="48" spans="1:5">
      <c r="A48" s="92"/>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2:L36"/>
  <sheetViews>
    <sheetView zoomScale="85" zoomScaleNormal="85" workbookViewId="0">
      <selection activeCell="J14" sqref="J14"/>
    </sheetView>
  </sheetViews>
  <sheetFormatPr defaultColWidth="8.88671875" defaultRowHeight="13.2"/>
  <cols>
    <col min="1" max="9" width="8.88671875" style="161"/>
    <col min="10" max="10" width="9.33203125" style="161" bestFit="1" customWidth="1"/>
    <col min="11" max="16384" width="8.88671875" style="161"/>
  </cols>
  <sheetData>
    <row r="2" ht="12" customHeight="1"/>
    <row r="27" spans="10:12">
      <c r="J27" s="217"/>
    </row>
    <row r="28" spans="10:12">
      <c r="J28" s="217"/>
    </row>
    <row r="32" spans="10:12">
      <c r="J32" s="322"/>
      <c r="K32" s="322"/>
      <c r="L32" s="322"/>
    </row>
    <row r="33" spans="12:12">
      <c r="L33" s="163"/>
    </row>
    <row r="34" spans="12:12">
      <c r="L34" s="163"/>
    </row>
    <row r="35" spans="12:12">
      <c r="L35" s="163"/>
    </row>
    <row r="36" spans="12:12">
      <c r="L36" s="163"/>
    </row>
  </sheetData>
  <pageMargins left="0.75" right="0.75" top="1" bottom="1" header="0.5" footer="0.5"/>
  <pageSetup orientation="portrait" r:id="rId1"/>
  <headerFooter alignWithMargins="0">
    <oddFooter>&amp;L&amp;F, &amp;D&amp;R&amp;A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B136"/>
  <sheetViews>
    <sheetView workbookViewId="0">
      <pane xSplit="2" ySplit="4" topLeftCell="AA5" activePane="bottomRight" state="frozen"/>
      <selection pane="topRight" activeCell="C1" sqref="C1"/>
      <selection pane="bottomLeft" activeCell="A4" sqref="A4"/>
      <selection pane="bottomRight" activeCell="A4" sqref="A4"/>
    </sheetView>
  </sheetViews>
  <sheetFormatPr defaultRowHeight="13.2"/>
  <cols>
    <col min="1" max="1" width="11.5546875" customWidth="1"/>
    <col min="2" max="2" width="5.5546875" customWidth="1"/>
    <col min="3" max="3" width="9.6640625" customWidth="1"/>
    <col min="4" max="4" width="11.109375" style="161" bestFit="1" customWidth="1"/>
    <col min="5" max="6" width="6.109375" customWidth="1"/>
    <col min="7" max="8" width="6" style="161" customWidth="1"/>
    <col min="9" max="9" width="6.5546875" bestFit="1" customWidth="1"/>
    <col min="10" max="10" width="6.5546875" customWidth="1"/>
    <col min="11" max="11" width="7" customWidth="1"/>
    <col min="12" max="13" width="7" style="161" bestFit="1" customWidth="1"/>
    <col min="14" max="14" width="7.44140625" bestFit="1" customWidth="1"/>
    <col min="15" max="15" width="6.88671875" style="161" bestFit="1" customWidth="1"/>
    <col min="16" max="17" width="5.33203125" customWidth="1"/>
    <col min="18" max="18" width="8.33203125" customWidth="1"/>
    <col min="19" max="19" width="6.5546875" customWidth="1"/>
    <col min="20" max="20" width="7.44140625" customWidth="1"/>
    <col min="21" max="21" width="7" customWidth="1"/>
    <col min="22" max="22" width="6.6640625" customWidth="1"/>
    <col min="23" max="23" width="6.6640625" style="161" customWidth="1"/>
    <col min="24" max="24" width="7" customWidth="1"/>
    <col min="25" max="25" width="5.6640625" customWidth="1"/>
    <col min="26" max="28" width="5.6640625" style="161" customWidth="1"/>
    <col min="29" max="29" width="6.6640625" bestFit="1" customWidth="1"/>
    <col min="30" max="30" width="7.33203125" bestFit="1" customWidth="1"/>
    <col min="31" max="31" width="6.6640625" bestFit="1" customWidth="1"/>
    <col min="32" max="32" width="6.33203125" customWidth="1"/>
    <col min="33" max="33" width="6.33203125" style="161" customWidth="1"/>
    <col min="34" max="34" width="4.6640625" bestFit="1" customWidth="1"/>
    <col min="35" max="35" width="6.33203125" customWidth="1"/>
    <col min="36" max="38" width="7" customWidth="1"/>
    <col min="39" max="39" width="7" style="161" customWidth="1"/>
    <col min="40" max="40" width="6.5546875" customWidth="1"/>
    <col min="41" max="41" width="6.33203125" customWidth="1"/>
    <col min="42" max="42" width="5.44140625" bestFit="1" customWidth="1"/>
    <col min="43" max="43" width="5.6640625" bestFit="1" customWidth="1"/>
    <col min="44" max="44" width="5.6640625" customWidth="1"/>
    <col min="45" max="45" width="5.109375" customWidth="1"/>
    <col min="46" max="46" width="7" style="161" customWidth="1"/>
    <col min="47" max="47" width="6.33203125" style="161" bestFit="1" customWidth="1"/>
    <col min="48" max="48" width="4.6640625" style="161" customWidth="1"/>
    <col min="49" max="49" width="6.6640625" style="161" bestFit="1" customWidth="1"/>
    <col min="51" max="51" width="16.6640625" bestFit="1" customWidth="1"/>
  </cols>
  <sheetData>
    <row r="1" spans="1:52">
      <c r="A1" t="s">
        <v>3</v>
      </c>
      <c r="C1" s="27"/>
      <c r="D1" s="27"/>
      <c r="E1" s="27"/>
      <c r="F1" s="27"/>
      <c r="G1" s="27"/>
      <c r="H1" s="27"/>
      <c r="I1" s="27"/>
      <c r="J1" s="27"/>
      <c r="K1" s="156"/>
      <c r="L1" s="27"/>
      <c r="M1" s="27"/>
      <c r="N1" s="27"/>
      <c r="O1" s="27"/>
      <c r="P1" s="27"/>
      <c r="Q1" s="27"/>
      <c r="R1" s="27"/>
      <c r="S1" s="27"/>
      <c r="T1" s="27"/>
      <c r="V1" s="5"/>
      <c r="W1" s="166"/>
      <c r="X1" s="156"/>
      <c r="Y1" s="27"/>
      <c r="Z1" s="27"/>
      <c r="AA1" s="27"/>
      <c r="AB1" s="27"/>
      <c r="AC1" s="156"/>
      <c r="AD1" s="75"/>
      <c r="AE1" s="75"/>
      <c r="AF1" s="75"/>
      <c r="AG1" s="75"/>
      <c r="AH1" s="75"/>
      <c r="AI1" s="75"/>
      <c r="AJ1" s="75"/>
      <c r="AK1" s="75"/>
      <c r="AL1" s="75"/>
      <c r="AM1" s="75"/>
    </row>
    <row r="2" spans="1:52" s="161" customFormat="1">
      <c r="C2" s="27"/>
      <c r="D2" s="27"/>
      <c r="E2" s="27"/>
      <c r="F2" s="27"/>
      <c r="G2" s="27"/>
      <c r="H2" s="27"/>
      <c r="I2" s="27"/>
      <c r="J2" s="27"/>
      <c r="K2" s="325"/>
      <c r="L2" s="27"/>
      <c r="M2" s="27"/>
      <c r="N2" s="27"/>
      <c r="O2" s="27"/>
      <c r="P2" s="27"/>
      <c r="Q2" s="27"/>
      <c r="R2" s="27"/>
      <c r="S2" s="27"/>
      <c r="T2" s="27"/>
      <c r="V2" s="324"/>
      <c r="W2" s="324"/>
      <c r="X2" s="325"/>
      <c r="Y2" s="27"/>
      <c r="Z2" s="27"/>
      <c r="AA2" s="27"/>
      <c r="AB2" s="27"/>
      <c r="AC2" s="325"/>
      <c r="AD2" s="75"/>
      <c r="AE2" s="75"/>
      <c r="AF2" s="75"/>
      <c r="AG2" s="75"/>
      <c r="AH2" s="75"/>
      <c r="AI2" s="75"/>
      <c r="AJ2" s="75"/>
      <c r="AK2" s="75"/>
      <c r="AL2" s="75"/>
      <c r="AM2" s="75"/>
    </row>
    <row r="3" spans="1:52" ht="28.95" customHeight="1">
      <c r="C3" s="14"/>
      <c r="D3" s="14"/>
      <c r="E3" s="14"/>
      <c r="F3" s="14"/>
      <c r="G3" s="14"/>
      <c r="H3" s="14"/>
      <c r="I3" s="14"/>
      <c r="J3" s="14"/>
      <c r="K3" s="16"/>
      <c r="L3" s="14"/>
      <c r="M3" s="14"/>
      <c r="N3" s="14"/>
      <c r="O3" s="14"/>
      <c r="P3" s="14"/>
      <c r="Q3" s="14"/>
      <c r="R3" s="14"/>
      <c r="S3" s="14"/>
      <c r="T3" s="14"/>
      <c r="V3" s="15"/>
      <c r="W3" s="15"/>
      <c r="X3" s="16"/>
      <c r="Y3" s="14"/>
      <c r="Z3" s="14"/>
      <c r="AA3" s="14"/>
      <c r="AB3" s="14"/>
      <c r="AC3" s="16"/>
      <c r="AD3" s="172"/>
      <c r="AE3" s="172"/>
      <c r="AF3" s="172"/>
      <c r="AG3" s="172"/>
      <c r="AH3" s="172"/>
      <c r="AI3" s="369" t="s">
        <v>166</v>
      </c>
      <c r="AJ3" s="369"/>
      <c r="AK3" s="369"/>
      <c r="AL3" s="369"/>
      <c r="AM3" s="218"/>
      <c r="AQ3" s="14"/>
      <c r="AR3" s="14"/>
      <c r="AT3" s="75" t="s">
        <v>170</v>
      </c>
      <c r="AU3" s="75"/>
      <c r="AV3" s="75"/>
      <c r="AW3" s="75"/>
    </row>
    <row r="4" spans="1:52" ht="66">
      <c r="A4" s="275" t="s">
        <v>2</v>
      </c>
      <c r="B4" s="275" t="s">
        <v>29</v>
      </c>
      <c r="C4" s="185" t="s">
        <v>136</v>
      </c>
      <c r="D4" s="185" t="s">
        <v>137</v>
      </c>
      <c r="E4" s="185" t="s">
        <v>112</v>
      </c>
      <c r="F4" s="185" t="s">
        <v>123</v>
      </c>
      <c r="G4" s="185" t="s">
        <v>134</v>
      </c>
      <c r="H4" s="185" t="s">
        <v>135</v>
      </c>
      <c r="I4" s="185" t="s">
        <v>175</v>
      </c>
      <c r="J4" s="185" t="s">
        <v>122</v>
      </c>
      <c r="K4" s="171" t="s">
        <v>64</v>
      </c>
      <c r="L4" s="185" t="s">
        <v>132</v>
      </c>
      <c r="M4" s="185" t="s">
        <v>129</v>
      </c>
      <c r="N4" s="185" t="s">
        <v>133</v>
      </c>
      <c r="O4" s="185" t="s">
        <v>253</v>
      </c>
      <c r="P4" s="285" t="s">
        <v>201</v>
      </c>
      <c r="Q4" s="285" t="s">
        <v>202</v>
      </c>
      <c r="R4" s="185" t="s">
        <v>76</v>
      </c>
      <c r="S4" s="185" t="s">
        <v>78</v>
      </c>
      <c r="T4" s="185" t="s">
        <v>174</v>
      </c>
      <c r="U4" s="168" t="s">
        <v>121</v>
      </c>
      <c r="V4" s="15" t="s">
        <v>79</v>
      </c>
      <c r="W4" s="15" t="s">
        <v>179</v>
      </c>
      <c r="X4" s="16" t="s">
        <v>118</v>
      </c>
      <c r="Y4" s="15" t="s">
        <v>109</v>
      </c>
      <c r="Z4" s="15" t="s">
        <v>310</v>
      </c>
      <c r="AA4" s="15" t="s">
        <v>311</v>
      </c>
      <c r="AB4" s="15" t="s">
        <v>312</v>
      </c>
      <c r="AC4" s="16" t="s">
        <v>80</v>
      </c>
      <c r="AD4" s="16" t="s">
        <v>176</v>
      </c>
      <c r="AE4" s="171" t="s">
        <v>81</v>
      </c>
      <c r="AF4" s="16" t="s">
        <v>113</v>
      </c>
      <c r="AG4" s="276" t="s">
        <v>180</v>
      </c>
      <c r="AH4" s="16" t="s">
        <v>108</v>
      </c>
      <c r="AI4" s="16" t="s">
        <v>167</v>
      </c>
      <c r="AJ4" s="16" t="s">
        <v>168</v>
      </c>
      <c r="AK4" s="171" t="s">
        <v>177</v>
      </c>
      <c r="AL4" s="16" t="s">
        <v>169</v>
      </c>
      <c r="AM4" s="16" t="s">
        <v>178</v>
      </c>
      <c r="AN4" s="14" t="s">
        <v>97</v>
      </c>
      <c r="AO4" s="15" t="s">
        <v>116</v>
      </c>
      <c r="AP4" s="15" t="s">
        <v>119</v>
      </c>
      <c r="AQ4" s="277" t="s">
        <v>68</v>
      </c>
      <c r="AR4" s="251" t="s">
        <v>66</v>
      </c>
      <c r="AS4" s="14" t="s">
        <v>111</v>
      </c>
      <c r="AT4" s="16" t="s">
        <v>114</v>
      </c>
      <c r="AU4" s="16" t="s">
        <v>171</v>
      </c>
      <c r="AV4" s="171" t="s">
        <v>172</v>
      </c>
      <c r="AW4" s="16" t="s">
        <v>115</v>
      </c>
      <c r="AY4" s="16" t="s">
        <v>254</v>
      </c>
      <c r="AZ4" s="327" t="s">
        <v>255</v>
      </c>
    </row>
    <row r="5" spans="1:52" ht="13.8">
      <c r="A5" s="92">
        <v>41381</v>
      </c>
      <c r="B5" s="2" t="s">
        <v>0</v>
      </c>
      <c r="C5" s="100">
        <f>[2]SUM!J5</f>
        <v>5.9702269784702642</v>
      </c>
      <c r="D5" s="100">
        <f>[2]SUM!J48</f>
        <v>0.64470996525755608</v>
      </c>
      <c r="E5" s="147">
        <f>[2]SUM!G5</f>
        <v>1.1996539065622318</v>
      </c>
      <c r="F5" s="147">
        <f>[2]SUM!G48</f>
        <v>6.4382940413676384E-2</v>
      </c>
      <c r="G5" s="100">
        <f>[2]SUM!K5</f>
        <v>1.5267658088734704</v>
      </c>
      <c r="H5" s="100">
        <f>[2]SUM!K48</f>
        <v>0.13575101407751558</v>
      </c>
      <c r="I5" s="100">
        <f>-[2]SUM!C5</f>
        <v>0.3271119023112386</v>
      </c>
      <c r="J5" s="147">
        <f>[2]SUM!C48</f>
        <v>0.11951223705864947</v>
      </c>
      <c r="K5" s="24">
        <f t="shared" ref="K5:K44" si="0">-I5</f>
        <v>-0.3271119023112386</v>
      </c>
      <c r="L5" s="100">
        <f>C5/Raw!$F5/Raw!$E5</f>
        <v>4.250398968514391</v>
      </c>
      <c r="M5" s="100">
        <f>D5/Raw!$F5/Raw!$E5</f>
        <v>0.45899001515413052</v>
      </c>
      <c r="N5" s="100">
        <f>G5/Raw!$F5</f>
        <v>0.51233751975619812</v>
      </c>
      <c r="O5" s="100">
        <f>H5/Raw!$F5</f>
        <v>4.5554031569636104E-2</v>
      </c>
      <c r="P5" s="147">
        <f>[2]SUM!L5</f>
        <v>0.3901909181613965</v>
      </c>
      <c r="Q5" s="100">
        <f>[2]SUM!L48</f>
        <v>0.35104690990894072</v>
      </c>
      <c r="R5" s="100">
        <f>[2]SUM!R5</f>
        <v>27.784532667798814</v>
      </c>
      <c r="S5" s="100">
        <f>R5</f>
        <v>27.784532667798814</v>
      </c>
      <c r="T5" s="100">
        <f>[2]SUM!S5</f>
        <v>-11.776028483204591</v>
      </c>
      <c r="U5" s="153">
        <f t="shared" ref="U5:U44" si="1">-T5</f>
        <v>11.776028483204591</v>
      </c>
      <c r="V5" s="3">
        <f t="shared" ref="V5:V44" si="2">S5+T5</f>
        <v>16.008504184594223</v>
      </c>
      <c r="W5" s="4">
        <f t="shared" ref="W5:W44" si="3">S5/U5</f>
        <v>2.359414526504088</v>
      </c>
      <c r="X5" s="24"/>
      <c r="Y5" s="152"/>
      <c r="Z5" s="152">
        <f>VLOOKUP(Raw!$A5,'SP01'!$A$3:$Z$176,22,0)</f>
        <v>384.34423076923082</v>
      </c>
      <c r="AA5" s="152"/>
      <c r="AB5" s="152"/>
      <c r="AC5" s="153">
        <f>VLOOKUP(Raw!$A5,'SP01'!$A$3:$Z$176,22,0)</f>
        <v>384.34423076923082</v>
      </c>
      <c r="AD5" s="24">
        <f>VLOOKUP(Raw!$A5,'SP01'!$A$3:$Z$176,23,0)</f>
        <v>48</v>
      </c>
      <c r="AE5" s="24">
        <f t="shared" ref="AE5:AE44" si="4">-AD5</f>
        <v>-48</v>
      </c>
      <c r="AF5" s="24">
        <f t="shared" ref="AF5:AF44" si="5">AC5-AE5</f>
        <v>432.34423076923082</v>
      </c>
      <c r="AG5" s="25">
        <f t="shared" ref="AG5:AG44" si="6">AC5/AE5</f>
        <v>-8.0071714743589748</v>
      </c>
      <c r="AH5" s="173"/>
      <c r="AI5" s="174">
        <f t="shared" ref="AI5:AI44" si="7">AC5-S5</f>
        <v>356.55969810143199</v>
      </c>
      <c r="AJ5" s="174">
        <f t="shared" ref="AJ5:AJ44" si="8">AE5-U5</f>
        <v>-59.776028483204591</v>
      </c>
      <c r="AK5" s="174">
        <f t="shared" ref="AK5:AK44" si="9">-AJ5</f>
        <v>59.776028483204591</v>
      </c>
      <c r="AL5" s="174">
        <f t="shared" ref="AL5:AL44" si="10">AI5-AJ5</f>
        <v>416.33572658463657</v>
      </c>
      <c r="AM5" s="219">
        <f t="shared" ref="AM5:AM44" si="11">AI5/AJ5</f>
        <v>-5.964927867391113</v>
      </c>
      <c r="AO5" s="25">
        <f>1.4/Raw!D5</f>
        <v>0.43749999999999994</v>
      </c>
      <c r="AP5" s="25">
        <f>(Raw!AO5+0.39)/2.16</f>
        <v>0.35931582799820444</v>
      </c>
      <c r="AQ5" s="199">
        <f>(Raw!E5/(AP5*1.5))*(1-EXP(-AP5*1.5))</f>
        <v>0.36437803866819979</v>
      </c>
      <c r="AR5" s="224">
        <f t="shared" ref="AR5:AR24" si="12">EXP(-AP5*1.5)*100</f>
        <v>58.334660941337802</v>
      </c>
      <c r="AT5" s="24"/>
      <c r="AU5" s="24"/>
      <c r="AV5" s="24"/>
      <c r="AW5" s="24"/>
      <c r="AY5" s="4">
        <f>0.476*EXP(0.089*AO5)*2</f>
        <v>0.98979963602445609</v>
      </c>
      <c r="AZ5" s="328">
        <f t="shared" ref="AZ5:AZ44" si="13">AY5/I5/24</f>
        <v>0.12607811336005323</v>
      </c>
    </row>
    <row r="6" spans="1:52" ht="13.8">
      <c r="A6" s="92">
        <v>41388</v>
      </c>
      <c r="B6" s="2" t="s">
        <v>0</v>
      </c>
      <c r="C6" s="100">
        <f>[2]SUM!J6</f>
        <v>4.3125337567100104</v>
      </c>
      <c r="D6" s="100">
        <f>[2]SUM!J49</f>
        <v>0.17050271479178836</v>
      </c>
      <c r="E6" s="147">
        <v>0.41443410744339687</v>
      </c>
      <c r="F6" s="147">
        <f>[2]SUM!G49</f>
        <v>2.2968124739619879E-2</v>
      </c>
      <c r="G6" s="100">
        <f>[2]SUM!K6</f>
        <v>1.0313732665297968</v>
      </c>
      <c r="H6" s="100">
        <f>[2]SUM!K49</f>
        <v>2.9404106445763304E-2</v>
      </c>
      <c r="I6" s="278">
        <f>-[2]SUM!C6</f>
        <v>0.61693915908639985</v>
      </c>
      <c r="J6" s="147">
        <f>[2]SUM!C49</f>
        <v>1.83593769452844E-2</v>
      </c>
      <c r="K6" s="24">
        <f t="shared" si="0"/>
        <v>-0.61693915908639985</v>
      </c>
      <c r="L6" s="100">
        <f>C6/Raw!$F6/Raw!$E6</f>
        <v>3.1728589530128661</v>
      </c>
      <c r="M6" s="100">
        <f>D6/Raw!$F6/Raw!$E6</f>
        <v>0.12544390274009912</v>
      </c>
      <c r="N6" s="100">
        <f>G6/Raw!$F6</f>
        <v>0.23049164180493073</v>
      </c>
      <c r="O6" s="100">
        <f>H6/Raw!$F6</f>
        <v>6.5712395215502019E-3</v>
      </c>
      <c r="P6" s="147">
        <f>[2]SUM!L6</f>
        <v>0.28287391395291067</v>
      </c>
      <c r="Q6" s="100">
        <f>[2]SUM!L49</f>
        <v>4.6075962328749942E-2</v>
      </c>
      <c r="R6" s="100">
        <f>[2]SUM!R6</f>
        <v>18.56867561281663</v>
      </c>
      <c r="S6" s="100">
        <f t="shared" ref="S6:S26" si="14">R6</f>
        <v>18.56867561281663</v>
      </c>
      <c r="T6" s="100">
        <f>[2]SUM!S6</f>
        <v>-22.209809727110393</v>
      </c>
      <c r="U6" s="153">
        <f t="shared" si="1"/>
        <v>22.209809727110393</v>
      </c>
      <c r="V6" s="3">
        <f t="shared" si="2"/>
        <v>-3.641134114293763</v>
      </c>
      <c r="W6" s="4">
        <f t="shared" si="3"/>
        <v>0.83605739270025292</v>
      </c>
      <c r="X6" s="24"/>
      <c r="Y6" s="152"/>
      <c r="Z6" s="152"/>
      <c r="AA6" s="152"/>
      <c r="AB6" s="152"/>
      <c r="AC6" s="153">
        <f>VLOOKUP(Raw!$A6,'SP01'!$A$3:$Z$176,22,0)</f>
        <v>271.85000000000002</v>
      </c>
      <c r="AD6" s="24">
        <f>VLOOKUP(Raw!$A6,'SP01'!$A$3:$Z$176,23,0)</f>
        <v>48</v>
      </c>
      <c r="AE6" s="24">
        <f t="shared" si="4"/>
        <v>-48</v>
      </c>
      <c r="AF6" s="24">
        <f t="shared" si="5"/>
        <v>319.85000000000002</v>
      </c>
      <c r="AG6" s="25">
        <f t="shared" si="6"/>
        <v>-5.6635416666666671</v>
      </c>
      <c r="AH6" s="173"/>
      <c r="AI6" s="174">
        <f t="shared" si="7"/>
        <v>253.28132438718339</v>
      </c>
      <c r="AJ6" s="174">
        <f t="shared" si="8"/>
        <v>-70.209809727110397</v>
      </c>
      <c r="AK6" s="174">
        <f t="shared" si="9"/>
        <v>70.209809727110397</v>
      </c>
      <c r="AL6" s="174">
        <f t="shared" si="10"/>
        <v>323.4911341142938</v>
      </c>
      <c r="AM6" s="219">
        <f t="shared" si="11"/>
        <v>-3.6074919640379379</v>
      </c>
      <c r="AO6" s="25">
        <f>1.4/Raw!D6</f>
        <v>0.46666666666666662</v>
      </c>
      <c r="AP6" s="25">
        <f>(Raw!AO6+0.39)/2.16</f>
        <v>0.5939492932769409</v>
      </c>
      <c r="AQ6" s="199">
        <f>(Raw!E6/(AP6*1.5))*(1-EXP(-AP6*1.5))</f>
        <v>0.2010614697818969</v>
      </c>
      <c r="AR6" s="224">
        <f t="shared" si="12"/>
        <v>41.02765067381285</v>
      </c>
      <c r="AT6" s="24"/>
      <c r="AU6" s="24"/>
      <c r="AV6" s="24"/>
      <c r="AW6" s="24"/>
      <c r="AY6" s="4">
        <f t="shared" ref="AY6:AY44" si="15">0.476*EXP(0.089*AO6)*2</f>
        <v>0.99237232860891122</v>
      </c>
      <c r="AZ6" s="328">
        <f t="shared" si="13"/>
        <v>6.7022568459754003E-2</v>
      </c>
    </row>
    <row r="7" spans="1:52" ht="13.8">
      <c r="A7" s="92">
        <v>41395</v>
      </c>
      <c r="B7" s="2" t="s">
        <v>0</v>
      </c>
      <c r="C7" s="100">
        <f>[2]SUM!J7</f>
        <v>2.4486713984436164</v>
      </c>
      <c r="D7" s="100">
        <f>[2]SUM!J50</f>
        <v>1.1623286418903338</v>
      </c>
      <c r="E7" s="147">
        <v>0.49111499465878228</v>
      </c>
      <c r="F7" s="147">
        <f>[2]SUM!G50</f>
        <v>0.25836478101908661</v>
      </c>
      <c r="G7" s="100">
        <f>[2]SUM!K7</f>
        <v>0.94977923927978569</v>
      </c>
      <c r="H7" s="100">
        <f>[2]SUM!K50</f>
        <v>0.28885745401811141</v>
      </c>
      <c r="I7" s="278">
        <f>-[2]SUM!C7</f>
        <v>0.45866424462100347</v>
      </c>
      <c r="J7" s="147">
        <f>[2]SUM!C50</f>
        <v>0.12917534079995605</v>
      </c>
      <c r="K7" s="24">
        <f t="shared" si="0"/>
        <v>-0.45866424462100347</v>
      </c>
      <c r="L7" s="100">
        <f>C7/Raw!$F7/Raw!$E7</f>
        <v>7.2824289586917557</v>
      </c>
      <c r="M7" s="100">
        <f>D7/Raw!$F7/Raw!$E7</f>
        <v>3.4568034594593375</v>
      </c>
      <c r="N7" s="100">
        <f>G7/Raw!$F7</f>
        <v>0.46925851743072416</v>
      </c>
      <c r="O7" s="100">
        <f>H7/Raw!$F7</f>
        <v>0.14271613340815781</v>
      </c>
      <c r="P7" s="147">
        <f>[2]SUM!L7</f>
        <v>0.94944309946302985</v>
      </c>
      <c r="Q7" s="100">
        <f>[2]SUM!L50</f>
        <v>0.37363922058356508</v>
      </c>
      <c r="R7" s="100">
        <f>[2]SUM!R7</f>
        <v>16.024475627164986</v>
      </c>
      <c r="S7" s="100">
        <f t="shared" si="14"/>
        <v>16.024475627164986</v>
      </c>
      <c r="T7" s="100">
        <f>[2]SUM!S7</f>
        <v>-16.511912806356126</v>
      </c>
      <c r="U7" s="153">
        <f t="shared" si="1"/>
        <v>16.511912806356126</v>
      </c>
      <c r="V7" s="3">
        <f t="shared" si="2"/>
        <v>-0.48743717919114005</v>
      </c>
      <c r="W7" s="4">
        <f t="shared" si="3"/>
        <v>0.97047966611091208</v>
      </c>
      <c r="X7" s="24"/>
      <c r="Y7" s="152"/>
      <c r="Z7" s="152"/>
      <c r="AA7" s="152"/>
      <c r="AB7" s="152"/>
      <c r="AC7" s="153">
        <f>VLOOKUP(Raw!$A7,'SP01'!$A$3:$Z$176,22,0)</f>
        <v>141.56296296296296</v>
      </c>
      <c r="AD7" s="24">
        <f>VLOOKUP(Raw!$A7,'SP01'!$A$3:$Z$176,23,0)</f>
        <v>48</v>
      </c>
      <c r="AE7" s="24">
        <f t="shared" si="4"/>
        <v>-48</v>
      </c>
      <c r="AF7" s="24">
        <f t="shared" si="5"/>
        <v>189.56296296296296</v>
      </c>
      <c r="AG7" s="25">
        <f t="shared" si="6"/>
        <v>-2.9492283950617284</v>
      </c>
      <c r="AH7" s="173"/>
      <c r="AI7" s="174">
        <f t="shared" si="7"/>
        <v>125.53848733579797</v>
      </c>
      <c r="AJ7" s="174">
        <f t="shared" si="8"/>
        <v>-64.511912806356122</v>
      </c>
      <c r="AK7" s="174">
        <f t="shared" si="9"/>
        <v>64.511912806356122</v>
      </c>
      <c r="AL7" s="174">
        <f t="shared" si="10"/>
        <v>190.0504001421541</v>
      </c>
      <c r="AM7" s="219">
        <f t="shared" si="11"/>
        <v>-1.9459737260097041</v>
      </c>
      <c r="AO7" s="25">
        <f>1.4/Raw!D7</f>
        <v>0.41176470588235292</v>
      </c>
      <c r="AP7" s="25">
        <f>(Raw!AO7+0.39)/2.16</f>
        <v>0.38708731313345207</v>
      </c>
      <c r="AQ7" s="199">
        <f>(Raw!E7/(AP7*1.5))*(1-EXP(-AP7*1.5))</f>
        <v>0.12602157272792375</v>
      </c>
      <c r="AR7" s="224">
        <f t="shared" si="12"/>
        <v>55.954519909162457</v>
      </c>
      <c r="AT7" s="24"/>
      <c r="AU7" s="24"/>
      <c r="AV7" s="24"/>
      <c r="AW7" s="24"/>
      <c r="AY7" s="4">
        <f t="shared" si="15"/>
        <v>0.98753515250477786</v>
      </c>
      <c r="AZ7" s="328">
        <f t="shared" si="13"/>
        <v>8.9711152555684015E-2</v>
      </c>
    </row>
    <row r="8" spans="1:52" ht="13.8">
      <c r="A8" s="92">
        <v>41403</v>
      </c>
      <c r="B8" s="2" t="s">
        <v>0</v>
      </c>
      <c r="C8" s="100">
        <f>[2]SUM!J8</f>
        <v>4.074421103831801</v>
      </c>
      <c r="D8" s="100">
        <f>[2]SUM!J51</f>
        <v>0.98574652672922036</v>
      </c>
      <c r="E8" s="147">
        <f>[2]SUM!G8</f>
        <v>0.80294626222345133</v>
      </c>
      <c r="F8" s="147">
        <f>[2]SUM!G51</f>
        <v>0.23898024530129755</v>
      </c>
      <c r="G8" s="100">
        <f>[2]SUM!K8</f>
        <v>1.2079472955102137</v>
      </c>
      <c r="H8" s="100">
        <f>[2]SUM!K51</f>
        <v>0.25563112477490535</v>
      </c>
      <c r="I8" s="278">
        <f>-[2]SUM!C8</f>
        <v>0.40500103328676246</v>
      </c>
      <c r="J8" s="147">
        <f>[2]SUM!C51</f>
        <v>9.0750836411654504E-2</v>
      </c>
      <c r="K8" s="24">
        <f t="shared" si="0"/>
        <v>-0.40500103328676246</v>
      </c>
      <c r="L8" s="100">
        <f>C8/Raw!$F8/Raw!$E8</f>
        <v>3.0297504574932232</v>
      </c>
      <c r="M8" s="100">
        <f>D8/Raw!$F8/Raw!$E8</f>
        <v>0.73300376034315329</v>
      </c>
      <c r="N8" s="100">
        <f>G8/Raw!$F8</f>
        <v>0.53073255514508522</v>
      </c>
      <c r="O8" s="100">
        <f>H8/Raw!$F8</f>
        <v>0.11231595991867548</v>
      </c>
      <c r="P8" s="147">
        <f>[2]SUM!L8</f>
        <v>0.57769133951114338</v>
      </c>
      <c r="Q8" s="100">
        <f>[2]SUM!L51</f>
        <v>0.32206169706812898</v>
      </c>
      <c r="R8" s="100">
        <f>[2]SUM!R8</f>
        <v>22.274804945494843</v>
      </c>
      <c r="S8" s="100">
        <f t="shared" si="14"/>
        <v>22.274804945494843</v>
      </c>
      <c r="T8" s="100">
        <f>[2]SUM!S8</f>
        <v>-14.580037198323449</v>
      </c>
      <c r="U8" s="153">
        <f t="shared" si="1"/>
        <v>14.580037198323449</v>
      </c>
      <c r="V8" s="3">
        <f t="shared" si="2"/>
        <v>7.6947677471713938</v>
      </c>
      <c r="W8" s="4">
        <f t="shared" si="3"/>
        <v>1.5277605017397493</v>
      </c>
      <c r="X8" s="24"/>
      <c r="Y8" s="149"/>
      <c r="Z8" s="149"/>
      <c r="AA8" s="149"/>
      <c r="AB8" s="149"/>
      <c r="AC8" s="153">
        <f>VLOOKUP(Raw!$A8,'SP01'!$A$3:$Z$176,22,0)</f>
        <v>548.65925925925933</v>
      </c>
      <c r="AD8" s="24">
        <f>VLOOKUP(Raw!$A8,'SP01'!$A$3:$Z$176,23,0)</f>
        <v>48</v>
      </c>
      <c r="AE8" s="24">
        <f t="shared" si="4"/>
        <v>-48</v>
      </c>
      <c r="AF8" s="24">
        <f t="shared" si="5"/>
        <v>596.65925925925933</v>
      </c>
      <c r="AG8" s="25">
        <f t="shared" si="6"/>
        <v>-11.430401234567903</v>
      </c>
      <c r="AH8" s="173"/>
      <c r="AI8" s="174">
        <f t="shared" si="7"/>
        <v>526.38445431376454</v>
      </c>
      <c r="AJ8" s="174">
        <f t="shared" si="8"/>
        <v>-62.580037198323453</v>
      </c>
      <c r="AK8" s="174">
        <f t="shared" si="9"/>
        <v>62.580037198323453</v>
      </c>
      <c r="AL8" s="174">
        <f t="shared" si="10"/>
        <v>588.96449151208799</v>
      </c>
      <c r="AM8" s="219">
        <f t="shared" si="11"/>
        <v>-8.4113796967807914</v>
      </c>
      <c r="AO8" s="25">
        <f>1.4/Raw!D8</f>
        <v>0.37333333333333329</v>
      </c>
      <c r="AP8" s="25">
        <f>(Raw!AO8+0.39)/2.16</f>
        <v>0.37946257685374035</v>
      </c>
      <c r="AQ8" s="199">
        <f>(Raw!E8/(AP8*1.5))*(1-EXP(-AP8*1.5))</f>
        <v>0.45054151389014518</v>
      </c>
      <c r="AR8" s="224">
        <f t="shared" si="12"/>
        <v>56.59815121940116</v>
      </c>
      <c r="AT8" s="24"/>
      <c r="AU8" s="24"/>
      <c r="AV8" s="24"/>
      <c r="AW8" s="24"/>
      <c r="AY8" s="4">
        <f t="shared" si="15"/>
        <v>0.98416316506165524</v>
      </c>
      <c r="AZ8" s="328">
        <f t="shared" si="13"/>
        <v>0.1012510961057243</v>
      </c>
    </row>
    <row r="9" spans="1:52" ht="13.8">
      <c r="A9" s="92">
        <v>41409</v>
      </c>
      <c r="B9" s="2" t="s">
        <v>0</v>
      </c>
      <c r="C9" s="100">
        <f>[2]SUM!J9</f>
        <v>2.0082207823901554</v>
      </c>
      <c r="D9" s="100">
        <f>[2]SUM!J52</f>
        <v>0.18200894290659947</v>
      </c>
      <c r="E9" s="147">
        <f>[2]SUM!G9</f>
        <v>0.16685402432629934</v>
      </c>
      <c r="F9" s="147">
        <f>[2]SUM!G52</f>
        <v>3.7068490793908247E-2</v>
      </c>
      <c r="G9" s="100">
        <f>[2]SUM!K9</f>
        <v>0.70415093669624684</v>
      </c>
      <c r="H9" s="100">
        <f>[2]SUM!K52</f>
        <v>5.1597990050998487E-2</v>
      </c>
      <c r="I9" s="278">
        <f>-[2]SUM!C9</f>
        <v>0.53729691236994748</v>
      </c>
      <c r="J9" s="147">
        <f>[2]SUM!C52</f>
        <v>3.5892611601343223E-2</v>
      </c>
      <c r="K9" s="24">
        <f t="shared" si="0"/>
        <v>-0.53729691236994748</v>
      </c>
      <c r="L9" s="100">
        <f>C9/Raw!$F9/Raw!$E9</f>
        <v>1.0631214713666761</v>
      </c>
      <c r="M9" s="100">
        <f>D9/Raw!$F9/Raw!$E9</f>
        <v>9.63527600558238E-2</v>
      </c>
      <c r="N9" s="100">
        <f>G9/Raw!$F9</f>
        <v>0.23694706895954468</v>
      </c>
      <c r="O9" s="100">
        <f>H9/Raw!$F9</f>
        <v>1.7362744078918732E-2</v>
      </c>
      <c r="P9" s="147">
        <f>[2]SUM!L9</f>
        <v>0.893951747012805</v>
      </c>
      <c r="Q9" s="100">
        <f>[2]SUM!L52</f>
        <v>5.3149941539538316E-2</v>
      </c>
      <c r="R9" s="100">
        <f>[2]SUM!R9</f>
        <v>12.574866015192491</v>
      </c>
      <c r="S9" s="100">
        <f t="shared" si="14"/>
        <v>12.574866015192491</v>
      </c>
      <c r="T9" s="100">
        <f>[2]SUM!S9</f>
        <v>-19.342688845318108</v>
      </c>
      <c r="U9" s="153">
        <f t="shared" si="1"/>
        <v>19.342688845318108</v>
      </c>
      <c r="V9" s="3">
        <f t="shared" si="2"/>
        <v>-6.7678228301256169</v>
      </c>
      <c r="W9" s="4">
        <f t="shared" si="3"/>
        <v>0.65010951247536786</v>
      </c>
      <c r="X9" s="24"/>
      <c r="Y9" s="149"/>
      <c r="Z9" s="149"/>
      <c r="AA9" s="149"/>
      <c r="AB9" s="149"/>
      <c r="AC9" s="153">
        <f>VLOOKUP(Raw!$A9,'SP01'!$A$3:$Z$176,22,0)</f>
        <v>578.72037037037035</v>
      </c>
      <c r="AD9" s="24">
        <f>VLOOKUP(Raw!$A9,'SP01'!$A$3:$Z$176,23,0)</f>
        <v>48</v>
      </c>
      <c r="AE9" s="24">
        <f t="shared" si="4"/>
        <v>-48</v>
      </c>
      <c r="AF9" s="24">
        <f t="shared" si="5"/>
        <v>626.72037037037035</v>
      </c>
      <c r="AG9" s="25">
        <f t="shared" si="6"/>
        <v>-12.056674382716048</v>
      </c>
      <c r="AH9" s="173"/>
      <c r="AI9" s="174">
        <f t="shared" si="7"/>
        <v>566.14550435517788</v>
      </c>
      <c r="AJ9" s="174">
        <f t="shared" si="8"/>
        <v>-67.342688845318108</v>
      </c>
      <c r="AK9" s="174">
        <f t="shared" si="9"/>
        <v>67.342688845318108</v>
      </c>
      <c r="AL9" s="174">
        <f t="shared" si="10"/>
        <v>633.48819320049597</v>
      </c>
      <c r="AM9" s="219">
        <f t="shared" si="11"/>
        <v>-8.406933463194175</v>
      </c>
      <c r="AO9" s="25">
        <f>1.4/Raw!D9</f>
        <v>0.38888888888888884</v>
      </c>
      <c r="AP9" s="25">
        <f>(Raw!AO9+0.39)/2.16</f>
        <v>0.37953749012947458</v>
      </c>
      <c r="AQ9" s="199">
        <f>(Raw!E9/(AP9*1.5))*(1-EXP(-AP9*1.5))</f>
        <v>0.48466322493445946</v>
      </c>
      <c r="AR9" s="224">
        <f t="shared" si="12"/>
        <v>56.591791647357617</v>
      </c>
      <c r="AT9" s="24"/>
      <c r="AU9" s="24"/>
      <c r="AV9" s="24"/>
      <c r="AW9" s="24"/>
      <c r="AY9" s="4">
        <f t="shared" si="15"/>
        <v>0.9855266278894429</v>
      </c>
      <c r="AZ9" s="328">
        <f t="shared" si="13"/>
        <v>7.6426289729206079E-2</v>
      </c>
    </row>
    <row r="10" spans="1:52" ht="13.8">
      <c r="A10" s="92">
        <v>41416</v>
      </c>
      <c r="B10" s="2" t="s">
        <v>0</v>
      </c>
      <c r="C10" s="100">
        <f>[2]SUM!J10</f>
        <v>3.3882945503504178</v>
      </c>
      <c r="D10" s="100">
        <f>[2]SUM!J53</f>
        <v>0.90796642817030537</v>
      </c>
      <c r="E10" s="147">
        <f>[2]SUM!G10</f>
        <v>-6.9223640816187301E-2</v>
      </c>
      <c r="F10" s="147">
        <f>[2]SUM!G53</f>
        <v>0.20797270447202307</v>
      </c>
      <c r="G10" s="100">
        <f>[2]SUM!K10</f>
        <v>0.83709665870228467</v>
      </c>
      <c r="H10" s="100">
        <f>[2]SUM!K53</f>
        <v>0.23444144417570029</v>
      </c>
      <c r="I10" s="278">
        <f>-[2]SUM!C10</f>
        <v>0.90632029951847193</v>
      </c>
      <c r="J10" s="147">
        <f>[2]SUM!C53</f>
        <v>0.10821342311275688</v>
      </c>
      <c r="K10" s="24">
        <f t="shared" si="0"/>
        <v>-0.90632029951847193</v>
      </c>
      <c r="L10" s="100">
        <f>C10/Raw!$F10/Raw!$E10</f>
        <v>4.2884190029975606</v>
      </c>
      <c r="M10" s="100">
        <f>D10/Raw!$F10/Raw!$E10</f>
        <v>1.1491741425628614</v>
      </c>
      <c r="N10" s="100">
        <f>G10/Raw!$F10</f>
        <v>0.43149312304241477</v>
      </c>
      <c r="O10" s="100">
        <f>H10/Raw!$F10</f>
        <v>0.12084610524520634</v>
      </c>
      <c r="P10" s="147">
        <f>[2]SUM!L10</f>
        <v>3.141600493318998</v>
      </c>
      <c r="Q10" s="100">
        <f>[2]SUM!L53</f>
        <v>0.29125302178266343</v>
      </c>
      <c r="R10" s="100">
        <f>[2]SUM!R10</f>
        <v>16.429161624580058</v>
      </c>
      <c r="S10" s="100">
        <f t="shared" si="14"/>
        <v>16.429161624580058</v>
      </c>
      <c r="T10" s="100">
        <f>[2]SUM!S10</f>
        <v>-32.627530782664991</v>
      </c>
      <c r="U10" s="153">
        <f t="shared" si="1"/>
        <v>32.627530782664991</v>
      </c>
      <c r="V10" s="3">
        <f t="shared" si="2"/>
        <v>-16.198369158084933</v>
      </c>
      <c r="W10" s="4">
        <f t="shared" si="3"/>
        <v>0.50353677494065452</v>
      </c>
      <c r="X10" s="24"/>
      <c r="Y10" s="149"/>
      <c r="Z10" s="149"/>
      <c r="AA10" s="149"/>
      <c r="AB10" s="149"/>
      <c r="AC10" s="153">
        <f>VLOOKUP(Raw!$A10,'SP01'!$A$3:$Z$176,22,0)</f>
        <v>385.38888888888903</v>
      </c>
      <c r="AD10" s="24">
        <f>VLOOKUP(Raw!$A10,'SP01'!$A$3:$Z$176,23,0)</f>
        <v>48</v>
      </c>
      <c r="AE10" s="24">
        <f t="shared" si="4"/>
        <v>-48</v>
      </c>
      <c r="AF10" s="24">
        <f t="shared" si="5"/>
        <v>433.38888888888903</v>
      </c>
      <c r="AG10" s="25">
        <f t="shared" si="6"/>
        <v>-8.0289351851851887</v>
      </c>
      <c r="AH10" s="173"/>
      <c r="AI10" s="174">
        <f t="shared" si="7"/>
        <v>368.95972726430898</v>
      </c>
      <c r="AJ10" s="174">
        <f t="shared" si="8"/>
        <v>-80.627530782664991</v>
      </c>
      <c r="AK10" s="174">
        <f t="shared" si="9"/>
        <v>80.627530782664991</v>
      </c>
      <c r="AL10" s="174">
        <f t="shared" si="10"/>
        <v>449.58725804697394</v>
      </c>
      <c r="AM10" s="219">
        <f t="shared" si="11"/>
        <v>-4.5761010374837836</v>
      </c>
      <c r="AO10" s="25">
        <f>1.4/Raw!D10</f>
        <v>0.29473684210526313</v>
      </c>
      <c r="AP10" s="25">
        <f>(Raw!AO10+0.39)/2.16</f>
        <v>0.31186724712755937</v>
      </c>
      <c r="AQ10" s="199">
        <f>(Raw!E10/(AP10*1.5))*(1-EXP(-AP10*1.5))</f>
        <v>0.32527699554449174</v>
      </c>
      <c r="AR10" s="224">
        <f t="shared" si="12"/>
        <v>62.637824150584578</v>
      </c>
      <c r="AT10" s="24"/>
      <c r="AU10" s="24"/>
      <c r="AV10" s="24"/>
      <c r="AW10" s="24"/>
      <c r="AY10" s="4">
        <f t="shared" si="15"/>
        <v>0.97730287951504313</v>
      </c>
      <c r="AZ10" s="328">
        <f t="shared" si="13"/>
        <v>4.4929980421669735E-2</v>
      </c>
    </row>
    <row r="11" spans="1:52" ht="13.8">
      <c r="A11" s="92">
        <v>41423</v>
      </c>
      <c r="B11" s="2" t="s">
        <v>0</v>
      </c>
      <c r="C11" s="100">
        <f>[2]SUM!J11</f>
        <v>6.7689518908036455</v>
      </c>
      <c r="D11" s="100">
        <f>[2]SUM!J54</f>
        <v>1.4098972526567841</v>
      </c>
      <c r="E11" s="147">
        <f>[2]SUM!G11</f>
        <v>0.68616390327435217</v>
      </c>
      <c r="F11" s="147">
        <f>[2]SUM!G54</f>
        <v>0.1286176191056066</v>
      </c>
      <c r="G11" s="100">
        <f>[2]SUM!K11</f>
        <v>1.2653866595494825</v>
      </c>
      <c r="H11" s="100">
        <f>[2]SUM!K54</f>
        <v>0.1428696425169948</v>
      </c>
      <c r="I11" s="278">
        <f>-[2]SUM!C11</f>
        <v>0.57922275627513042</v>
      </c>
      <c r="J11" s="147">
        <f>[2]SUM!C54</f>
        <v>6.2203237926485723E-2</v>
      </c>
      <c r="K11" s="24">
        <f t="shared" si="0"/>
        <v>-0.57922275627513042</v>
      </c>
      <c r="L11" s="100">
        <f>C11/Raw!$F11/Raw!$E11</f>
        <v>5.3140061369933642</v>
      </c>
      <c r="M11" s="100">
        <f>D11/Raw!$F11/Raw!$E11</f>
        <v>1.1068482645484898</v>
      </c>
      <c r="N11" s="100">
        <f>G11/Raw!$F11</f>
        <v>0.64871663054930917</v>
      </c>
      <c r="O11" s="100">
        <f>H11/Raw!$F11</f>
        <v>7.324394674305075E-2</v>
      </c>
      <c r="P11" s="147">
        <f>[2]SUM!L11</f>
        <v>2.4140436997324728</v>
      </c>
      <c r="Q11" s="100">
        <f>[2]SUM!L54</f>
        <v>0.19374600956445664</v>
      </c>
      <c r="R11" s="100">
        <f>[2]SUM!R11</f>
        <v>25.702339142750848</v>
      </c>
      <c r="S11" s="100">
        <f t="shared" si="14"/>
        <v>25.702339142750848</v>
      </c>
      <c r="T11" s="100">
        <f>[2]SUM!S11</f>
        <v>-20.852019225904694</v>
      </c>
      <c r="U11" s="153">
        <f t="shared" si="1"/>
        <v>20.852019225904694</v>
      </c>
      <c r="V11" s="3">
        <f t="shared" si="2"/>
        <v>4.8503199168461535</v>
      </c>
      <c r="W11" s="4">
        <f t="shared" si="3"/>
        <v>1.2326067257227802</v>
      </c>
      <c r="X11" s="24"/>
      <c r="Y11" s="149"/>
      <c r="Z11" s="149"/>
      <c r="AA11" s="149"/>
      <c r="AB11" s="149"/>
      <c r="AC11" s="153">
        <f>VLOOKUP(Raw!$A11,'SP01'!$A$3:$Z$176,22,0)</f>
        <v>502.25555555555547</v>
      </c>
      <c r="AD11" s="24">
        <f>VLOOKUP(Raw!$A11,'SP01'!$A$3:$Z$176,23,0)</f>
        <v>48</v>
      </c>
      <c r="AE11" s="24">
        <f t="shared" si="4"/>
        <v>-48</v>
      </c>
      <c r="AF11" s="24">
        <f t="shared" si="5"/>
        <v>550.25555555555547</v>
      </c>
      <c r="AG11" s="25">
        <f t="shared" si="6"/>
        <v>-10.463657407407405</v>
      </c>
      <c r="AH11" s="173"/>
      <c r="AI11" s="174">
        <f t="shared" si="7"/>
        <v>476.5532164128046</v>
      </c>
      <c r="AJ11" s="174">
        <f t="shared" si="8"/>
        <v>-68.852019225904698</v>
      </c>
      <c r="AK11" s="174">
        <f t="shared" si="9"/>
        <v>68.852019225904698</v>
      </c>
      <c r="AL11" s="174">
        <f t="shared" si="10"/>
        <v>545.40523563870931</v>
      </c>
      <c r="AM11" s="219">
        <f t="shared" si="11"/>
        <v>-6.9214123531980238</v>
      </c>
      <c r="AO11" s="25">
        <f>1.4/Raw!D11</f>
        <v>0.50909090909090904</v>
      </c>
      <c r="AP11" s="25">
        <f>(Raw!AO11+0.39)/2.16</f>
        <v>0.34145789885597616</v>
      </c>
      <c r="AQ11" s="199">
        <f>(Raw!E11/(AP11*1.5))*(1-EXP(-AP11*1.5))</f>
        <v>0.51103186012688062</v>
      </c>
      <c r="AR11" s="224">
        <f t="shared" si="12"/>
        <v>59.918382091673251</v>
      </c>
      <c r="AT11" s="24"/>
      <c r="AU11" s="24"/>
      <c r="AV11" s="24"/>
      <c r="AW11" s="24"/>
      <c r="AY11" s="4">
        <f t="shared" si="15"/>
        <v>0.99612636865930182</v>
      </c>
      <c r="AZ11" s="328">
        <f t="shared" si="13"/>
        <v>7.165682789764094E-2</v>
      </c>
    </row>
    <row r="12" spans="1:52" ht="13.8">
      <c r="A12" s="92">
        <v>41430</v>
      </c>
      <c r="B12" s="2" t="s">
        <v>0</v>
      </c>
      <c r="C12" s="100">
        <f>[2]SUM!J12</f>
        <v>6.7854132254915838</v>
      </c>
      <c r="D12" s="100">
        <f>[2]SUM!J55</f>
        <v>3.4239947047868493</v>
      </c>
      <c r="E12" s="147">
        <f>[2]SUM!G12</f>
        <v>0.37451132429646283</v>
      </c>
      <c r="F12" s="147">
        <f>[2]SUM!G55</f>
        <v>0.18385397304062684</v>
      </c>
      <c r="G12" s="100">
        <f>[2]SUM!K12</f>
        <v>1.1233288571143656</v>
      </c>
      <c r="H12" s="100">
        <f>[2]SUM!K55</f>
        <v>0.22855921991035089</v>
      </c>
      <c r="I12" s="278">
        <f>-[2]SUM!C12</f>
        <v>0.74881753281790286</v>
      </c>
      <c r="J12" s="147">
        <f>[2]SUM!C55</f>
        <v>0.13578303871693473</v>
      </c>
      <c r="K12" s="24">
        <f t="shared" si="0"/>
        <v>-0.74881753281790286</v>
      </c>
      <c r="L12" s="100">
        <f>C12/Raw!$F12/Raw!$E12</f>
        <v>4.4878614409358875</v>
      </c>
      <c r="M12" s="100">
        <f>D12/Raw!$F12/Raw!$E12</f>
        <v>2.2646246144380258</v>
      </c>
      <c r="N12" s="100">
        <f>G12/Raw!$F12</f>
        <v>0.44377547391236344</v>
      </c>
      <c r="O12" s="100">
        <f>H12/Raw!$F12</f>
        <v>9.0293216888693906E-2</v>
      </c>
      <c r="P12" s="147">
        <f>[2]SUM!L12</f>
        <v>1.7574958373944287</v>
      </c>
      <c r="Q12" s="100">
        <f>[2]SUM!L55</f>
        <v>0.24390108433213192</v>
      </c>
      <c r="R12" s="100">
        <f>[2]SUM!R12</f>
        <v>23.100095066541261</v>
      </c>
      <c r="S12" s="100">
        <f t="shared" si="14"/>
        <v>23.100095066541261</v>
      </c>
      <c r="T12" s="100">
        <f>[2]SUM!S12</f>
        <v>-26.957431181444502</v>
      </c>
      <c r="U12" s="153">
        <f t="shared" si="1"/>
        <v>26.957431181444502</v>
      </c>
      <c r="V12" s="3">
        <f t="shared" si="2"/>
        <v>-3.8573361149032408</v>
      </c>
      <c r="W12" s="4">
        <f t="shared" si="3"/>
        <v>0.85691010063457584</v>
      </c>
      <c r="X12" s="24"/>
      <c r="Y12" s="149"/>
      <c r="Z12" s="149"/>
      <c r="AA12" s="149"/>
      <c r="AB12" s="149"/>
      <c r="AC12" s="153">
        <f>VLOOKUP(Raw!$A12,'SP01'!$A$3:$Z$176,22,0)</f>
        <v>556.98333333333346</v>
      </c>
      <c r="AD12" s="24">
        <f>VLOOKUP(Raw!$A12,'SP01'!$A$3:$Z$176,23,0)</f>
        <v>48</v>
      </c>
      <c r="AE12" s="24">
        <f t="shared" si="4"/>
        <v>-48</v>
      </c>
      <c r="AF12" s="24">
        <f t="shared" si="5"/>
        <v>604.98333333333346</v>
      </c>
      <c r="AG12" s="25">
        <f t="shared" si="6"/>
        <v>-11.603819444444447</v>
      </c>
      <c r="AH12" s="173"/>
      <c r="AI12" s="174">
        <f t="shared" si="7"/>
        <v>533.8832382667922</v>
      </c>
      <c r="AJ12" s="174">
        <f t="shared" si="8"/>
        <v>-74.957431181444505</v>
      </c>
      <c r="AK12" s="174">
        <f t="shared" si="9"/>
        <v>74.957431181444505</v>
      </c>
      <c r="AL12" s="174">
        <f t="shared" si="10"/>
        <v>608.84066944823667</v>
      </c>
      <c r="AM12" s="219">
        <f t="shared" si="11"/>
        <v>-7.1224857876259966</v>
      </c>
      <c r="AO12" s="25">
        <f>1.4/Raw!D12</f>
        <v>0.35</v>
      </c>
      <c r="AP12" s="25">
        <f>(Raw!AO12+0.39)/2.16</f>
        <v>0.3599179758622999</v>
      </c>
      <c r="AQ12" s="199">
        <f>(Raw!E12/(AP12*1.5))*(1-EXP(-AP12*1.5))</f>
        <v>0.46155341720557935</v>
      </c>
      <c r="AR12" s="224">
        <f t="shared" si="12"/>
        <v>58.281995591931114</v>
      </c>
      <c r="AT12" s="24"/>
      <c r="AU12" s="24"/>
      <c r="AV12" s="24"/>
      <c r="AW12" s="24"/>
      <c r="AY12" s="4">
        <f t="shared" si="15"/>
        <v>0.98212150687768673</v>
      </c>
      <c r="AZ12" s="328">
        <f t="shared" si="13"/>
        <v>5.4648465961050462E-2</v>
      </c>
    </row>
    <row r="13" spans="1:52" ht="13.8">
      <c r="A13" s="92">
        <v>41437</v>
      </c>
      <c r="B13" s="2" t="s">
        <v>0</v>
      </c>
      <c r="C13" s="100">
        <f>[2]SUM!J13</f>
        <v>14.31242994342675</v>
      </c>
      <c r="D13" s="100">
        <f>[2]SUM!J56</f>
        <v>3.864942180936783</v>
      </c>
      <c r="E13" s="147">
        <f>[2]SUM!G13</f>
        <v>0.90420991755702984</v>
      </c>
      <c r="F13" s="147">
        <f>[2]SUM!G56</f>
        <v>0.34439075642382966</v>
      </c>
      <c r="G13" s="100">
        <f>[2]SUM!K13</f>
        <v>1.927129465834887</v>
      </c>
      <c r="H13" s="100">
        <f>[2]SUM!K56</f>
        <v>0.36134649974140182</v>
      </c>
      <c r="I13" s="278">
        <f>-[2]SUM!C13</f>
        <v>1.0229195482778572</v>
      </c>
      <c r="J13" s="147">
        <f>[2]SUM!C56</f>
        <v>0.10939058353069218</v>
      </c>
      <c r="K13" s="24">
        <f t="shared" si="0"/>
        <v>-1.0229195482778572</v>
      </c>
      <c r="L13" s="100">
        <f>C13/Raw!$F13/Raw!$E13</f>
        <v>7.3606122424428149</v>
      </c>
      <c r="M13" s="100">
        <f>D13/Raw!$F13/Raw!$E13</f>
        <v>1.9876667236650718</v>
      </c>
      <c r="N13" s="100">
        <f>G13/Raw!$F13</f>
        <v>0.61925754043537495</v>
      </c>
      <c r="O13" s="100">
        <f>H13/Raw!$F13</f>
        <v>0.11611391379865096</v>
      </c>
      <c r="P13" s="147">
        <f>[2]SUM!L13</f>
        <v>3.8139786560847022</v>
      </c>
      <c r="Q13" s="100">
        <f>[2]SUM!L56</f>
        <v>0.5188442927444552</v>
      </c>
      <c r="R13" s="100">
        <f>[2]SUM!R13</f>
        <v>40.111352456689104</v>
      </c>
      <c r="S13" s="100">
        <f t="shared" si="14"/>
        <v>40.111352456689104</v>
      </c>
      <c r="T13" s="100">
        <f>[2]SUM!S13</f>
        <v>-36.825103738002859</v>
      </c>
      <c r="U13" s="153">
        <f t="shared" si="1"/>
        <v>36.825103738002859</v>
      </c>
      <c r="V13" s="3">
        <f t="shared" si="2"/>
        <v>3.2862487186862452</v>
      </c>
      <c r="W13" s="4">
        <f t="shared" si="3"/>
        <v>1.0892393607922113</v>
      </c>
      <c r="X13" s="24"/>
      <c r="Y13" s="149"/>
      <c r="Z13" s="149"/>
      <c r="AA13" s="149"/>
      <c r="AB13" s="149"/>
      <c r="AC13" s="153">
        <f>VLOOKUP(Raw!$A13,'SP01'!$A$3:$Z$176,22,0)</f>
        <v>508.69196428571422</v>
      </c>
      <c r="AD13" s="24">
        <f>VLOOKUP(Raw!$A13,'SP01'!$A$3:$Z$176,23,0)</f>
        <v>48</v>
      </c>
      <c r="AE13" s="24">
        <f t="shared" si="4"/>
        <v>-48</v>
      </c>
      <c r="AF13" s="24">
        <f t="shared" si="5"/>
        <v>556.69196428571422</v>
      </c>
      <c r="AG13" s="25">
        <f t="shared" si="6"/>
        <v>-10.59774925595238</v>
      </c>
      <c r="AH13" s="173"/>
      <c r="AI13" s="174">
        <f t="shared" si="7"/>
        <v>468.58061182902509</v>
      </c>
      <c r="AJ13" s="174">
        <f t="shared" si="8"/>
        <v>-84.825103738002866</v>
      </c>
      <c r="AK13" s="174">
        <f t="shared" si="9"/>
        <v>84.825103738002866</v>
      </c>
      <c r="AL13" s="174">
        <f t="shared" si="10"/>
        <v>553.40571556702798</v>
      </c>
      <c r="AM13" s="219">
        <f t="shared" si="11"/>
        <v>-5.52407944323084</v>
      </c>
      <c r="AO13" s="25">
        <f>1.4/Raw!D13</f>
        <v>0.46666666666666662</v>
      </c>
      <c r="AP13" s="25">
        <f>(Raw!AO13+0.39)/2.16</f>
        <v>0.33986630953190317</v>
      </c>
      <c r="AQ13" s="199">
        <f>(Raw!E13/(AP13*1.5))*(1-EXP(-AP13*1.5))</f>
        <v>0.4894982243449541</v>
      </c>
      <c r="AR13" s="224">
        <f t="shared" si="12"/>
        <v>60.061601168994038</v>
      </c>
      <c r="AT13" s="24"/>
      <c r="AU13" s="24"/>
      <c r="AV13" s="24"/>
      <c r="AW13" s="24"/>
      <c r="AY13" s="4">
        <f t="shared" si="15"/>
        <v>0.99237232860891122</v>
      </c>
      <c r="AZ13" s="328">
        <f t="shared" si="13"/>
        <v>4.0422384238315144E-2</v>
      </c>
    </row>
    <row r="14" spans="1:52" ht="13.8">
      <c r="A14" s="92">
        <v>41444</v>
      </c>
      <c r="B14" s="2" t="s">
        <v>0</v>
      </c>
      <c r="C14" s="100">
        <f>[2]SUM!J14</f>
        <v>5.2448512719121361</v>
      </c>
      <c r="D14" s="100">
        <f>[2]SUM!J57</f>
        <v>18.078164724511055</v>
      </c>
      <c r="E14" s="147">
        <f>[2]SUM!G14</f>
        <v>0.99977979385000093</v>
      </c>
      <c r="F14" s="147">
        <f>[2]SUM!G57</f>
        <v>0.98631006960657963</v>
      </c>
      <c r="G14" s="100">
        <f>[2]SUM!K14</f>
        <v>1.4426741089367043</v>
      </c>
      <c r="H14" s="100">
        <f>[2]SUM!K57</f>
        <v>1.110908776112582</v>
      </c>
      <c r="I14" s="278">
        <f>-[2]SUM!C14</f>
        <v>0.44289431508670335</v>
      </c>
      <c r="J14" s="147">
        <f>[2]SUM!C57</f>
        <v>0.51118563696236519</v>
      </c>
      <c r="K14" s="24">
        <f t="shared" si="0"/>
        <v>-0.44289431508670335</v>
      </c>
      <c r="L14" s="100">
        <f>C14/Raw!$F14/Raw!$E14</f>
        <v>2.6516184634325004</v>
      </c>
      <c r="M14" s="100">
        <f>D14/Raw!$F14/Raw!$E14</f>
        <v>9.1397053764331577</v>
      </c>
      <c r="N14" s="100">
        <f>G14/Raw!$F14</f>
        <v>0.36920642583153018</v>
      </c>
      <c r="O14" s="100">
        <f>H14/Raw!$F14</f>
        <v>0.28430167015037283</v>
      </c>
      <c r="P14" s="147">
        <f>[2]SUM!L14</f>
        <v>2.3945969579533468</v>
      </c>
      <c r="Q14" s="100">
        <f>[2]SUM!L57</f>
        <v>1.4196275655322865</v>
      </c>
      <c r="R14" s="100">
        <f>[2]SUM!R14</f>
        <v>28.200084082059689</v>
      </c>
      <c r="S14" s="100">
        <f t="shared" si="14"/>
        <v>28.200084082059689</v>
      </c>
      <c r="T14" s="100">
        <f>[2]SUM!S14</f>
        <v>-15.944195343121322</v>
      </c>
      <c r="U14" s="153">
        <f t="shared" si="1"/>
        <v>15.944195343121322</v>
      </c>
      <c r="V14" s="3">
        <f t="shared" si="2"/>
        <v>12.255888738938367</v>
      </c>
      <c r="W14" s="4">
        <f t="shared" si="3"/>
        <v>1.7686740205566929</v>
      </c>
      <c r="X14" s="24"/>
      <c r="Y14" s="149"/>
      <c r="Z14" s="149"/>
      <c r="AA14" s="149"/>
      <c r="AB14" s="149"/>
      <c r="AC14" s="153">
        <f>VLOOKUP(Raw!$A14,'SP01'!$A$3:$Z$176,22,0)</f>
        <v>476.86964285714288</v>
      </c>
      <c r="AD14" s="24">
        <f>VLOOKUP(Raw!$A14,'SP01'!$A$3:$Z$176,23,0)</f>
        <v>48</v>
      </c>
      <c r="AE14" s="24">
        <f t="shared" si="4"/>
        <v>-48</v>
      </c>
      <c r="AF14" s="24">
        <f t="shared" si="5"/>
        <v>524.86964285714294</v>
      </c>
      <c r="AG14" s="25">
        <f t="shared" si="6"/>
        <v>-9.9347842261904766</v>
      </c>
      <c r="AH14" s="173"/>
      <c r="AI14" s="174">
        <f t="shared" si="7"/>
        <v>448.6695587750832</v>
      </c>
      <c r="AJ14" s="174">
        <f t="shared" si="8"/>
        <v>-63.944195343121322</v>
      </c>
      <c r="AK14" s="174">
        <f t="shared" si="9"/>
        <v>63.944195343121322</v>
      </c>
      <c r="AL14" s="174">
        <f t="shared" si="10"/>
        <v>512.6137541182045</v>
      </c>
      <c r="AM14" s="219">
        <f t="shared" si="11"/>
        <v>-7.0165799470545371</v>
      </c>
      <c r="AO14" s="25">
        <f>1.4/Raw!D14</f>
        <v>0.46666666666666662</v>
      </c>
      <c r="AP14" s="25">
        <f>(Raw!AO14+0.39)/2.16</f>
        <v>0.36269135867691232</v>
      </c>
      <c r="AQ14" s="199">
        <f>(Raw!E14/(AP14*1.5))*(1-EXP(-AP14*1.5))</f>
        <v>0.39041791331240622</v>
      </c>
      <c r="AR14" s="224">
        <f t="shared" si="12"/>
        <v>58.040041786303988</v>
      </c>
      <c r="AT14" s="24"/>
      <c r="AU14" s="24"/>
      <c r="AV14" s="24"/>
      <c r="AW14" s="24"/>
      <c r="AY14" s="4">
        <f t="shared" si="15"/>
        <v>0.99237232860891122</v>
      </c>
      <c r="AZ14" s="328">
        <f t="shared" si="13"/>
        <v>9.336052782090154E-2</v>
      </c>
    </row>
    <row r="15" spans="1:52" ht="13.8">
      <c r="A15" s="92">
        <v>41451</v>
      </c>
      <c r="B15" s="2" t="s">
        <v>0</v>
      </c>
      <c r="C15" s="100">
        <f>[2]SUM!J15</f>
        <v>9.2899718660411637</v>
      </c>
      <c r="D15" s="100">
        <f>[2]SUM!J58</f>
        <v>7.9344666061078142</v>
      </c>
      <c r="E15" s="147">
        <f>[2]SUM!G15</f>
        <v>1.1500686320532769</v>
      </c>
      <c r="F15" s="147">
        <f>[2]SUM!G58</f>
        <v>0.16772458557740033</v>
      </c>
      <c r="G15" s="100">
        <f>[2]SUM!K15</f>
        <v>1.5462315767482466</v>
      </c>
      <c r="H15" s="100">
        <f>[2]SUM!K58</f>
        <v>0.22222384219079577</v>
      </c>
      <c r="I15" s="278">
        <f>-[2]SUM!C15</f>
        <v>0.3961629446949696</v>
      </c>
      <c r="J15" s="147">
        <f>[2]SUM!C58</f>
        <v>0.14578031221989141</v>
      </c>
      <c r="K15" s="24">
        <f t="shared" si="0"/>
        <v>-0.3961629446949696</v>
      </c>
      <c r="L15" s="100">
        <f>C15/Raw!$F15/Raw!$E15</f>
        <v>3.7468626240770075</v>
      </c>
      <c r="M15" s="100">
        <f>D15/Raw!$F15/Raw!$E15</f>
        <v>3.2001556944522167</v>
      </c>
      <c r="N15" s="100">
        <f>G15/Raw!$F15</f>
        <v>0.33701647270014096</v>
      </c>
      <c r="O15" s="100">
        <f>H15/Raw!$F15</f>
        <v>4.8435885394680855E-2</v>
      </c>
      <c r="P15" s="147">
        <f>[2]SUM!L15</f>
        <v>2.0599179341227027</v>
      </c>
      <c r="Q15" s="100">
        <f>[2]SUM!L58</f>
        <v>0.30035732770146595</v>
      </c>
      <c r="R15" s="100">
        <f>[2]SUM!R15</f>
        <v>31.884519272744924</v>
      </c>
      <c r="S15" s="100">
        <f t="shared" si="14"/>
        <v>31.884519272744924</v>
      </c>
      <c r="T15" s="100">
        <f>[2]SUM!S15</f>
        <v>-14.261866009018904</v>
      </c>
      <c r="U15" s="153">
        <f t="shared" si="1"/>
        <v>14.261866009018904</v>
      </c>
      <c r="V15" s="3">
        <f t="shared" si="2"/>
        <v>17.622653263726022</v>
      </c>
      <c r="W15" s="4">
        <f t="shared" si="3"/>
        <v>2.2356484945645838</v>
      </c>
      <c r="X15" s="24"/>
      <c r="Y15" s="149"/>
      <c r="Z15" s="149"/>
      <c r="AA15" s="149"/>
      <c r="AB15" s="149"/>
      <c r="AC15" s="153">
        <f>VLOOKUP(Raw!$A15,'SP01'!$A$3:$Z$176,22,0)</f>
        <v>362.99017857142854</v>
      </c>
      <c r="AD15" s="24">
        <f>VLOOKUP(Raw!$A15,'SP01'!$A$3:$Z$176,23,0)</f>
        <v>48</v>
      </c>
      <c r="AE15" s="24">
        <f t="shared" si="4"/>
        <v>-48</v>
      </c>
      <c r="AF15" s="24">
        <f t="shared" si="5"/>
        <v>410.99017857142854</v>
      </c>
      <c r="AG15" s="25">
        <f t="shared" si="6"/>
        <v>-7.5622953869047613</v>
      </c>
      <c r="AH15" s="173"/>
      <c r="AI15" s="174">
        <f t="shared" si="7"/>
        <v>331.10565929868363</v>
      </c>
      <c r="AJ15" s="174">
        <f t="shared" si="8"/>
        <v>-62.261866009018902</v>
      </c>
      <c r="AK15" s="174">
        <f t="shared" si="9"/>
        <v>62.261866009018902</v>
      </c>
      <c r="AL15" s="174">
        <f t="shared" si="10"/>
        <v>393.36752530770252</v>
      </c>
      <c r="AM15" s="219">
        <f t="shared" si="11"/>
        <v>-5.3179527136356874</v>
      </c>
      <c r="AO15" s="25">
        <f>1.4/Raw!D15</f>
        <v>0.46666666666666662</v>
      </c>
      <c r="AP15" s="25">
        <f>(Raw!AO15+0.39)/2.16</f>
        <v>0.41356325095046259</v>
      </c>
      <c r="AQ15" s="199">
        <f>(Raw!E15/(AP15*1.5))*(1-EXP(-AP15*1.5))</f>
        <v>0.40267858616538338</v>
      </c>
      <c r="AR15" s="224">
        <f t="shared" si="12"/>
        <v>53.77589452276257</v>
      </c>
      <c r="AT15" s="24"/>
      <c r="AU15" s="24"/>
      <c r="AV15" s="24"/>
      <c r="AW15" s="24"/>
      <c r="AY15" s="4">
        <f t="shared" si="15"/>
        <v>0.99237232860891122</v>
      </c>
      <c r="AZ15" s="328">
        <f t="shared" si="13"/>
        <v>0.10437333319300811</v>
      </c>
    </row>
    <row r="16" spans="1:52" ht="13.8">
      <c r="A16" s="92">
        <v>41472</v>
      </c>
      <c r="B16" s="2" t="s">
        <v>0</v>
      </c>
      <c r="C16" s="100">
        <f>[2]SUM!J16</f>
        <v>18.214136203258292</v>
      </c>
      <c r="D16" s="100">
        <f>[2]SUM!J59</f>
        <v>1.8588175202885571</v>
      </c>
      <c r="E16" s="147">
        <f>[2]SUM!G16</f>
        <v>0.77710152449046244</v>
      </c>
      <c r="F16" s="147">
        <f>[2]SUM!G59</f>
        <v>7.6477096949208623E-2</v>
      </c>
      <c r="G16" s="100">
        <f>[2]SUM!K16</f>
        <v>1.5678258675974559</v>
      </c>
      <c r="H16" s="100">
        <f>[2]SUM!K59</f>
        <v>0.1175260838752079</v>
      </c>
      <c r="I16" s="278">
        <f>-[2]SUM!C16</f>
        <v>0.79072434310699347</v>
      </c>
      <c r="J16" s="147">
        <f>[2]SUM!C59</f>
        <v>8.9239195610806274E-2</v>
      </c>
      <c r="K16" s="24">
        <f t="shared" si="0"/>
        <v>-0.79072434310699347</v>
      </c>
      <c r="L16" s="100">
        <f>C16/Raw!$F16/Raw!$E16</f>
        <v>3.8583972384600886</v>
      </c>
      <c r="M16" s="100">
        <f>D16/Raw!$F16/Raw!$E16</f>
        <v>0.39376319069139293</v>
      </c>
      <c r="N16" s="100">
        <f>G16/Raw!$F16</f>
        <v>0.19530218741631783</v>
      </c>
      <c r="O16" s="100">
        <f>H16/Raw!$F16</f>
        <v>1.4640083273071126E-2</v>
      </c>
      <c r="P16" s="147">
        <f>[2]SUM!L16</f>
        <v>0.78294756801553733</v>
      </c>
      <c r="Q16" s="100">
        <f>[2]SUM!L59</f>
        <v>0.2517604293025909</v>
      </c>
      <c r="R16" s="100">
        <f>[2]SUM!R16</f>
        <v>32.100988520952441</v>
      </c>
      <c r="S16" s="100">
        <f t="shared" si="14"/>
        <v>32.100988520952441</v>
      </c>
      <c r="T16" s="100">
        <f>[2]SUM!S16</f>
        <v>-28.466076351851765</v>
      </c>
      <c r="U16" s="153">
        <f t="shared" si="1"/>
        <v>28.466076351851765</v>
      </c>
      <c r="V16" s="3">
        <f t="shared" si="2"/>
        <v>3.6349121691006765</v>
      </c>
      <c r="W16" s="4">
        <f t="shared" si="3"/>
        <v>1.1276927710082609</v>
      </c>
      <c r="X16" s="24"/>
      <c r="Y16" s="149"/>
      <c r="Z16" s="149"/>
      <c r="AA16" s="149"/>
      <c r="AB16" s="149"/>
      <c r="AC16" s="153">
        <f>VLOOKUP(Raw!$A16,'SP01'!$A$3:$Z$176,22,0)</f>
        <v>537.72142857142865</v>
      </c>
      <c r="AD16" s="24">
        <f>VLOOKUP(Raw!$A16,'SP01'!$A$3:$Z$176,23,0)</f>
        <v>48</v>
      </c>
      <c r="AE16" s="24">
        <f t="shared" si="4"/>
        <v>-48</v>
      </c>
      <c r="AF16" s="24">
        <f t="shared" si="5"/>
        <v>585.72142857142865</v>
      </c>
      <c r="AG16" s="25">
        <f t="shared" si="6"/>
        <v>-11.202529761904763</v>
      </c>
      <c r="AH16" s="173"/>
      <c r="AI16" s="174">
        <f t="shared" si="7"/>
        <v>505.62044005047619</v>
      </c>
      <c r="AJ16" s="174">
        <f t="shared" si="8"/>
        <v>-76.466076351851768</v>
      </c>
      <c r="AK16" s="174">
        <f t="shared" si="9"/>
        <v>76.466076351851768</v>
      </c>
      <c r="AL16" s="174">
        <f t="shared" si="10"/>
        <v>582.08651640232802</v>
      </c>
      <c r="AM16" s="219">
        <f t="shared" si="11"/>
        <v>-6.6123497395617532</v>
      </c>
      <c r="AO16" s="25">
        <f>1.4/Raw!D16</f>
        <v>0.7</v>
      </c>
      <c r="AP16" s="25">
        <f>(Raw!AO16+0.39)/2.16</f>
        <v>0.82770923110077954</v>
      </c>
      <c r="AQ16" s="199">
        <f>(Raw!E16/(AP16*1.5))*(1-EXP(-AP16*1.5))</f>
        <v>0.33678519274950802</v>
      </c>
      <c r="AR16" s="224">
        <f t="shared" si="12"/>
        <v>28.893201907592303</v>
      </c>
      <c r="AT16" s="24"/>
      <c r="AU16" s="24"/>
      <c r="AV16" s="24"/>
      <c r="AW16" s="24"/>
      <c r="AY16" s="4">
        <f t="shared" si="15"/>
        <v>1.0131960654114476</v>
      </c>
      <c r="AZ16" s="328">
        <f t="shared" si="13"/>
        <v>5.3389658600360858E-2</v>
      </c>
    </row>
    <row r="17" spans="1:52" ht="13.8">
      <c r="A17" s="92">
        <v>41479</v>
      </c>
      <c r="B17" s="2" t="s">
        <v>0</v>
      </c>
      <c r="C17" s="100">
        <f>[2]SUM!J17</f>
        <v>47.09119238603337</v>
      </c>
      <c r="D17" s="100">
        <f>[2]SUM!J60</f>
        <v>1.6201957849209749</v>
      </c>
      <c r="E17" s="147">
        <f>[2]SUM!G17</f>
        <v>4.5631404532839923</v>
      </c>
      <c r="F17" s="147">
        <f>[2]SUM!G60</f>
        <v>0.33393984454423187</v>
      </c>
      <c r="G17" s="100">
        <f>[2]SUM!K17</f>
        <v>5.4564447065872228</v>
      </c>
      <c r="H17" s="100">
        <f>[2]SUM!K60</f>
        <v>0.33629254072131737</v>
      </c>
      <c r="I17" s="279">
        <f>-[2]SUM!C17</f>
        <v>0.89330425330323038</v>
      </c>
      <c r="J17" s="147">
        <f>[2]SUM!C60</f>
        <v>3.9709610556805469E-2</v>
      </c>
      <c r="K17" s="24">
        <f t="shared" si="0"/>
        <v>-0.89330425330323038</v>
      </c>
      <c r="L17" s="100">
        <f>C17/Raw!$F17/Raw!$E17</f>
        <v>14.596371626682238</v>
      </c>
      <c r="M17" s="100">
        <f>D17/Raw!$F17/Raw!$E17</f>
        <v>0.50219539124910018</v>
      </c>
      <c r="N17" s="100">
        <f>G17/Raw!$F17</f>
        <v>0.60116370714181977</v>
      </c>
      <c r="O17" s="100">
        <f>H17/Raw!$F17</f>
        <v>3.7051025225290961E-2</v>
      </c>
      <c r="P17" s="147">
        <f>[2]SUM!L17</f>
        <v>4.4493509583883437</v>
      </c>
      <c r="Q17" s="100">
        <f>[2]SUM!L60</f>
        <v>0.41558709805892452</v>
      </c>
      <c r="R17" s="100">
        <f>[2]SUM!R17</f>
        <v>110.23887609264591</v>
      </c>
      <c r="S17" s="100">
        <f t="shared" si="14"/>
        <v>110.23887609264591</v>
      </c>
      <c r="T17" s="100">
        <f>[2]SUM!S17</f>
        <v>-32.158953118916294</v>
      </c>
      <c r="U17" s="153">
        <f t="shared" si="1"/>
        <v>32.158953118916294</v>
      </c>
      <c r="V17" s="24">
        <f t="shared" si="2"/>
        <v>78.079922973729623</v>
      </c>
      <c r="W17" s="25">
        <f t="shared" si="3"/>
        <v>3.427937336299733</v>
      </c>
      <c r="X17" s="24"/>
      <c r="Y17" s="150"/>
      <c r="Z17" s="150"/>
      <c r="AA17" s="150"/>
      <c r="AB17" s="150"/>
      <c r="AC17" s="153">
        <f>VLOOKUP(Raw!$A17,'SP01'!$A$3:$Z$176,22,0)</f>
        <v>318.89999999999998</v>
      </c>
      <c r="AD17" s="24">
        <f>VLOOKUP(Raw!$A17,'SP01'!$A$3:$Z$176,23,0)</f>
        <v>48</v>
      </c>
      <c r="AE17" s="24">
        <f t="shared" si="4"/>
        <v>-48</v>
      </c>
      <c r="AF17" s="24">
        <f t="shared" si="5"/>
        <v>366.9</v>
      </c>
      <c r="AG17" s="25">
        <f t="shared" si="6"/>
        <v>-6.6437499999999998</v>
      </c>
      <c r="AH17" s="173"/>
      <c r="AI17" s="174">
        <f t="shared" si="7"/>
        <v>208.66112390735407</v>
      </c>
      <c r="AJ17" s="174">
        <f t="shared" si="8"/>
        <v>-80.158953118916287</v>
      </c>
      <c r="AK17" s="174">
        <f t="shared" si="9"/>
        <v>80.158953118916287</v>
      </c>
      <c r="AL17" s="174">
        <f t="shared" si="10"/>
        <v>288.82007702627038</v>
      </c>
      <c r="AM17" s="219">
        <f t="shared" si="11"/>
        <v>-2.6030919290800125</v>
      </c>
      <c r="AO17" s="25">
        <f>1.4/Raw!D17</f>
        <v>0.7</v>
      </c>
      <c r="AP17" s="25">
        <f>(Raw!AO17+0.39)/2.16</f>
        <v>0.68802971415004344</v>
      </c>
      <c r="AQ17" s="199">
        <f>(Raw!E17/(AP17*1.5))*(1-EXP(-AP17*1.5))</f>
        <v>0.2217061891793419</v>
      </c>
      <c r="AR17" s="224">
        <f t="shared" si="12"/>
        <v>35.627778009514152</v>
      </c>
      <c r="AT17" s="24"/>
      <c r="AU17" s="24"/>
      <c r="AV17" s="24"/>
      <c r="AW17" s="24"/>
      <c r="AY17" s="4">
        <f t="shared" si="15"/>
        <v>1.0131960654114476</v>
      </c>
      <c r="AZ17" s="328">
        <f t="shared" si="13"/>
        <v>4.7258817552217197E-2</v>
      </c>
    </row>
    <row r="18" spans="1:52" ht="13.8">
      <c r="A18" s="92">
        <v>41486</v>
      </c>
      <c r="B18" s="2" t="s">
        <v>0</v>
      </c>
      <c r="C18" s="100">
        <f>[2]SUM!J18</f>
        <v>11.366758071821135</v>
      </c>
      <c r="D18" s="100">
        <f>[2]SUM!J61</f>
        <v>9.3099892420360781</v>
      </c>
      <c r="E18" s="147">
        <f>[2]SUM!G18</f>
        <v>2.5355616609064899</v>
      </c>
      <c r="F18" s="147">
        <f>[2]SUM!G61</f>
        <v>0.22709215379666869</v>
      </c>
      <c r="G18" s="100">
        <f>[2]SUM!K18</f>
        <v>3.5308119318781275</v>
      </c>
      <c r="H18" s="100">
        <f>[2]SUM!K61</f>
        <v>0.24648254198198929</v>
      </c>
      <c r="I18" s="278">
        <f>-[2]SUM!C18</f>
        <v>0.99525027097163765</v>
      </c>
      <c r="J18" s="147">
        <f>[2]SUM!C61</f>
        <v>9.5826912638847406E-2</v>
      </c>
      <c r="K18" s="24">
        <f t="shared" si="0"/>
        <v>-0.99525027097163765</v>
      </c>
      <c r="L18" s="100">
        <f>C18/Raw!$F18/Raw!$E18</f>
        <v>5.8122513476593261</v>
      </c>
      <c r="M18" s="100">
        <f>D18/Raw!$F18/Raw!$E18</f>
        <v>4.760548009978752</v>
      </c>
      <c r="N18" s="100">
        <f>G18/Raw!$F18</f>
        <v>0.55280388832435334</v>
      </c>
      <c r="O18" s="100">
        <f>H18/Raw!$F18</f>
        <v>3.8590701017382163E-2</v>
      </c>
      <c r="P18" s="147">
        <f>[2]SUM!L18</f>
        <v>5.6222443597244958</v>
      </c>
      <c r="Q18" s="100">
        <f>[2]SUM!L61</f>
        <v>0.39745228874374761</v>
      </c>
      <c r="R18" s="100">
        <f>[2]SUM!R18</f>
        <v>57.180242258255547</v>
      </c>
      <c r="S18" s="100">
        <f t="shared" si="14"/>
        <v>57.180242258255547</v>
      </c>
      <c r="T18" s="100">
        <f>[2]SUM!S18</f>
        <v>-35.829009754978955</v>
      </c>
      <c r="U18" s="153">
        <f t="shared" si="1"/>
        <v>35.829009754978955</v>
      </c>
      <c r="V18" s="3">
        <f t="shared" si="2"/>
        <v>21.351232503276592</v>
      </c>
      <c r="W18" s="4">
        <f t="shared" si="3"/>
        <v>1.5959202514747015</v>
      </c>
      <c r="X18" s="24"/>
      <c r="Y18" s="149"/>
      <c r="Z18" s="149"/>
      <c r="AA18" s="149"/>
      <c r="AB18" s="149"/>
      <c r="AC18" s="153">
        <f>VLOOKUP(Raw!$A18,'SP01'!$A$3:$Z$176,22,0)</f>
        <v>298.3518518518519</v>
      </c>
      <c r="AD18" s="24">
        <f>VLOOKUP(Raw!$A18,'SP01'!$A$3:$Z$176,23,0)</f>
        <v>48</v>
      </c>
      <c r="AE18" s="24">
        <f t="shared" si="4"/>
        <v>-48</v>
      </c>
      <c r="AF18" s="24">
        <f t="shared" si="5"/>
        <v>346.3518518518519</v>
      </c>
      <c r="AG18" s="25">
        <f t="shared" si="6"/>
        <v>-6.2156635802469147</v>
      </c>
      <c r="AH18" s="173"/>
      <c r="AI18" s="174">
        <f t="shared" si="7"/>
        <v>241.17160959359637</v>
      </c>
      <c r="AJ18" s="174">
        <f t="shared" si="8"/>
        <v>-83.829009754978955</v>
      </c>
      <c r="AK18" s="174">
        <f t="shared" si="9"/>
        <v>83.829009754978955</v>
      </c>
      <c r="AL18" s="174">
        <f t="shared" si="10"/>
        <v>325.00061934857536</v>
      </c>
      <c r="AM18" s="219">
        <f t="shared" si="11"/>
        <v>-2.8769468981979975</v>
      </c>
      <c r="AO18" s="25">
        <f>1.4/Raw!D18</f>
        <v>0.7</v>
      </c>
      <c r="AP18" s="25">
        <f>(Raw!AO18+0.39)/2.16</f>
        <v>0.86158619674991999</v>
      </c>
      <c r="AQ18" s="199">
        <f>(Raw!E18/(AP18*1.5))*(1-EXP(-AP18*1.5))</f>
        <v>0.17185665233189112</v>
      </c>
      <c r="AR18" s="224">
        <f t="shared" si="12"/>
        <v>27.461661120012693</v>
      </c>
      <c r="AT18" s="24"/>
      <c r="AU18" s="24"/>
      <c r="AV18" s="24"/>
      <c r="AW18" s="24"/>
      <c r="AY18" s="4">
        <f t="shared" si="15"/>
        <v>1.0131960654114476</v>
      </c>
      <c r="AZ18" s="328">
        <f t="shared" si="13"/>
        <v>4.2417976620355076E-2</v>
      </c>
    </row>
    <row r="19" spans="1:52" ht="13.8">
      <c r="A19" s="92">
        <v>41493</v>
      </c>
      <c r="B19" s="2" t="s">
        <v>0</v>
      </c>
      <c r="C19" s="100">
        <f>[2]SUM!J19</f>
        <v>22.518286159914013</v>
      </c>
      <c r="D19" s="100">
        <f>[2]SUM!J62</f>
        <v>10.330791708680744</v>
      </c>
      <c r="E19" s="147">
        <f>[2]SUM!G19</f>
        <v>1.403272585560577</v>
      </c>
      <c r="F19" s="147">
        <f>[2]SUM!G62</f>
        <v>0.10808111960867282</v>
      </c>
      <c r="G19" s="100">
        <f>[2]SUM!K19</f>
        <v>1.8903606510650401</v>
      </c>
      <c r="H19" s="100">
        <f>[2]SUM!K62</f>
        <v>0.64678384872860262</v>
      </c>
      <c r="I19" s="278">
        <f>-[2]SUM!C19</f>
        <v>0.48708806550446315</v>
      </c>
      <c r="J19" s="147">
        <f>[2]SUM!C62</f>
        <v>0.63768943739121131</v>
      </c>
      <c r="K19" s="24">
        <f t="shared" si="0"/>
        <v>-0.48708806550446315</v>
      </c>
      <c r="L19" s="100">
        <f>C19/Raw!$F19/Raw!$E19</f>
        <v>5.1633294273387884</v>
      </c>
      <c r="M19" s="100">
        <f>D19/Raw!$F19/Raw!$E19</f>
        <v>2.3687984271242843</v>
      </c>
      <c r="N19" s="100">
        <f>G19/Raw!$F19</f>
        <v>0.23751759843389267</v>
      </c>
      <c r="O19" s="100">
        <f>H19/Raw!$F19</f>
        <v>8.1266263328797064E-2</v>
      </c>
      <c r="P19" s="147">
        <f>[2]SUM!L19</f>
        <v>4.7520926754370665</v>
      </c>
      <c r="Q19" s="100">
        <f>[2]SUM!L62</f>
        <v>0.4062119489113632</v>
      </c>
      <c r="R19" s="100">
        <f>[2]SUM!R19</f>
        <v>37.246575193481505</v>
      </c>
      <c r="S19" s="100">
        <f t="shared" si="14"/>
        <v>37.246575193481505</v>
      </c>
      <c r="T19" s="100">
        <f>[2]SUM!S19</f>
        <v>-17.535170358160673</v>
      </c>
      <c r="U19" s="153">
        <f t="shared" si="1"/>
        <v>17.535170358160673</v>
      </c>
      <c r="V19" s="3">
        <f t="shared" si="2"/>
        <v>19.711404835320831</v>
      </c>
      <c r="W19" s="4">
        <f t="shared" si="3"/>
        <v>2.1241068340204268</v>
      </c>
      <c r="X19" s="24"/>
      <c r="Y19" s="149"/>
      <c r="Z19" s="149"/>
      <c r="AA19" s="149"/>
      <c r="AB19" s="149"/>
      <c r="AC19" s="153">
        <f>VLOOKUP(Raw!$A19,'SP01'!$A$3:$Z$176,22,0)</f>
        <v>530.82307692307688</v>
      </c>
      <c r="AD19" s="24">
        <f>VLOOKUP(Raw!$A19,'SP01'!$A$3:$Z$176,23,0)</f>
        <v>48</v>
      </c>
      <c r="AE19" s="24">
        <f t="shared" si="4"/>
        <v>-48</v>
      </c>
      <c r="AF19" s="24">
        <f t="shared" si="5"/>
        <v>578.82307692307688</v>
      </c>
      <c r="AG19" s="25">
        <f t="shared" si="6"/>
        <v>-11.058814102564101</v>
      </c>
      <c r="AH19" s="173"/>
      <c r="AI19" s="174">
        <f t="shared" si="7"/>
        <v>493.57650172959541</v>
      </c>
      <c r="AJ19" s="174">
        <f t="shared" si="8"/>
        <v>-65.53517035816067</v>
      </c>
      <c r="AK19" s="174">
        <f t="shared" si="9"/>
        <v>65.53517035816067</v>
      </c>
      <c r="AL19" s="174">
        <f t="shared" si="10"/>
        <v>559.11167208775612</v>
      </c>
      <c r="AM19" s="219">
        <f t="shared" si="11"/>
        <v>-7.531475069525527</v>
      </c>
      <c r="AO19" s="25">
        <f>1.4/Raw!D19</f>
        <v>0.7</v>
      </c>
      <c r="AP19" s="25">
        <f>(Raw!AO19+0.39)/2.16</f>
        <v>1.0025506916845539</v>
      </c>
      <c r="AQ19" s="199">
        <f>(Raw!E19/(AP19*1.5))*(1-EXP(-AP19*1.5))</f>
        <v>0.2833892422178842</v>
      </c>
      <c r="AR19" s="224">
        <f t="shared" si="12"/>
        <v>22.227808685396141</v>
      </c>
      <c r="AT19" s="24"/>
      <c r="AU19" s="24"/>
      <c r="AV19" s="24"/>
      <c r="AW19" s="24"/>
      <c r="AY19" s="4">
        <f t="shared" si="15"/>
        <v>1.0131960654114476</v>
      </c>
      <c r="AZ19" s="328">
        <f t="shared" si="13"/>
        <v>8.667119093085264E-2</v>
      </c>
    </row>
    <row r="20" spans="1:52" ht="13.8">
      <c r="A20" s="92">
        <v>41500</v>
      </c>
      <c r="B20" s="2" t="s">
        <v>0</v>
      </c>
      <c r="C20" s="100">
        <f>[2]SUM!J20</f>
        <v>32.37160248121333</v>
      </c>
      <c r="D20" s="100">
        <f>[2]SUM!J63</f>
        <v>15.004547943381692</v>
      </c>
      <c r="E20" s="147">
        <f>[2]SUM!G20</f>
        <v>2.6256637727933128</v>
      </c>
      <c r="F20" s="147">
        <f>[2]SUM!G63</f>
        <v>0.15694658013597701</v>
      </c>
      <c r="G20" s="100">
        <f>[2]SUM!K20</f>
        <v>3.7975730229610565</v>
      </c>
      <c r="H20" s="100">
        <f>[2]SUM!K63</f>
        <v>0.33958968801565398</v>
      </c>
      <c r="I20" s="278">
        <f>-[2]SUM!C20</f>
        <v>1.1719092501677437</v>
      </c>
      <c r="J20" s="147">
        <f>[2]SUM!C63</f>
        <v>0.30114602303565385</v>
      </c>
      <c r="K20" s="24">
        <f t="shared" si="0"/>
        <v>-1.1719092501677437</v>
      </c>
      <c r="L20" s="100">
        <f>C20/Raw!$F20/Raw!$E20</f>
        <v>8.4944090495184064</v>
      </c>
      <c r="M20" s="100">
        <f>D20/Raw!$F20/Raw!$E20</f>
        <v>3.937239990147595</v>
      </c>
      <c r="N20" s="100">
        <f>G20/Raw!$F20</f>
        <v>0.39690353500847164</v>
      </c>
      <c r="O20" s="100">
        <f>H20/Raw!$F20</f>
        <v>3.5492233279228048E-2</v>
      </c>
      <c r="P20" s="147">
        <f>[2]SUM!L20</f>
        <v>6.5895881777084711</v>
      </c>
      <c r="Q20" s="100">
        <f>[2]SUM!L63</f>
        <v>0.63538621019463326</v>
      </c>
      <c r="R20" s="100">
        <f>[2]SUM!R20</f>
        <v>71.733855873394333</v>
      </c>
      <c r="S20" s="100">
        <f t="shared" si="14"/>
        <v>71.733855873394333</v>
      </c>
      <c r="T20" s="100">
        <f>[2]SUM!S20</f>
        <v>-42.188733006038774</v>
      </c>
      <c r="U20" s="153">
        <f t="shared" si="1"/>
        <v>42.188733006038774</v>
      </c>
      <c r="V20" s="3">
        <f t="shared" si="2"/>
        <v>29.545122867355559</v>
      </c>
      <c r="W20" s="4">
        <f t="shared" si="3"/>
        <v>1.7003083705577637</v>
      </c>
      <c r="X20" s="24"/>
      <c r="Y20" s="149"/>
      <c r="Z20" s="149"/>
      <c r="AA20" s="149"/>
      <c r="AB20" s="149"/>
      <c r="AC20" s="153">
        <f>VLOOKUP(Raw!$A20,'SP01'!$A$3:$Z$176,22,0)</f>
        <v>381.45</v>
      </c>
      <c r="AD20" s="24">
        <f>VLOOKUP(Raw!$A20,'SP01'!$A$3:$Z$176,23,0)</f>
        <v>48</v>
      </c>
      <c r="AE20" s="24">
        <f t="shared" si="4"/>
        <v>-48</v>
      </c>
      <c r="AF20" s="24">
        <f t="shared" si="5"/>
        <v>429.45</v>
      </c>
      <c r="AG20" s="25">
        <f t="shared" si="6"/>
        <v>-7.9468749999999995</v>
      </c>
      <c r="AH20" s="173"/>
      <c r="AI20" s="174">
        <f t="shared" si="7"/>
        <v>309.71614412660563</v>
      </c>
      <c r="AJ20" s="174">
        <f t="shared" si="8"/>
        <v>-90.188733006038774</v>
      </c>
      <c r="AK20" s="174">
        <f t="shared" si="9"/>
        <v>90.188733006038774</v>
      </c>
      <c r="AL20" s="174">
        <f t="shared" si="10"/>
        <v>399.9048771326444</v>
      </c>
      <c r="AM20" s="219">
        <f t="shared" si="11"/>
        <v>-3.4340890907722135</v>
      </c>
      <c r="AO20" s="25">
        <f>1.4/Raw!D20</f>
        <v>0.93333333333333324</v>
      </c>
      <c r="AP20" s="25">
        <f>(Raw!AO20+0.39)/2.16</f>
        <v>1.0388006069149602</v>
      </c>
      <c r="AQ20" s="199">
        <f>(Raw!E20/(AP20*1.5))*(1-EXP(-AP20*1.5))</f>
        <v>0.20180437850835786</v>
      </c>
      <c r="AR20" s="224">
        <f t="shared" si="12"/>
        <v>21.051446510705109</v>
      </c>
      <c r="AT20" s="24"/>
      <c r="AU20" s="24"/>
      <c r="AV20" s="24"/>
      <c r="AW20" s="24"/>
      <c r="AY20" s="4">
        <f t="shared" si="15"/>
        <v>1.0344567632233959</v>
      </c>
      <c r="AZ20" s="328">
        <f t="shared" si="13"/>
        <v>3.6779609963944401E-2</v>
      </c>
    </row>
    <row r="21" spans="1:52" ht="13.8">
      <c r="A21" s="92">
        <v>41507</v>
      </c>
      <c r="B21" s="2" t="s">
        <v>0</v>
      </c>
      <c r="C21" s="100">
        <f>[2]SUM!J21</f>
        <v>19.587484939919758</v>
      </c>
      <c r="D21" s="100">
        <f>[2]SUM!J64</f>
        <v>5.6562709197732177</v>
      </c>
      <c r="E21" s="147">
        <f>[2]SUM!G21</f>
        <v>1.2773908914487588</v>
      </c>
      <c r="F21" s="147">
        <f>[2]SUM!G64</f>
        <v>2.7030995948285622E-2</v>
      </c>
      <c r="G21" s="100">
        <f>[2]SUM!K21</f>
        <v>2.0872628829842474</v>
      </c>
      <c r="H21" s="100">
        <f>[2]SUM!K64</f>
        <v>9.947530154270777E-2</v>
      </c>
      <c r="I21" s="278">
        <f>-[2]SUM!C21</f>
        <v>0.80987199153548883</v>
      </c>
      <c r="J21" s="147">
        <f>[2]SUM!C64</f>
        <v>9.5732235297502619E-2</v>
      </c>
      <c r="K21" s="24">
        <f t="shared" si="0"/>
        <v>-0.80987199153548883</v>
      </c>
      <c r="L21" s="100">
        <f>C21/Raw!$F21/Raw!$E21</f>
        <v>3.2892239710369964</v>
      </c>
      <c r="M21" s="100">
        <f>D21/Raw!$F21/Raw!$E21</f>
        <v>0.94982801278793283</v>
      </c>
      <c r="N21" s="100">
        <f>G21/Raw!$F21</f>
        <v>0.18260526960059176</v>
      </c>
      <c r="O21" s="100">
        <f>H21/Raw!$F21</f>
        <v>8.7026480492171914E-3</v>
      </c>
      <c r="P21" s="147">
        <f>[2]SUM!L21</f>
        <v>3.0777392882390391</v>
      </c>
      <c r="Q21" s="100">
        <f>[2]SUM!L64</f>
        <v>0.40483080326101373</v>
      </c>
      <c r="R21" s="100">
        <f>[2]SUM!R21</f>
        <v>39.815806972800878</v>
      </c>
      <c r="S21" s="100">
        <f t="shared" si="14"/>
        <v>39.815806972800878</v>
      </c>
      <c r="T21" s="100">
        <f>[2]SUM!S21</f>
        <v>-29.155391695277601</v>
      </c>
      <c r="U21" s="153">
        <f t="shared" si="1"/>
        <v>29.155391695277601</v>
      </c>
      <c r="V21" s="3">
        <f t="shared" si="2"/>
        <v>10.660415277523278</v>
      </c>
      <c r="W21" s="4">
        <f t="shared" si="3"/>
        <v>1.3656412984926551</v>
      </c>
      <c r="X21" s="24"/>
      <c r="Y21" s="149"/>
      <c r="Z21" s="149"/>
      <c r="AA21" s="149"/>
      <c r="AB21" s="149"/>
      <c r="AC21" s="153">
        <f>VLOOKUP(Raw!$A21,'SP01'!$A$3:$Z$176,22,0)</f>
        <v>505.32115384615378</v>
      </c>
      <c r="AD21" s="24">
        <f>VLOOKUP(Raw!$A21,'SP01'!$A$3:$Z$176,23,0)</f>
        <v>48</v>
      </c>
      <c r="AE21" s="24">
        <f t="shared" si="4"/>
        <v>-48</v>
      </c>
      <c r="AF21" s="24">
        <f t="shared" si="5"/>
        <v>553.32115384615372</v>
      </c>
      <c r="AG21" s="25">
        <f t="shared" si="6"/>
        <v>-10.527524038461538</v>
      </c>
      <c r="AH21" s="173"/>
      <c r="AI21" s="174">
        <f t="shared" si="7"/>
        <v>465.50534687335289</v>
      </c>
      <c r="AJ21" s="174">
        <f t="shared" si="8"/>
        <v>-77.155391695277601</v>
      </c>
      <c r="AK21" s="174">
        <f t="shared" si="9"/>
        <v>77.155391695277601</v>
      </c>
      <c r="AL21" s="174">
        <f t="shared" si="10"/>
        <v>542.66073856863045</v>
      </c>
      <c r="AM21" s="219">
        <f t="shared" si="11"/>
        <v>-6.0333482423606792</v>
      </c>
      <c r="AO21" s="25">
        <f>1.4/Raw!D21</f>
        <v>1.1199999999999999</v>
      </c>
      <c r="AP21" s="25">
        <f>(Raw!AO21+0.39)/2.16</f>
        <v>0.87953598118105936</v>
      </c>
      <c r="AQ21" s="199">
        <f>(Raw!E21/(AP21*1.5))*(1-EXP(-AP21*1.5))</f>
        <v>0.28932774414135443</v>
      </c>
      <c r="AR21" s="224">
        <f t="shared" si="12"/>
        <v>26.732130039939477</v>
      </c>
      <c r="AT21" s="24"/>
      <c r="AU21" s="24"/>
      <c r="AV21" s="24"/>
      <c r="AW21" s="24"/>
      <c r="AY21" s="4">
        <f t="shared" si="15"/>
        <v>1.0517860886024712</v>
      </c>
      <c r="AZ21" s="328">
        <f t="shared" si="13"/>
        <v>5.4112774384686084E-2</v>
      </c>
    </row>
    <row r="22" spans="1:52" ht="13.8">
      <c r="A22" s="92">
        <v>41521</v>
      </c>
      <c r="B22" s="2" t="s">
        <v>0</v>
      </c>
      <c r="C22" s="100">
        <f>[2]SUM!J22</f>
        <v>45.991731452910045</v>
      </c>
      <c r="D22" s="100">
        <f>[2]SUM!J65</f>
        <v>5.7505115427456834</v>
      </c>
      <c r="E22" s="147">
        <f>[2]SUM!G22</f>
        <v>3.7781669563948128</v>
      </c>
      <c r="F22" s="147">
        <f>[2]SUM!G65</f>
        <v>0.40017168018299204</v>
      </c>
      <c r="G22" s="100">
        <f>[2]SUM!K22</f>
        <v>3.826202579774074</v>
      </c>
      <c r="H22" s="100">
        <f>[2]SUM!K65</f>
        <v>0.42101765851552475</v>
      </c>
      <c r="I22" s="278">
        <f>-[2]SUM!C22</f>
        <v>4.8035623379261302E-2</v>
      </c>
      <c r="J22" s="147">
        <f>[2]SUM!C65</f>
        <v>0.13083766721176335</v>
      </c>
      <c r="K22" s="24">
        <f t="shared" si="0"/>
        <v>-4.8035623379261302E-2</v>
      </c>
      <c r="L22" s="100">
        <f>C22/Raw!$F22/Raw!$E22</f>
        <v>10.11824907783771</v>
      </c>
      <c r="M22" s="100">
        <f>D22/Raw!$F22/Raw!$E22</f>
        <v>1.2651210614685406</v>
      </c>
      <c r="N22" s="100">
        <f>G22/Raw!$F22</f>
        <v>0.46132174822450855</v>
      </c>
      <c r="O22" s="100">
        <f>H22/Raw!$F22</f>
        <v>5.0761714313422322E-2</v>
      </c>
      <c r="P22" s="147">
        <f>[2]SUM!L22</f>
        <v>1.5563863110157001</v>
      </c>
      <c r="Q22" s="100">
        <f>[2]SUM!L65</f>
        <v>0.50316822388906635</v>
      </c>
      <c r="R22" s="100">
        <f>[2]SUM!R22</f>
        <v>71.797053293355802</v>
      </c>
      <c r="S22" s="100">
        <f t="shared" si="14"/>
        <v>71.797053293355802</v>
      </c>
      <c r="T22" s="100">
        <f>[2]SUM!S22</f>
        <v>-1.7292824416534067</v>
      </c>
      <c r="U22" s="153">
        <f t="shared" si="1"/>
        <v>1.7292824416534067</v>
      </c>
      <c r="V22" s="3">
        <f t="shared" si="2"/>
        <v>70.067770851702392</v>
      </c>
      <c r="W22" s="4">
        <f t="shared" si="3"/>
        <v>41.518407614610943</v>
      </c>
      <c r="X22" s="24"/>
      <c r="Y22" s="149"/>
      <c r="Z22" s="149"/>
      <c r="AA22" s="149"/>
      <c r="AB22" s="149"/>
      <c r="AC22" s="153">
        <f>VLOOKUP(Raw!$A22,'SP01'!$A$3:$Z$176,22,0)</f>
        <v>509.60200000000003</v>
      </c>
      <c r="AD22" s="24">
        <f>VLOOKUP(Raw!$A22,'SP01'!$A$3:$Z$176,23,0)</f>
        <v>48</v>
      </c>
      <c r="AE22" s="24">
        <f t="shared" si="4"/>
        <v>-48</v>
      </c>
      <c r="AF22" s="24">
        <f t="shared" si="5"/>
        <v>557.60200000000009</v>
      </c>
      <c r="AG22" s="25">
        <f t="shared" si="6"/>
        <v>-10.616708333333333</v>
      </c>
      <c r="AH22" s="173"/>
      <c r="AI22" s="174">
        <f t="shared" si="7"/>
        <v>437.80494670664422</v>
      </c>
      <c r="AJ22" s="174">
        <f t="shared" si="8"/>
        <v>-49.72928244165341</v>
      </c>
      <c r="AK22" s="174">
        <f t="shared" si="9"/>
        <v>49.72928244165341</v>
      </c>
      <c r="AL22" s="174">
        <f t="shared" si="10"/>
        <v>487.53422914829764</v>
      </c>
      <c r="AM22" s="219">
        <f t="shared" si="11"/>
        <v>-8.8037656127516808</v>
      </c>
      <c r="AO22" s="25">
        <f>1.4/Raw!D22</f>
        <v>0.79999999999999993</v>
      </c>
      <c r="AP22" s="25">
        <f>(Raw!AO22+0.39)/2.16</f>
        <v>0.72289560971969269</v>
      </c>
      <c r="AQ22" s="199">
        <f>(Raw!E22/(AP22*1.5))*(1-EXP(-AP22*1.5))</f>
        <v>0.3345186486070203</v>
      </c>
      <c r="AR22" s="224">
        <f t="shared" si="12"/>
        <v>33.812372013229854</v>
      </c>
      <c r="AT22" s="24"/>
      <c r="AU22" s="24"/>
      <c r="AV22" s="24"/>
      <c r="AW22" s="24"/>
      <c r="AY22" s="4">
        <f t="shared" si="15"/>
        <v>1.0222537573344308</v>
      </c>
      <c r="AZ22" s="328">
        <f t="shared" si="13"/>
        <v>0.88671497441189862</v>
      </c>
    </row>
    <row r="23" spans="1:52" ht="13.8">
      <c r="A23" s="92">
        <v>41528</v>
      </c>
      <c r="B23" s="2" t="s">
        <v>0</v>
      </c>
      <c r="C23" s="100">
        <f>[2]SUM!J23</f>
        <v>72.227435838864267</v>
      </c>
      <c r="D23" s="100">
        <f>[2]SUM!J66</f>
        <v>15.165155507536552</v>
      </c>
      <c r="E23" s="147">
        <f>[2]SUM!G23</f>
        <v>4.7428051774394815</v>
      </c>
      <c r="F23" s="147">
        <f>[2]SUM!G66</f>
        <v>0.1386775332197131</v>
      </c>
      <c r="G23" s="100">
        <f>[2]SUM!K23</f>
        <v>5.9817241079557757</v>
      </c>
      <c r="H23" s="100">
        <f>[2]SUM!K66</f>
        <v>0.70909812515132553</v>
      </c>
      <c r="I23" s="278">
        <f>-[2]SUM!C23</f>
        <v>1.2389189305162938</v>
      </c>
      <c r="J23" s="147">
        <f>[2]SUM!C66</f>
        <v>0.69540541619491314</v>
      </c>
      <c r="K23" s="24">
        <f t="shared" si="0"/>
        <v>-1.2389189305162938</v>
      </c>
      <c r="L23" s="100">
        <f>C23/Raw!$F23/Raw!$E23</f>
        <v>8.2647101545908939</v>
      </c>
      <c r="M23" s="100">
        <f>D23/Raw!$F23/Raw!$E23</f>
        <v>1.7352909356868866</v>
      </c>
      <c r="N23" s="100">
        <f>G23/Raw!$F23</f>
        <v>0.41725196065539732</v>
      </c>
      <c r="O23" s="100">
        <f>H23/Raw!$F23</f>
        <v>4.9462759845935102E-2</v>
      </c>
      <c r="P23" s="147">
        <f>[2]SUM!L23</f>
        <v>4.8541813246388221</v>
      </c>
      <c r="Q23" s="100">
        <f>[2]SUM!L66</f>
        <v>0.93905143447947959</v>
      </c>
      <c r="R23" s="100">
        <f>[2]SUM!R23</f>
        <v>110.542645890279</v>
      </c>
      <c r="S23" s="100">
        <f t="shared" si="14"/>
        <v>110.542645890279</v>
      </c>
      <c r="T23" s="100">
        <f>[2]SUM!S23</f>
        <v>-44.601081498586574</v>
      </c>
      <c r="U23" s="153">
        <f t="shared" si="1"/>
        <v>44.601081498586574</v>
      </c>
      <c r="V23" s="3">
        <f t="shared" si="2"/>
        <v>65.941564391692424</v>
      </c>
      <c r="W23" s="4">
        <f t="shared" si="3"/>
        <v>2.478474561066017</v>
      </c>
      <c r="X23" s="24"/>
      <c r="Y23" s="149"/>
      <c r="Z23" s="149"/>
      <c r="AA23" s="149"/>
      <c r="AB23" s="149"/>
      <c r="AC23" s="153">
        <f>VLOOKUP(Raw!$A23,'SP01'!$A$3:$Z$176,22,0)</f>
        <v>541.01199999999994</v>
      </c>
      <c r="AD23" s="24">
        <f>VLOOKUP(Raw!$A23,'SP01'!$A$3:$Z$176,23,0)</f>
        <v>48</v>
      </c>
      <c r="AE23" s="24">
        <f t="shared" si="4"/>
        <v>-48</v>
      </c>
      <c r="AF23" s="24">
        <f t="shared" si="5"/>
        <v>589.01199999999994</v>
      </c>
      <c r="AG23" s="25">
        <f t="shared" si="6"/>
        <v>-11.271083333333332</v>
      </c>
      <c r="AH23" s="173"/>
      <c r="AI23" s="174">
        <f t="shared" si="7"/>
        <v>430.46935410972094</v>
      </c>
      <c r="AJ23" s="174">
        <f t="shared" si="8"/>
        <v>-92.601081498586581</v>
      </c>
      <c r="AK23" s="174">
        <f t="shared" si="9"/>
        <v>92.601081498586581</v>
      </c>
      <c r="AL23" s="174">
        <f t="shared" si="10"/>
        <v>523.07043560830755</v>
      </c>
      <c r="AM23" s="219">
        <f t="shared" si="11"/>
        <v>-4.6486428359510183</v>
      </c>
      <c r="AO23" s="25">
        <f>1.4/Raw!D23</f>
        <v>0.50909090909090904</v>
      </c>
      <c r="AP23" s="25">
        <f>(Raw!AO23+0.39)/2.16</f>
        <v>0.68321409258131527</v>
      </c>
      <c r="AQ23" s="199">
        <f>(Raw!E23/(AP23*1.5))*(1-EXP(-AP23*1.5))</f>
        <v>0.38137387352585556</v>
      </c>
      <c r="AR23" s="224">
        <f t="shared" si="12"/>
        <v>35.886064588601165</v>
      </c>
      <c r="AT23" s="24"/>
      <c r="AU23" s="24"/>
      <c r="AV23" s="24"/>
      <c r="AW23" s="24"/>
      <c r="AY23" s="4">
        <f t="shared" si="15"/>
        <v>0.99612636865930182</v>
      </c>
      <c r="AZ23" s="328">
        <f t="shared" si="13"/>
        <v>3.3501195549177527E-2</v>
      </c>
    </row>
    <row r="24" spans="1:52" ht="13.8">
      <c r="A24" s="92">
        <v>41542</v>
      </c>
      <c r="B24" s="2" t="s">
        <v>0</v>
      </c>
      <c r="C24" s="100">
        <f>[2]SUM!J24</f>
        <v>30.565723900271824</v>
      </c>
      <c r="D24" s="100">
        <f>[2]SUM!J67</f>
        <v>7.7204882334206495</v>
      </c>
      <c r="E24" s="147">
        <f>[2]SUM!G24</f>
        <v>2.5400985074682065</v>
      </c>
      <c r="F24" s="147">
        <f>[2]SUM!G67</f>
        <v>0.45866229948009174</v>
      </c>
      <c r="G24" s="100">
        <f>[2]SUM!K24</f>
        <v>2.7569033813046957</v>
      </c>
      <c r="H24" s="100">
        <f>[2]SUM!K67</f>
        <v>0.50014160113493578</v>
      </c>
      <c r="I24" s="278">
        <f>-[2]SUM!C24</f>
        <v>0.21680487383648925</v>
      </c>
      <c r="J24" s="147">
        <f>[2]SUM!C67</f>
        <v>0.1994254653284073</v>
      </c>
      <c r="K24" s="24">
        <f t="shared" si="0"/>
        <v>-0.21680487383648925</v>
      </c>
      <c r="L24" s="100">
        <f>C24/Raw!$F24/Raw!$E24</f>
        <v>11.197489007788231</v>
      </c>
      <c r="M24" s="100">
        <f>D24/Raw!$F24/Raw!$E24</f>
        <v>2.8283341958643184</v>
      </c>
      <c r="N24" s="100">
        <f>G24/Raw!$F24</f>
        <v>0.51829610803158954</v>
      </c>
      <c r="O24" s="100">
        <f>H24/Raw!$F24</f>
        <v>9.4026307592342651E-2</v>
      </c>
      <c r="P24" s="147">
        <f>[2]SUM!L24</f>
        <v>2.1051977588597603</v>
      </c>
      <c r="Q24" s="100">
        <f>[2]SUM!L67</f>
        <v>0.68275090001566285</v>
      </c>
      <c r="R24" s="100">
        <f>[2]SUM!R24</f>
        <v>49.266298599069685</v>
      </c>
      <c r="S24" s="100">
        <f t="shared" si="14"/>
        <v>49.266298599069685</v>
      </c>
      <c r="T24" s="100">
        <f>[2]SUM!S24</f>
        <v>-7.8049754581136126</v>
      </c>
      <c r="U24" s="153">
        <f t="shared" si="1"/>
        <v>7.8049754581136126</v>
      </c>
      <c r="V24" s="3">
        <f t="shared" si="2"/>
        <v>41.461323140956075</v>
      </c>
      <c r="W24" s="4">
        <f t="shared" si="3"/>
        <v>6.3121657285744845</v>
      </c>
      <c r="X24" s="24"/>
      <c r="Y24" s="149"/>
      <c r="Z24" s="149"/>
      <c r="AA24" s="149"/>
      <c r="AB24" s="149"/>
      <c r="AC24" s="153">
        <f>VLOOKUP(Raw!$A24,'SP01'!$A$3:$Z$176,22,0)</f>
        <v>494.86041666666671</v>
      </c>
      <c r="AD24" s="24">
        <f>VLOOKUP(Raw!$A24,'SP01'!$A$3:$Z$176,23,0)</f>
        <v>49</v>
      </c>
      <c r="AE24" s="24">
        <f t="shared" si="4"/>
        <v>-49</v>
      </c>
      <c r="AF24" s="24">
        <f t="shared" si="5"/>
        <v>543.86041666666665</v>
      </c>
      <c r="AG24" s="25">
        <f t="shared" si="6"/>
        <v>-10.09919217687075</v>
      </c>
      <c r="AH24" s="173"/>
      <c r="AI24" s="174">
        <f t="shared" si="7"/>
        <v>445.59411806759704</v>
      </c>
      <c r="AJ24" s="174">
        <f t="shared" si="8"/>
        <v>-56.80497545811361</v>
      </c>
      <c r="AK24" s="174">
        <f t="shared" si="9"/>
        <v>56.80497545811361</v>
      </c>
      <c r="AL24" s="174">
        <f t="shared" si="10"/>
        <v>502.39909352571067</v>
      </c>
      <c r="AM24" s="219">
        <f t="shared" si="11"/>
        <v>-7.8442797391254153</v>
      </c>
      <c r="AO24" s="25">
        <f>1.4/Raw!D24</f>
        <v>0.55999999999999994</v>
      </c>
      <c r="AP24" s="25">
        <f>(Raw!AO24+0.39)/2.16</f>
        <v>0.47713839438758471</v>
      </c>
      <c r="AQ24" s="199">
        <f>(Raw!E24/(AP24*1.5))*(1-EXP(-AP24*1.5))</f>
        <v>0.36651057455564473</v>
      </c>
      <c r="AR24" s="224">
        <f t="shared" si="12"/>
        <v>48.884608601325141</v>
      </c>
      <c r="AT24" s="24"/>
      <c r="AU24" s="24"/>
      <c r="AV24" s="24"/>
      <c r="AW24" s="24"/>
      <c r="AY24" s="4">
        <f t="shared" si="15"/>
        <v>1.0006499669462607</v>
      </c>
      <c r="AZ24" s="328">
        <f t="shared" si="13"/>
        <v>0.19231001538372064</v>
      </c>
    </row>
    <row r="25" spans="1:52">
      <c r="A25" s="280">
        <v>41381</v>
      </c>
      <c r="B25" s="145" t="s">
        <v>1</v>
      </c>
      <c r="C25" s="281">
        <f>[2]SUM!J25</f>
        <v>6.1197738340607124</v>
      </c>
      <c r="D25" s="281">
        <f>[2]SUM!J68</f>
        <v>0.81654910010477866</v>
      </c>
      <c r="E25" s="282">
        <f>[2]SUM!G25</f>
        <v>1.2552631704646822</v>
      </c>
      <c r="F25" s="282">
        <f>[2]SUM!G68</f>
        <v>0.1866379182799065</v>
      </c>
      <c r="G25" s="281">
        <f>[2]SUM!K25</f>
        <v>1.5226009380175571</v>
      </c>
      <c r="H25" s="281">
        <f>[2]SUM!K68</f>
        <v>0.20803852286796401</v>
      </c>
      <c r="I25" s="283">
        <f>-[2]SUM!C25</f>
        <v>0.26733776755287486</v>
      </c>
      <c r="J25" s="282">
        <f>[2]SUM!C68</f>
        <v>9.1903832657987239E-2</v>
      </c>
      <c r="K25" s="284">
        <f t="shared" si="0"/>
        <v>-0.26733776755287486</v>
      </c>
      <c r="L25" s="281">
        <f>C25/Raw!$F25/Raw!$E25</f>
        <v>5.912323045208848</v>
      </c>
      <c r="M25" s="281">
        <f>D25/Raw!$F25/Raw!$E25</f>
        <v>0.78886935906431321</v>
      </c>
      <c r="N25" s="281">
        <f>G25/Raw!$F25</f>
        <v>0.69335197541783111</v>
      </c>
      <c r="O25" s="281">
        <f>H25/Raw!$F25</f>
        <v>9.4735210777761383E-2</v>
      </c>
      <c r="P25" s="286">
        <f>[2]SUM!L25</f>
        <v>0.88110852810648588</v>
      </c>
      <c r="Q25" s="287">
        <f>[2]SUM!L68</f>
        <v>0.25515430959829555</v>
      </c>
      <c r="R25" s="287">
        <f>[2]SUM!R25</f>
        <v>84.746099073330939</v>
      </c>
      <c r="S25" s="287">
        <f t="shared" si="14"/>
        <v>84.746099073330939</v>
      </c>
      <c r="T25" s="287">
        <f>[2]SUM!S25</f>
        <v>-37.855027885487083</v>
      </c>
      <c r="U25" s="10">
        <f>-T25</f>
        <v>37.855027885487083</v>
      </c>
      <c r="V25" s="10">
        <f>S25+T25</f>
        <v>46.891071187843856</v>
      </c>
      <c r="W25" s="12">
        <f>S25/U25</f>
        <v>2.2387012718545911</v>
      </c>
      <c r="X25" s="151"/>
      <c r="Y25" s="151"/>
      <c r="Z25" s="151"/>
      <c r="AA25" s="151"/>
      <c r="AB25" s="151"/>
      <c r="AC25" s="146">
        <f>VLOOKUP(Raw!$A25,'SP02'!$A$3:$Z$176,22,0)</f>
        <v>384.34423076923082</v>
      </c>
      <c r="AD25" s="146">
        <f>VLOOKUP(Raw!$A25,'SP02'!$A$3:$Z$176,23,0)</f>
        <v>48</v>
      </c>
      <c r="AE25" s="146">
        <f t="shared" si="4"/>
        <v>-48</v>
      </c>
      <c r="AF25" s="146">
        <f t="shared" si="5"/>
        <v>432.34423076923082</v>
      </c>
      <c r="AG25" s="221">
        <f t="shared" si="6"/>
        <v>-8.0071714743589748</v>
      </c>
      <c r="AH25" s="146"/>
      <c r="AI25" s="216">
        <f t="shared" si="7"/>
        <v>299.59813169589989</v>
      </c>
      <c r="AJ25" s="216">
        <f t="shared" si="8"/>
        <v>-85.85502788548709</v>
      </c>
      <c r="AK25" s="216">
        <f t="shared" si="9"/>
        <v>85.85502788548709</v>
      </c>
      <c r="AL25" s="216">
        <f t="shared" si="10"/>
        <v>385.45315958138701</v>
      </c>
      <c r="AM25" s="220">
        <f t="shared" si="11"/>
        <v>-3.4895816712738368</v>
      </c>
      <c r="AO25" s="12">
        <f>1.4/Raw!D25</f>
        <v>0.43749999999999994</v>
      </c>
      <c r="AP25" s="25">
        <f>(Raw!AO25+0.39)/2.16</f>
        <v>0.35080396168044459</v>
      </c>
      <c r="AQ25" s="252">
        <f>Raw!E25/(AP25*5.9)*(1-EXP(-AP25*5.9))</f>
        <v>0.19899006339100295</v>
      </c>
      <c r="AR25" s="253">
        <f t="shared" ref="AR25:AR44" si="16">EXP(-AP25*5.9)*100</f>
        <v>12.62181684236886</v>
      </c>
      <c r="AT25" s="189">
        <f t="shared" ref="AT25:AT44" si="17">0.801*AR25</f>
        <v>10.110075290737457</v>
      </c>
      <c r="AU25" s="189">
        <v>-11.3</v>
      </c>
      <c r="AV25" s="189">
        <f t="shared" ref="AV25:AV44" si="18">-AU25</f>
        <v>11.3</v>
      </c>
      <c r="AW25" s="189">
        <f t="shared" ref="AW25:AW44" si="19">AT25+AU25</f>
        <v>-1.1899247092625433</v>
      </c>
      <c r="AY25" s="4">
        <f t="shared" si="15"/>
        <v>0.98979963602445609</v>
      </c>
      <c r="AZ25" s="328">
        <f t="shared" si="13"/>
        <v>0.15426795801630275</v>
      </c>
    </row>
    <row r="26" spans="1:52">
      <c r="A26" s="170">
        <v>41388</v>
      </c>
      <c r="B26" s="145" t="s">
        <v>1</v>
      </c>
      <c r="C26" s="281">
        <f>[2]SUM!J26</f>
        <v>4.5182341097388203</v>
      </c>
      <c r="D26" s="281">
        <f>[2]SUM!J69</f>
        <v>0.82601819153849554</v>
      </c>
      <c r="E26" s="282">
        <f>[2]SUM!G26</f>
        <v>0.54025045771601299</v>
      </c>
      <c r="F26" s="282">
        <f>[2]SUM!G69</f>
        <v>5.5244916509493452E-2</v>
      </c>
      <c r="G26" s="281">
        <f>[2]SUM!K26</f>
        <v>1.092231679688811</v>
      </c>
      <c r="H26" s="281">
        <f>[2]SUM!K69</f>
        <v>5.8781421087467589E-2</v>
      </c>
      <c r="I26" s="283">
        <f>-[2]SUM!C26</f>
        <v>0.55198122197279786</v>
      </c>
      <c r="J26" s="282">
        <f>[2]SUM!C69</f>
        <v>2.0081201779805831E-2</v>
      </c>
      <c r="K26" s="284">
        <f t="shared" si="0"/>
        <v>-0.55198122197279786</v>
      </c>
      <c r="L26" s="281">
        <f>C26/Raw!$F26/Raw!$E26</f>
        <v>4.5453572412246102</v>
      </c>
      <c r="M26" s="281">
        <f>D26/Raw!$F26/Raw!$E26</f>
        <v>0.83097681020999414</v>
      </c>
      <c r="N26" s="281">
        <f>G26/Raw!$F26</f>
        <v>0.33376063550460228</v>
      </c>
      <c r="O26" s="281">
        <f>H26/Raw!$F26</f>
        <v>1.7962237154306369E-2</v>
      </c>
      <c r="P26" s="286">
        <f>[2]SUM!L26</f>
        <v>0.30078146358414415</v>
      </c>
      <c r="Q26" s="287">
        <f>[2]SUM!L69</f>
        <v>0.10314859200874338</v>
      </c>
      <c r="R26" s="287">
        <f>[2]SUM!R26</f>
        <v>45.991972162386652</v>
      </c>
      <c r="S26" s="287">
        <f t="shared" si="14"/>
        <v>45.991972162386652</v>
      </c>
      <c r="T26" s="287">
        <f>[2]SUM!S26</f>
        <v>-78.160541031348174</v>
      </c>
      <c r="U26" s="10">
        <f t="shared" si="1"/>
        <v>78.160541031348174</v>
      </c>
      <c r="V26" s="10">
        <f t="shared" si="2"/>
        <v>-32.168568868961522</v>
      </c>
      <c r="W26" s="12">
        <f t="shared" si="3"/>
        <v>0.5884295522460683</v>
      </c>
      <c r="X26" s="151"/>
      <c r="Y26" s="151"/>
      <c r="Z26" s="151"/>
      <c r="AA26" s="151"/>
      <c r="AB26" s="151"/>
      <c r="AC26" s="146">
        <f>VLOOKUP(Raw!$A26,'SP02'!$A$3:$Z$176,22,0)</f>
        <v>271.85000000000002</v>
      </c>
      <c r="AD26" s="146">
        <f>VLOOKUP(Raw!$A26,'SP02'!$A$3:$Z$176,23,0)</f>
        <v>48</v>
      </c>
      <c r="AE26" s="146">
        <f t="shared" si="4"/>
        <v>-48</v>
      </c>
      <c r="AF26" s="146">
        <f t="shared" si="5"/>
        <v>319.85000000000002</v>
      </c>
      <c r="AG26" s="221">
        <f t="shared" si="6"/>
        <v>-5.6635416666666671</v>
      </c>
      <c r="AH26" s="146"/>
      <c r="AI26" s="216">
        <f t="shared" si="7"/>
        <v>225.85802783761338</v>
      </c>
      <c r="AJ26" s="216">
        <f t="shared" si="8"/>
        <v>-126.16054103134817</v>
      </c>
      <c r="AK26" s="216">
        <f t="shared" si="9"/>
        <v>126.16054103134817</v>
      </c>
      <c r="AL26" s="216">
        <f t="shared" si="10"/>
        <v>352.01856886896155</v>
      </c>
      <c r="AM26" s="220">
        <f t="shared" si="11"/>
        <v>-1.7902430188650866</v>
      </c>
      <c r="AO26" s="12">
        <f>1.4/Raw!D26</f>
        <v>0.46666666666666662</v>
      </c>
      <c r="AP26" s="25">
        <f>(Raw!AO26+0.39)/2.16</f>
        <v>0.57783740658338756</v>
      </c>
      <c r="AQ26" s="252">
        <f>Raw!E26/(AP26*5.9)*(1-EXP(-AP26*5.9))</f>
        <v>8.6150952954629031E-2</v>
      </c>
      <c r="AR26" s="253">
        <f t="shared" si="16"/>
        <v>3.3066298124763569</v>
      </c>
      <c r="AT26" s="189">
        <f t="shared" si="17"/>
        <v>2.6486104797935619</v>
      </c>
      <c r="AU26" s="189">
        <v>-11.3</v>
      </c>
      <c r="AV26" s="189">
        <f t="shared" si="18"/>
        <v>11.3</v>
      </c>
      <c r="AW26" s="189">
        <f t="shared" si="19"/>
        <v>-8.6513895202064397</v>
      </c>
      <c r="AY26" s="4">
        <f t="shared" si="15"/>
        <v>0.99237232860891122</v>
      </c>
      <c r="AZ26" s="328">
        <f t="shared" si="13"/>
        <v>7.4909879864371559E-2</v>
      </c>
    </row>
    <row r="27" spans="1:52">
      <c r="A27" s="170">
        <v>41395</v>
      </c>
      <c r="B27" s="145" t="s">
        <v>1</v>
      </c>
      <c r="C27" s="281">
        <f>[2]SUM!J27</f>
        <v>3.2730265328915098</v>
      </c>
      <c r="D27" s="281">
        <f>[2]SUM!J70</f>
        <v>0.25285781774425403</v>
      </c>
      <c r="E27" s="282">
        <f>[2]SUM!G27</f>
        <v>0.54671325584261166</v>
      </c>
      <c r="F27" s="282">
        <f>[2]SUM!G70</f>
        <v>6.5910040812469858E-2</v>
      </c>
      <c r="G27" s="281">
        <f>[2]SUM!K27</f>
        <v>0.91278111740381451</v>
      </c>
      <c r="H27" s="281">
        <f>[2]SUM!K70</f>
        <v>7.8262606989126862E-2</v>
      </c>
      <c r="I27" s="283">
        <f>-[2]SUM!C27</f>
        <v>0.3660678615612028</v>
      </c>
      <c r="J27" s="282">
        <f>[2]SUM!C70</f>
        <v>4.2200736638512447E-2</v>
      </c>
      <c r="K27" s="284">
        <f t="shared" si="0"/>
        <v>-0.3660678615612028</v>
      </c>
      <c r="L27" s="281">
        <f>C27/Raw!$F27/Raw!$E27</f>
        <v>7.2433067591553479</v>
      </c>
      <c r="M27" s="281">
        <f>D27/Raw!$F27/Raw!$E27</f>
        <v>0.55958200215205389</v>
      </c>
      <c r="N27" s="281">
        <f>G27/Raw!$F27</f>
        <v>0.33558129316316709</v>
      </c>
      <c r="O27" s="281">
        <f>H27/Raw!$F27</f>
        <v>2.8773017275414287E-2</v>
      </c>
      <c r="P27" s="286">
        <f>[2]SUM!L27</f>
        <v>0.59989252177746277</v>
      </c>
      <c r="Q27" s="287">
        <f>[2]SUM!L70</f>
        <v>8.0508040017040802E-2</v>
      </c>
      <c r="R27" s="287">
        <f>[2]SUM!R27</f>
        <v>47.516003312453307</v>
      </c>
      <c r="S27" s="287">
        <f>X27</f>
        <v>63.928579999999997</v>
      </c>
      <c r="T27" s="287">
        <f>[2]SUM!S27</f>
        <v>-51.83520919706632</v>
      </c>
      <c r="U27" s="10">
        <f t="shared" si="1"/>
        <v>51.83520919706632</v>
      </c>
      <c r="V27" s="10">
        <f t="shared" si="2"/>
        <v>12.093370802933677</v>
      </c>
      <c r="W27" s="12">
        <f t="shared" si="3"/>
        <v>1.2333041766448223</v>
      </c>
      <c r="X27" s="151">
        <v>63.928579999999997</v>
      </c>
      <c r="Y27" s="151"/>
      <c r="Z27" s="151"/>
      <c r="AA27" s="151"/>
      <c r="AB27" s="151"/>
      <c r="AC27" s="146">
        <f>VLOOKUP(Raw!$A27,'SP02'!$A$3:$Z$176,22,0)</f>
        <v>141.56296296296296</v>
      </c>
      <c r="AD27" s="146">
        <f>VLOOKUP(Raw!$A27,'SP02'!$A$3:$Z$176,23,0)</f>
        <v>48</v>
      </c>
      <c r="AE27" s="146">
        <f t="shared" si="4"/>
        <v>-48</v>
      </c>
      <c r="AF27" s="146">
        <f t="shared" si="5"/>
        <v>189.56296296296296</v>
      </c>
      <c r="AG27" s="221">
        <f t="shared" si="6"/>
        <v>-2.9492283950617284</v>
      </c>
      <c r="AH27" s="146"/>
      <c r="AI27" s="216">
        <f t="shared" si="7"/>
        <v>77.63438296296296</v>
      </c>
      <c r="AJ27" s="216">
        <f t="shared" si="8"/>
        <v>-99.83520919706632</v>
      </c>
      <c r="AK27" s="216">
        <f t="shared" si="9"/>
        <v>99.83520919706632</v>
      </c>
      <c r="AL27" s="216">
        <f t="shared" si="10"/>
        <v>177.46959216002926</v>
      </c>
      <c r="AM27" s="220">
        <f t="shared" si="11"/>
        <v>-0.7776252845799041</v>
      </c>
      <c r="AO27" s="12">
        <f>1.4/Raw!D27</f>
        <v>0.41176470588235292</v>
      </c>
      <c r="AP27" s="25">
        <f>(Raw!AO27+0.39)/2.16</f>
        <v>0.38770267680945936</v>
      </c>
      <c r="AQ27" s="252">
        <f>Raw!E27/(AP27*5.9)*(1-EXP(-AP27*5.9))</f>
        <v>6.5252734094689832E-2</v>
      </c>
      <c r="AR27" s="253">
        <f t="shared" si="16"/>
        <v>10.152544795304156</v>
      </c>
      <c r="AT27" s="189">
        <f t="shared" si="17"/>
        <v>8.1321883810386293</v>
      </c>
      <c r="AU27" s="189">
        <v>-11.3</v>
      </c>
      <c r="AV27" s="189">
        <f t="shared" si="18"/>
        <v>11.3</v>
      </c>
      <c r="AW27" s="189">
        <f t="shared" si="19"/>
        <v>-3.1678116189613714</v>
      </c>
      <c r="AY27" s="4">
        <f t="shared" si="15"/>
        <v>0.98753515250477786</v>
      </c>
      <c r="AZ27" s="328">
        <f t="shared" si="13"/>
        <v>0.11240347034439953</v>
      </c>
    </row>
    <row r="28" spans="1:52">
      <c r="A28" s="170">
        <v>41403</v>
      </c>
      <c r="B28" s="145" t="s">
        <v>1</v>
      </c>
      <c r="C28" s="281">
        <f>[2]SUM!J28</f>
        <v>4.1790715281224093</v>
      </c>
      <c r="D28" s="281">
        <f>[2]SUM!J71</f>
        <v>0.47853211465862527</v>
      </c>
      <c r="E28" s="282">
        <f>[2]SUM!G28</f>
        <v>0.63642732949753422</v>
      </c>
      <c r="F28" s="282">
        <f>[2]SUM!G71</f>
        <v>0.14264388939477998</v>
      </c>
      <c r="G28" s="281">
        <f>[2]SUM!K28</f>
        <v>1.1433131175646913</v>
      </c>
      <c r="H28" s="281">
        <f>[2]SUM!K71</f>
        <v>0.15150057129334524</v>
      </c>
      <c r="I28" s="283">
        <f>-[2]SUM!C28</f>
        <v>0.50688578806715701</v>
      </c>
      <c r="J28" s="282">
        <f>[2]SUM!C71</f>
        <v>5.1040610503203819E-2</v>
      </c>
      <c r="K28" s="284">
        <f t="shared" si="0"/>
        <v>-0.50688578806715701</v>
      </c>
      <c r="L28" s="281">
        <f>C28/Raw!$F28/Raw!$E28</f>
        <v>2.3482159940964165</v>
      </c>
      <c r="M28" s="281">
        <f>D28/Raw!$F28/Raw!$E28</f>
        <v>0.26888670312733876</v>
      </c>
      <c r="N28" s="281">
        <f>G28/Raw!$F28</f>
        <v>0.37958602840793204</v>
      </c>
      <c r="O28" s="281">
        <f>H28/Raw!$F28</f>
        <v>5.0298994453301875E-2</v>
      </c>
      <c r="P28" s="286">
        <f>[2]SUM!L28</f>
        <v>0.88685857782415423</v>
      </c>
      <c r="Q28" s="287">
        <f>[2]SUM!L71</f>
        <v>0.28825864072242086</v>
      </c>
      <c r="R28" s="287">
        <f>[2]SUM!R28</f>
        <v>59.014168075230458</v>
      </c>
      <c r="S28" s="287">
        <f t="shared" ref="S28:S44" si="20">X28</f>
        <v>65.185540000000003</v>
      </c>
      <c r="T28" s="287">
        <f>[2]SUM!S28</f>
        <v>-71.775027590309435</v>
      </c>
      <c r="U28" s="10">
        <f t="shared" si="1"/>
        <v>71.775027590309435</v>
      </c>
      <c r="V28" s="10">
        <f t="shared" si="2"/>
        <v>-6.5894875903094317</v>
      </c>
      <c r="W28" s="12">
        <f t="shared" si="3"/>
        <v>0.90819247569054085</v>
      </c>
      <c r="X28" s="151">
        <v>65.185540000000003</v>
      </c>
      <c r="Y28" s="151"/>
      <c r="Z28" s="151"/>
      <c r="AA28" s="151"/>
      <c r="AB28" s="151"/>
      <c r="AC28" s="146">
        <f>VLOOKUP(Raw!$A28,'SP02'!$A$3:$Z$176,22,0)</f>
        <v>548.65925925925933</v>
      </c>
      <c r="AD28" s="146">
        <f>VLOOKUP(Raw!$A28,'SP02'!$A$3:$Z$176,23,0)</f>
        <v>48</v>
      </c>
      <c r="AE28" s="146">
        <f t="shared" si="4"/>
        <v>-48</v>
      </c>
      <c r="AF28" s="146">
        <f t="shared" si="5"/>
        <v>596.65925925925933</v>
      </c>
      <c r="AG28" s="221">
        <f t="shared" si="6"/>
        <v>-11.430401234567903</v>
      </c>
      <c r="AH28" s="146"/>
      <c r="AI28" s="216">
        <f t="shared" si="7"/>
        <v>483.47371925925933</v>
      </c>
      <c r="AJ28" s="216">
        <f t="shared" si="8"/>
        <v>-119.77502759030943</v>
      </c>
      <c r="AK28" s="216">
        <f t="shared" si="9"/>
        <v>119.77502759030943</v>
      </c>
      <c r="AL28" s="216">
        <f t="shared" si="10"/>
        <v>603.24874684956876</v>
      </c>
      <c r="AM28" s="220">
        <f t="shared" si="11"/>
        <v>-4.0365151984183338</v>
      </c>
      <c r="AO28" s="12">
        <f>1.4/Raw!D28</f>
        <v>0.37333333333333329</v>
      </c>
      <c r="AP28" s="25">
        <f>(Raw!AO28+0.39)/2.16</f>
        <v>0.41004739319318889</v>
      </c>
      <c r="AQ28" s="252">
        <f>Raw!E28/(AP28*5.9)*(1-EXP(-AP28*5.9))</f>
        <v>0.22249790357566995</v>
      </c>
      <c r="AR28" s="253">
        <f t="shared" si="16"/>
        <v>8.8985697906785948</v>
      </c>
      <c r="AT28" s="189">
        <f t="shared" si="17"/>
        <v>7.1277544023335544</v>
      </c>
      <c r="AU28" s="189">
        <v>-11.3</v>
      </c>
      <c r="AV28" s="189">
        <f t="shared" si="18"/>
        <v>11.3</v>
      </c>
      <c r="AW28" s="189">
        <f t="shared" si="19"/>
        <v>-4.1722455976664463</v>
      </c>
      <c r="AY28" s="4">
        <f t="shared" si="15"/>
        <v>0.98416316506165524</v>
      </c>
      <c r="AZ28" s="328">
        <f t="shared" si="13"/>
        <v>8.0899483689613069E-2</v>
      </c>
    </row>
    <row r="29" spans="1:52">
      <c r="A29" s="170">
        <v>41409</v>
      </c>
      <c r="B29" s="145" t="s">
        <v>1</v>
      </c>
      <c r="C29" s="281">
        <f>[2]SUM!J29</f>
        <v>3.8668194547495784</v>
      </c>
      <c r="D29" s="281">
        <f>[2]SUM!J72</f>
        <v>0.22070202376938813</v>
      </c>
      <c r="E29" s="282">
        <f>[2]SUM!G29</f>
        <v>0.45995728244983514</v>
      </c>
      <c r="F29" s="282">
        <f>[2]SUM!G72</f>
        <v>6.8394798087785216E-2</v>
      </c>
      <c r="G29" s="281">
        <f>[2]SUM!K29</f>
        <v>0.97907890694016741</v>
      </c>
      <c r="H29" s="281">
        <f>[2]SUM!K72</f>
        <v>7.2415838989312586E-2</v>
      </c>
      <c r="I29" s="283">
        <f>-[2]SUM!C29</f>
        <v>0.51912162449033228</v>
      </c>
      <c r="J29" s="282">
        <f>[2]SUM!C72</f>
        <v>2.3795069469474898E-2</v>
      </c>
      <c r="K29" s="284">
        <f t="shared" si="0"/>
        <v>-0.51912162449033228</v>
      </c>
      <c r="L29" s="281">
        <f>C29/Raw!$F29/Raw!$E29</f>
        <v>2.0584439144426216</v>
      </c>
      <c r="M29" s="281">
        <f>D29/Raw!$F29/Raw!$E29</f>
        <v>0.11748744492718738</v>
      </c>
      <c r="N29" s="281">
        <f>G29/Raw!$F29</f>
        <v>0.33129660465730182</v>
      </c>
      <c r="O29" s="281">
        <f>H29/Raw!$F29</f>
        <v>2.4503767173931407E-2</v>
      </c>
      <c r="P29" s="286">
        <f>[2]SUM!L29</f>
        <v>0.63684615195920846</v>
      </c>
      <c r="Q29" s="287">
        <f>[2]SUM!L72</f>
        <v>9.690344804258369E-2</v>
      </c>
      <c r="R29" s="287">
        <f>[2]SUM!R29</f>
        <v>53.568993789417142</v>
      </c>
      <c r="S29" s="287">
        <f t="shared" si="20"/>
        <v>105.72662</v>
      </c>
      <c r="T29" s="287">
        <f>[2]SUM!S29</f>
        <v>-73.507622027831061</v>
      </c>
      <c r="U29" s="10">
        <f t="shared" si="1"/>
        <v>73.507622027831061</v>
      </c>
      <c r="V29" s="10">
        <f t="shared" si="2"/>
        <v>32.218997972168935</v>
      </c>
      <c r="W29" s="12">
        <f t="shared" si="3"/>
        <v>1.4383082608762714</v>
      </c>
      <c r="X29" s="151">
        <v>105.72662</v>
      </c>
      <c r="Y29" s="151"/>
      <c r="Z29" s="151"/>
      <c r="AA29" s="151"/>
      <c r="AB29" s="151"/>
      <c r="AC29" s="146">
        <f>VLOOKUP(Raw!$A29,'SP02'!$A$3:$Z$176,22,0)</f>
        <v>578.72037037037035</v>
      </c>
      <c r="AD29" s="146">
        <f>VLOOKUP(Raw!$A29,'SP02'!$A$3:$Z$176,23,0)</f>
        <v>48</v>
      </c>
      <c r="AE29" s="146">
        <f t="shared" si="4"/>
        <v>-48</v>
      </c>
      <c r="AF29" s="146">
        <f t="shared" si="5"/>
        <v>626.72037037037035</v>
      </c>
      <c r="AG29" s="221">
        <f t="shared" si="6"/>
        <v>-12.056674382716048</v>
      </c>
      <c r="AH29" s="146"/>
      <c r="AI29" s="216">
        <f t="shared" si="7"/>
        <v>472.99375037037032</v>
      </c>
      <c r="AJ29" s="216">
        <f t="shared" si="8"/>
        <v>-121.50762202783106</v>
      </c>
      <c r="AK29" s="216">
        <f t="shared" si="9"/>
        <v>121.50762202783106</v>
      </c>
      <c r="AL29" s="216">
        <f t="shared" si="10"/>
        <v>594.5013723982014</v>
      </c>
      <c r="AM29" s="220">
        <f t="shared" si="11"/>
        <v>-3.8927084776791379</v>
      </c>
      <c r="AO29" s="12">
        <f>1.4/Raw!D29</f>
        <v>0.38888888888888884</v>
      </c>
      <c r="AP29" s="25">
        <f>(Raw!AO29+0.39)/2.16</f>
        <v>0.39901542340405777</v>
      </c>
      <c r="AQ29" s="252">
        <f>Raw!E29/(AP29*5.9)*(1-EXP(-AP29*5.9))</f>
        <v>0.24436290575571054</v>
      </c>
      <c r="AR29" s="253">
        <f t="shared" si="16"/>
        <v>9.4970306624752521</v>
      </c>
      <c r="AT29" s="189">
        <f t="shared" si="17"/>
        <v>7.6071215606426774</v>
      </c>
      <c r="AU29" s="189">
        <v>-11.3</v>
      </c>
      <c r="AV29" s="189">
        <f t="shared" si="18"/>
        <v>11.3</v>
      </c>
      <c r="AW29" s="189">
        <f t="shared" si="19"/>
        <v>-3.6928784393573233</v>
      </c>
      <c r="AY29" s="4">
        <f t="shared" si="15"/>
        <v>0.9855266278894429</v>
      </c>
      <c r="AZ29" s="328">
        <f t="shared" si="13"/>
        <v>7.9102097770843663E-2</v>
      </c>
    </row>
    <row r="30" spans="1:52">
      <c r="A30" s="170">
        <v>41416</v>
      </c>
      <c r="B30" s="145" t="s">
        <v>1</v>
      </c>
      <c r="C30" s="281">
        <f>[2]SUM!J30</f>
        <v>3.293335192717914</v>
      </c>
      <c r="D30" s="281">
        <f>[2]SUM!J73</f>
        <v>0.19740243099047816</v>
      </c>
      <c r="E30" s="282">
        <f>[2]SUM!G30</f>
        <v>0.43872100955301824</v>
      </c>
      <c r="F30" s="282">
        <f>[2]SUM!G73</f>
        <v>5.2943907080187508E-2</v>
      </c>
      <c r="G30" s="281">
        <f>[2]SUM!K30</f>
        <v>1.1089537808178034</v>
      </c>
      <c r="H30" s="281">
        <f>[2]SUM!K73</f>
        <v>5.5696097808510758E-2</v>
      </c>
      <c r="I30" s="283">
        <f>-[2]SUM!C30</f>
        <v>0.6702327712647852</v>
      </c>
      <c r="J30" s="282">
        <f>[2]SUM!C73</f>
        <v>1.7291559044217721E-2</v>
      </c>
      <c r="K30" s="284">
        <f t="shared" si="0"/>
        <v>-0.6702327712647852</v>
      </c>
      <c r="L30" s="281">
        <f>C30/Raw!$F30/Raw!$E30</f>
        <v>2.8416637376930325</v>
      </c>
      <c r="M30" s="281">
        <f>D30/Raw!$F30/Raw!$E30</f>
        <v>0.17032925501128623</v>
      </c>
      <c r="N30" s="281">
        <f>G30/Raw!$F30</f>
        <v>0.38970179994010784</v>
      </c>
      <c r="O30" s="281">
        <f>H30/Raw!$F30</f>
        <v>1.9572384296855524E-2</v>
      </c>
      <c r="P30" s="286">
        <f>[2]SUM!L30</f>
        <v>1.832134099435246</v>
      </c>
      <c r="Q30" s="287">
        <f>[2]SUM!L73</f>
        <v>0.10419161030147286</v>
      </c>
      <c r="R30" s="287">
        <f>[2]SUM!R30</f>
        <v>60.148518559007535</v>
      </c>
      <c r="S30" s="287">
        <f t="shared" si="20"/>
        <v>50.694040000000001</v>
      </c>
      <c r="T30" s="287">
        <f>[2]SUM!S30</f>
        <v>-94.904960411093583</v>
      </c>
      <c r="U30" s="10">
        <f t="shared" si="1"/>
        <v>94.904960411093583</v>
      </c>
      <c r="V30" s="10">
        <f t="shared" si="2"/>
        <v>-44.210920411093582</v>
      </c>
      <c r="W30" s="12">
        <f t="shared" si="3"/>
        <v>0.53415585213261729</v>
      </c>
      <c r="X30" s="151">
        <v>50.694040000000001</v>
      </c>
      <c r="Y30" s="151"/>
      <c r="Z30" s="151"/>
      <c r="AA30" s="151"/>
      <c r="AB30" s="151"/>
      <c r="AC30" s="146">
        <f>VLOOKUP(Raw!$A30,'SP02'!$A$3:$Z$176,22,0)</f>
        <v>385.38888888888903</v>
      </c>
      <c r="AD30" s="146">
        <f>VLOOKUP(Raw!$A30,'SP02'!$A$3:$Z$176,23,0)</f>
        <v>48</v>
      </c>
      <c r="AE30" s="146">
        <f t="shared" si="4"/>
        <v>-48</v>
      </c>
      <c r="AF30" s="146">
        <f t="shared" si="5"/>
        <v>433.38888888888903</v>
      </c>
      <c r="AG30" s="221">
        <f t="shared" si="6"/>
        <v>-8.0289351851851887</v>
      </c>
      <c r="AH30" s="146"/>
      <c r="AI30" s="216">
        <f t="shared" si="7"/>
        <v>334.69484888888906</v>
      </c>
      <c r="AJ30" s="216">
        <f t="shared" si="8"/>
        <v>-142.90496041109358</v>
      </c>
      <c r="AK30" s="216">
        <f t="shared" si="9"/>
        <v>142.90496041109358</v>
      </c>
      <c r="AL30" s="216">
        <f t="shared" si="10"/>
        <v>477.59980929998267</v>
      </c>
      <c r="AM30" s="220">
        <f t="shared" si="11"/>
        <v>-2.3420799944667769</v>
      </c>
      <c r="AO30" s="12">
        <f>1.4/Raw!D30</f>
        <v>0.29473684210526313</v>
      </c>
      <c r="AP30" s="25">
        <f>(Raw!AO30+0.39)/2.16</f>
        <v>0.3234537344706615</v>
      </c>
      <c r="AQ30" s="252">
        <f>Raw!E30/(AP30*5.9)*(1-EXP(-AP30*5.9))</f>
        <v>0.18175820219196481</v>
      </c>
      <c r="AR30" s="253">
        <f t="shared" si="16"/>
        <v>14.832091124938929</v>
      </c>
      <c r="AT30" s="189">
        <f t="shared" si="17"/>
        <v>11.880504991076082</v>
      </c>
      <c r="AU30" s="189">
        <v>-11.3</v>
      </c>
      <c r="AV30" s="189">
        <f t="shared" si="18"/>
        <v>11.3</v>
      </c>
      <c r="AW30" s="189">
        <f t="shared" si="19"/>
        <v>0.58050499107608111</v>
      </c>
      <c r="AY30" s="4">
        <f t="shared" si="15"/>
        <v>0.97730287951504313</v>
      </c>
      <c r="AZ30" s="328">
        <f t="shared" si="13"/>
        <v>6.0756434270265475E-2</v>
      </c>
    </row>
    <row r="31" spans="1:52">
      <c r="A31" s="170">
        <v>41423</v>
      </c>
      <c r="B31" s="145" t="s">
        <v>1</v>
      </c>
      <c r="C31" s="281">
        <f>[2]SUM!J31</f>
        <v>7.1607759013133077</v>
      </c>
      <c r="D31" s="281">
        <f>[2]SUM!J74</f>
        <v>12.347448878787864</v>
      </c>
      <c r="E31" s="282">
        <f>[2]SUM!G31</f>
        <v>0.68001767301017546</v>
      </c>
      <c r="F31" s="282">
        <f>[2]SUM!G74</f>
        <v>7.5876237140638139E-2</v>
      </c>
      <c r="G31" s="281">
        <f>[2]SUM!K31</f>
        <v>1.0255318468959906</v>
      </c>
      <c r="H31" s="281">
        <f>[2]SUM!K74</f>
        <v>8.3652263871771146E-2</v>
      </c>
      <c r="I31" s="283">
        <f>-[2]SUM!C31</f>
        <v>0.34551417388581512</v>
      </c>
      <c r="J31" s="282">
        <f>[2]SUM!C74</f>
        <v>3.522070255190933E-2</v>
      </c>
      <c r="K31" s="284">
        <f t="shared" si="0"/>
        <v>-0.34551417388581512</v>
      </c>
      <c r="L31" s="281">
        <f>C31/Raw!$F31/Raw!$E31</f>
        <v>4.0078626851082255</v>
      </c>
      <c r="M31" s="281">
        <f>D31/Raw!$F31/Raw!$E31</f>
        <v>6.9108264662352061</v>
      </c>
      <c r="N31" s="281">
        <f>G31/Raw!$F31</f>
        <v>0.37482889140935333</v>
      </c>
      <c r="O31" s="281">
        <f>H31/Raw!$F31</f>
        <v>3.0574657847869575E-2</v>
      </c>
      <c r="P31" s="286">
        <f>[2]SUM!L31</f>
        <v>2.377855025021296</v>
      </c>
      <c r="Q31" s="287">
        <f>[2]SUM!L74</f>
        <v>0.1143623172637703</v>
      </c>
      <c r="R31" s="287">
        <f>[2]SUM!R31</f>
        <v>73.381574348129192</v>
      </c>
      <c r="S31" s="287">
        <f t="shared" si="20"/>
        <v>90.947199999999995</v>
      </c>
      <c r="T31" s="287">
        <f>[2]SUM!S31</f>
        <v>-48.92480702223142</v>
      </c>
      <c r="U31" s="10">
        <f t="shared" si="1"/>
        <v>48.92480702223142</v>
      </c>
      <c r="V31" s="10">
        <f t="shared" si="2"/>
        <v>42.022392977768575</v>
      </c>
      <c r="W31" s="12">
        <f t="shared" si="3"/>
        <v>1.8589179096541681</v>
      </c>
      <c r="X31" s="151">
        <v>90.947199999999995</v>
      </c>
      <c r="Y31" s="151"/>
      <c r="Z31" s="151"/>
      <c r="AA31" s="151"/>
      <c r="AB31" s="151"/>
      <c r="AC31" s="146">
        <f>VLOOKUP(Raw!$A31,'SP02'!$A$3:$Z$176,22,0)</f>
        <v>502.25555555555547</v>
      </c>
      <c r="AD31" s="146">
        <f>VLOOKUP(Raw!$A31,'SP02'!$A$3:$Z$176,23,0)</f>
        <v>48</v>
      </c>
      <c r="AE31" s="146">
        <f t="shared" si="4"/>
        <v>-48</v>
      </c>
      <c r="AF31" s="146">
        <f t="shared" si="5"/>
        <v>550.25555555555547</v>
      </c>
      <c r="AG31" s="221">
        <f t="shared" si="6"/>
        <v>-10.463657407407405</v>
      </c>
      <c r="AH31" s="146"/>
      <c r="AI31" s="216">
        <f t="shared" si="7"/>
        <v>411.30835555555547</v>
      </c>
      <c r="AJ31" s="216">
        <f t="shared" si="8"/>
        <v>-96.92480702223142</v>
      </c>
      <c r="AK31" s="216">
        <f t="shared" si="9"/>
        <v>96.92480702223142</v>
      </c>
      <c r="AL31" s="216">
        <f t="shared" si="10"/>
        <v>508.23316257778686</v>
      </c>
      <c r="AM31" s="220">
        <f t="shared" si="11"/>
        <v>-4.2435818877742477</v>
      </c>
      <c r="AO31" s="12">
        <f>1.4/Raw!D31</f>
        <v>0.50909090909090904</v>
      </c>
      <c r="AP31" s="25">
        <f>(Raw!AO31+0.39)/2.16</f>
        <v>0.33936472564982045</v>
      </c>
      <c r="AQ31" s="252">
        <f>Raw!E31/(AP31*5.9)*(1-EXP(-AP31*5.9))</f>
        <v>0.28210647550368073</v>
      </c>
      <c r="AR31" s="253">
        <f t="shared" si="16"/>
        <v>13.503086712159257</v>
      </c>
      <c r="AT31" s="189">
        <f t="shared" si="17"/>
        <v>10.815972456439566</v>
      </c>
      <c r="AU31" s="189">
        <v>-11.3</v>
      </c>
      <c r="AV31" s="189">
        <f t="shared" si="18"/>
        <v>11.3</v>
      </c>
      <c r="AW31" s="189">
        <f t="shared" si="19"/>
        <v>-0.48402754356043509</v>
      </c>
      <c r="AY31" s="4">
        <f t="shared" si="15"/>
        <v>0.99612636865930182</v>
      </c>
      <c r="AZ31" s="328">
        <f t="shared" si="13"/>
        <v>0.1201260859837282</v>
      </c>
    </row>
    <row r="32" spans="1:52">
      <c r="A32" s="170">
        <v>41430</v>
      </c>
      <c r="B32" s="145" t="s">
        <v>1</v>
      </c>
      <c r="C32" s="281">
        <f>[2]SUM!J32</f>
        <v>8.9021206705632832</v>
      </c>
      <c r="D32" s="281">
        <f>[2]SUM!J75</f>
        <v>3.9739142676072219</v>
      </c>
      <c r="E32" s="282">
        <f>[2]SUM!G32</f>
        <v>0.23016988420390341</v>
      </c>
      <c r="F32" s="282">
        <f>[2]SUM!G75</f>
        <v>0.24456116686615495</v>
      </c>
      <c r="G32" s="281">
        <f>[2]SUM!K32</f>
        <v>0.80753828099100611</v>
      </c>
      <c r="H32" s="281">
        <f>[2]SUM!K75</f>
        <v>0.27112540434261317</v>
      </c>
      <c r="I32" s="283">
        <f>-[2]SUM!C32</f>
        <v>0.57736839678710272</v>
      </c>
      <c r="J32" s="282">
        <f>[2]SUM!C75</f>
        <v>0.11704196059965075</v>
      </c>
      <c r="K32" s="284">
        <f t="shared" si="0"/>
        <v>-0.57736839678710272</v>
      </c>
      <c r="L32" s="281">
        <f>C32/Raw!$F32/Raw!$E32</f>
        <v>9.0579254539076199</v>
      </c>
      <c r="M32" s="281">
        <f>D32/Raw!$F32/Raw!$E32</f>
        <v>4.0434656559119073</v>
      </c>
      <c r="N32" s="281">
        <f>G32/Raw!$F32</f>
        <v>0.49078539017321388</v>
      </c>
      <c r="O32" s="281">
        <f>H32/Raw!$F32</f>
        <v>0.16477780742835371</v>
      </c>
      <c r="P32" s="286">
        <f>[2]SUM!L32</f>
        <v>1.6663782681939532</v>
      </c>
      <c r="Q32" s="287">
        <f>[2]SUM!L75</f>
        <v>0.35962148292199297</v>
      </c>
      <c r="R32" s="287">
        <f>[2]SUM!R32</f>
        <v>63.267876932209667</v>
      </c>
      <c r="S32" s="287">
        <f t="shared" si="20"/>
        <v>65.047849999999997</v>
      </c>
      <c r="T32" s="287">
        <f>[2]SUM!S32</f>
        <v>-81.75536498505376</v>
      </c>
      <c r="U32" s="10">
        <f t="shared" si="1"/>
        <v>81.75536498505376</v>
      </c>
      <c r="V32" s="10">
        <f t="shared" si="2"/>
        <v>-16.707514985053763</v>
      </c>
      <c r="W32" s="12">
        <f t="shared" si="3"/>
        <v>0.7956401394806546</v>
      </c>
      <c r="X32" s="151">
        <v>65.047849999999997</v>
      </c>
      <c r="Y32" s="151"/>
      <c r="Z32" s="151"/>
      <c r="AA32" s="151"/>
      <c r="AB32" s="151"/>
      <c r="AC32" s="146">
        <f>VLOOKUP(Raw!$A32,'SP02'!$A$3:$Z$176,22,0)</f>
        <v>556.98333333333346</v>
      </c>
      <c r="AD32" s="146">
        <f>VLOOKUP(Raw!$A32,'SP02'!$A$3:$Z$176,23,0)</f>
        <v>48</v>
      </c>
      <c r="AE32" s="146">
        <f t="shared" si="4"/>
        <v>-48</v>
      </c>
      <c r="AF32" s="146">
        <f t="shared" si="5"/>
        <v>604.98333333333346</v>
      </c>
      <c r="AG32" s="221">
        <f t="shared" si="6"/>
        <v>-11.603819444444447</v>
      </c>
      <c r="AH32" s="146"/>
      <c r="AI32" s="216">
        <f t="shared" si="7"/>
        <v>491.93548333333348</v>
      </c>
      <c r="AJ32" s="216">
        <f t="shared" si="8"/>
        <v>-129.75536498505375</v>
      </c>
      <c r="AK32" s="216">
        <f t="shared" si="9"/>
        <v>129.75536498505375</v>
      </c>
      <c r="AL32" s="216">
        <f t="shared" si="10"/>
        <v>621.69084831838722</v>
      </c>
      <c r="AM32" s="220">
        <f t="shared" si="11"/>
        <v>-3.7912535130242864</v>
      </c>
      <c r="AO32" s="12">
        <f>1.4/Raw!D32</f>
        <v>0.35</v>
      </c>
      <c r="AP32" s="25">
        <f>(Raw!AO32+0.39)/2.16</f>
        <v>0.32342011611122362</v>
      </c>
      <c r="AQ32" s="252">
        <f>Raw!E32/(AP32*5.9)*(1-EXP(-AP32*5.9))</f>
        <v>0.26658467653528767</v>
      </c>
      <c r="AR32" s="253">
        <f t="shared" si="16"/>
        <v>14.835033337087561</v>
      </c>
      <c r="AT32" s="189">
        <f t="shared" si="17"/>
        <v>11.882861703007137</v>
      </c>
      <c r="AU32" s="189">
        <v>-11.3</v>
      </c>
      <c r="AV32" s="189">
        <f t="shared" si="18"/>
        <v>11.3</v>
      </c>
      <c r="AW32" s="189">
        <f t="shared" si="19"/>
        <v>0.58286170300713636</v>
      </c>
      <c r="AY32" s="4">
        <f t="shared" si="15"/>
        <v>0.98212150687768673</v>
      </c>
      <c r="AZ32" s="328">
        <f t="shared" si="13"/>
        <v>7.0876289178547325E-2</v>
      </c>
    </row>
    <row r="33" spans="1:210">
      <c r="A33" s="170">
        <v>41437</v>
      </c>
      <c r="B33" s="145" t="s">
        <v>1</v>
      </c>
      <c r="C33" s="281">
        <f>[2]SUM!J33</f>
        <v>11.092926852519826</v>
      </c>
      <c r="D33" s="281">
        <f>[2]SUM!J76</f>
        <v>2.0120559815225536</v>
      </c>
      <c r="E33" s="282">
        <f>[2]SUM!G33</f>
        <v>0.43526399860407311</v>
      </c>
      <c r="F33" s="282">
        <f>[2]SUM!G76</f>
        <v>0.17293672918942085</v>
      </c>
      <c r="G33" s="281">
        <f>[2]SUM!K33</f>
        <v>1.1280002607346364</v>
      </c>
      <c r="H33" s="281">
        <f>[2]SUM!K76</f>
        <v>0.1810059311260756</v>
      </c>
      <c r="I33" s="283">
        <f>-[2]SUM!C33</f>
        <v>0.69273626213056338</v>
      </c>
      <c r="J33" s="282">
        <f>[2]SUM!C76</f>
        <v>5.3441882452646979E-2</v>
      </c>
      <c r="K33" s="284">
        <f t="shared" si="0"/>
        <v>-0.69273626213056338</v>
      </c>
      <c r="L33" s="281">
        <f>C33/Raw!$F33/Raw!$E33</f>
        <v>7.6855388709628345</v>
      </c>
      <c r="M33" s="281">
        <f>D33/Raw!$F33/Raw!$E33</f>
        <v>1.39401752685606</v>
      </c>
      <c r="N33" s="281">
        <f>G33/Raw!$F33</f>
        <v>0.48831180118382528</v>
      </c>
      <c r="O33" s="281">
        <f>H33/Raw!$F33</f>
        <v>7.8357545942024071E-2</v>
      </c>
      <c r="P33" s="286">
        <f>[2]SUM!L33</f>
        <v>3.2087348153653958</v>
      </c>
      <c r="Q33" s="287">
        <f>[2]SUM!L76</f>
        <v>0.25928564925375375</v>
      </c>
      <c r="R33" s="287">
        <f>[2]SUM!R33</f>
        <v>84.660120360179405</v>
      </c>
      <c r="S33" s="287">
        <f t="shared" si="20"/>
        <v>141.61884000000001</v>
      </c>
      <c r="T33" s="287">
        <f>[2]SUM!S33</f>
        <v>-98.091454717687782</v>
      </c>
      <c r="U33" s="10">
        <f t="shared" si="1"/>
        <v>98.091454717687782</v>
      </c>
      <c r="V33" s="10">
        <f t="shared" si="2"/>
        <v>43.527385282312224</v>
      </c>
      <c r="W33" s="12">
        <f t="shared" si="3"/>
        <v>1.4437428867538591</v>
      </c>
      <c r="X33" s="151">
        <v>141.61884000000001</v>
      </c>
      <c r="Y33" s="151"/>
      <c r="Z33" s="151"/>
      <c r="AA33" s="151"/>
      <c r="AB33" s="151"/>
      <c r="AC33" s="146">
        <f>VLOOKUP(Raw!$A33,'SP02'!$A$3:$Z$176,22,0)</f>
        <v>0</v>
      </c>
      <c r="AD33" s="146">
        <f>VLOOKUP(Raw!$A33,'SP02'!$A$3:$Z$176,23,0)</f>
        <v>48</v>
      </c>
      <c r="AE33" s="146">
        <f t="shared" si="4"/>
        <v>-48</v>
      </c>
      <c r="AF33" s="146">
        <f t="shared" si="5"/>
        <v>48</v>
      </c>
      <c r="AG33" s="221">
        <f t="shared" si="6"/>
        <v>0</v>
      </c>
      <c r="AH33" s="146"/>
      <c r="AI33" s="216">
        <f t="shared" si="7"/>
        <v>-141.61884000000001</v>
      </c>
      <c r="AJ33" s="216">
        <f t="shared" si="8"/>
        <v>-146.09145471768778</v>
      </c>
      <c r="AK33" s="216">
        <f t="shared" si="9"/>
        <v>146.09145471768778</v>
      </c>
      <c r="AL33" s="216">
        <f t="shared" si="10"/>
        <v>4.472614717687776</v>
      </c>
      <c r="AM33" s="220">
        <f t="shared" si="11"/>
        <v>0.9693848300276644</v>
      </c>
      <c r="AO33" s="12">
        <f>1.4/Raw!D33</f>
        <v>0.46666666666666662</v>
      </c>
      <c r="AP33" s="25">
        <f>(Raw!AO33+0.39)/2.16</f>
        <v>0.37444867641819118</v>
      </c>
      <c r="AQ33" s="252">
        <f>Raw!E33/(AP33*5.9)*(1-EXP(-AP33*5.9))</f>
        <v>0.25177423760104539</v>
      </c>
      <c r="AR33" s="253">
        <f t="shared" si="16"/>
        <v>10.978326325823868</v>
      </c>
      <c r="AT33" s="189">
        <f t="shared" si="17"/>
        <v>8.7936393869849194</v>
      </c>
      <c r="AU33" s="189">
        <v>-11.3</v>
      </c>
      <c r="AV33" s="189">
        <f t="shared" si="18"/>
        <v>11.3</v>
      </c>
      <c r="AW33" s="189">
        <f t="shared" si="19"/>
        <v>-2.5063606130150813</v>
      </c>
      <c r="AY33" s="4">
        <f t="shared" si="15"/>
        <v>0.99237232860891122</v>
      </c>
      <c r="AZ33" s="328">
        <f t="shared" si="13"/>
        <v>5.9689162074755199E-2</v>
      </c>
    </row>
    <row r="34" spans="1:210">
      <c r="A34" s="170">
        <v>41444</v>
      </c>
      <c r="B34" s="145" t="s">
        <v>1</v>
      </c>
      <c r="C34" s="281">
        <f>[2]SUM!J34</f>
        <v>11.092926852519826</v>
      </c>
      <c r="D34" s="281">
        <f>[2]SUM!J77</f>
        <v>2.0120559815225536</v>
      </c>
      <c r="E34" s="282">
        <f>[2]SUM!G34</f>
        <v>0.43526399860407311</v>
      </c>
      <c r="F34" s="282">
        <f>[2]SUM!G77</f>
        <v>0.17293672918942085</v>
      </c>
      <c r="G34" s="281">
        <f>[2]SUM!K34</f>
        <v>1.1280002607346364</v>
      </c>
      <c r="H34" s="281">
        <f>[2]SUM!K77</f>
        <v>0.1810059311260756</v>
      </c>
      <c r="I34" s="283">
        <f>-[2]SUM!C34</f>
        <v>0.69273626213056338</v>
      </c>
      <c r="J34" s="282">
        <f>[2]SUM!C77</f>
        <v>5.3441882452646979E-2</v>
      </c>
      <c r="K34" s="284">
        <f t="shared" si="0"/>
        <v>-0.69273626213056338</v>
      </c>
      <c r="L34" s="281">
        <f>C34/Raw!$F34/Raw!$E34</f>
        <v>4.8027073180438293</v>
      </c>
      <c r="M34" s="281">
        <f>D34/Raw!$F34/Raw!$E34</f>
        <v>0.87112410595019341</v>
      </c>
      <c r="N34" s="281">
        <f>G34/Raw!$F34</f>
        <v>0.24721358250289463</v>
      </c>
      <c r="O34" s="281">
        <f>H34/Raw!$F34</f>
        <v>3.9669427610598912E-2</v>
      </c>
      <c r="P34" s="286">
        <f>[2]SUM!L34</f>
        <v>3.2087348153653958</v>
      </c>
      <c r="Q34" s="287">
        <f>[2]SUM!L77</f>
        <v>0.25928564925375375</v>
      </c>
      <c r="R34" s="287">
        <f>[2]SUM!R34</f>
        <v>84.070680889425404</v>
      </c>
      <c r="S34" s="287">
        <f t="shared" si="20"/>
        <v>115.29013999999999</v>
      </c>
      <c r="T34" s="287">
        <f>[2]SUM!S34</f>
        <v>-98.091454717687782</v>
      </c>
      <c r="U34" s="10">
        <f t="shared" si="1"/>
        <v>98.091454717687782</v>
      </c>
      <c r="V34" s="10">
        <f t="shared" si="2"/>
        <v>17.198685282312212</v>
      </c>
      <c r="W34" s="12">
        <f t="shared" si="3"/>
        <v>1.1753331656851345</v>
      </c>
      <c r="X34" s="151">
        <v>115.29013999999999</v>
      </c>
      <c r="Y34" s="151"/>
      <c r="Z34" s="151"/>
      <c r="AA34" s="151"/>
      <c r="AB34" s="151"/>
      <c r="AC34" s="146">
        <f>VLOOKUP(Raw!$A34,'SP02'!$A$3:$Z$176,22,0)</f>
        <v>0</v>
      </c>
      <c r="AD34" s="146">
        <f>VLOOKUP(Raw!$A34,'SP02'!$A$3:$Z$176,23,0)</f>
        <v>48</v>
      </c>
      <c r="AE34" s="146">
        <f t="shared" si="4"/>
        <v>-48</v>
      </c>
      <c r="AF34" s="146">
        <f t="shared" si="5"/>
        <v>48</v>
      </c>
      <c r="AG34" s="221">
        <f t="shared" si="6"/>
        <v>0</v>
      </c>
      <c r="AH34" s="146"/>
      <c r="AI34" s="216">
        <f t="shared" si="7"/>
        <v>-115.29013999999999</v>
      </c>
      <c r="AJ34" s="216">
        <f t="shared" si="8"/>
        <v>-146.09145471768778</v>
      </c>
      <c r="AK34" s="216">
        <f t="shared" si="9"/>
        <v>146.09145471768778</v>
      </c>
      <c r="AL34" s="216">
        <f t="shared" si="10"/>
        <v>30.801314717687788</v>
      </c>
      <c r="AM34" s="220">
        <f t="shared" si="11"/>
        <v>0.78916415900430781</v>
      </c>
      <c r="AO34" s="12">
        <f>1.4/Raw!D34</f>
        <v>0.46666666666666662</v>
      </c>
      <c r="AP34" s="25">
        <f>(Raw!AO34+0.39)/2.16</f>
        <v>0.38605387781965622</v>
      </c>
      <c r="AQ34" s="252">
        <f>Raw!E34/(AP34*5.9)*(1-EXP(-AP34*5.9))</f>
        <v>0.19945688024940464</v>
      </c>
      <c r="AR34" s="253">
        <f t="shared" si="16"/>
        <v>10.251789819241756</v>
      </c>
      <c r="AT34" s="189">
        <f t="shared" si="17"/>
        <v>8.2116836452126467</v>
      </c>
      <c r="AU34" s="189">
        <v>-11.3</v>
      </c>
      <c r="AV34" s="189">
        <f t="shared" si="18"/>
        <v>11.3</v>
      </c>
      <c r="AW34" s="189">
        <f t="shared" si="19"/>
        <v>-3.088316354787354</v>
      </c>
      <c r="AY34" s="4">
        <f t="shared" si="15"/>
        <v>0.99237232860891122</v>
      </c>
      <c r="AZ34" s="328">
        <f t="shared" si="13"/>
        <v>5.9689162074755199E-2</v>
      </c>
    </row>
    <row r="35" spans="1:210">
      <c r="A35" s="170">
        <v>41451</v>
      </c>
      <c r="B35" s="145" t="s">
        <v>1</v>
      </c>
      <c r="C35" s="281">
        <f>[2]SUM!J35</f>
        <v>18.111949154489412</v>
      </c>
      <c r="D35" s="281">
        <f>[2]SUM!J78</f>
        <v>4.5688658795845578</v>
      </c>
      <c r="E35" s="282">
        <f>[2]SUM!G35</f>
        <v>0.85296118369466634</v>
      </c>
      <c r="F35" s="282">
        <f>[2]SUM!G78</f>
        <v>0.34976270427150996</v>
      </c>
      <c r="G35" s="281">
        <f>[2]SUM!K35</f>
        <v>1.6083128557159934</v>
      </c>
      <c r="H35" s="281">
        <f>[2]SUM!K78</f>
        <v>0.38388958832959857</v>
      </c>
      <c r="I35" s="283">
        <f>-[2]SUM!C35</f>
        <v>0.75535167202132714</v>
      </c>
      <c r="J35" s="282">
        <f>[2]SUM!C78</f>
        <v>0.15823168686628136</v>
      </c>
      <c r="K35" s="284">
        <f t="shared" si="0"/>
        <v>-0.75535167202132714</v>
      </c>
      <c r="L35" s="281">
        <f>C35/Raw!$F35/Raw!$E35</f>
        <v>9.9451667706191031</v>
      </c>
      <c r="M35" s="281">
        <f>D35/Raw!$F35/Raw!$E35</f>
        <v>2.5087378910732538</v>
      </c>
      <c r="N35" s="281">
        <f>G35/Raw!$F35</f>
        <v>0.47724417083560633</v>
      </c>
      <c r="O35" s="281">
        <f>H35/Raw!$F35</f>
        <v>0.11391382443014794</v>
      </c>
      <c r="P35" s="286">
        <f>[2]SUM!L35</f>
        <v>2.2393689649071491</v>
      </c>
      <c r="Q35" s="287">
        <f>[2]SUM!L78</f>
        <v>0.42991430464327807</v>
      </c>
      <c r="R35" s="287">
        <f>[2]SUM!R35</f>
        <v>120.16804572496217</v>
      </c>
      <c r="S35" s="287">
        <f t="shared" si="20"/>
        <v>198.14718999999999</v>
      </c>
      <c r="T35" s="287">
        <f>[2]SUM!S35</f>
        <v>-106.95779675821993</v>
      </c>
      <c r="U35" s="10">
        <f t="shared" si="1"/>
        <v>106.95779675821993</v>
      </c>
      <c r="V35" s="10">
        <f t="shared" si="2"/>
        <v>91.189393241780067</v>
      </c>
      <c r="W35" s="12">
        <f t="shared" si="3"/>
        <v>1.852573594498355</v>
      </c>
      <c r="X35" s="151">
        <v>198.14718999999999</v>
      </c>
      <c r="Y35" s="151"/>
      <c r="Z35" s="151"/>
      <c r="AA35" s="151"/>
      <c r="AB35" s="151"/>
      <c r="AC35" s="146">
        <f>VLOOKUP(Raw!$A35,'SP02'!$A$3:$Z$176,22,0)</f>
        <v>0</v>
      </c>
      <c r="AD35" s="146">
        <f>VLOOKUP(Raw!$A35,'SP02'!$A$3:$Z$176,23,0)</f>
        <v>48</v>
      </c>
      <c r="AE35" s="146">
        <f t="shared" si="4"/>
        <v>-48</v>
      </c>
      <c r="AF35" s="146">
        <f t="shared" si="5"/>
        <v>48</v>
      </c>
      <c r="AG35" s="221">
        <f t="shared" si="6"/>
        <v>0</v>
      </c>
      <c r="AH35" s="146"/>
      <c r="AI35" s="216">
        <f t="shared" si="7"/>
        <v>-198.14718999999999</v>
      </c>
      <c r="AJ35" s="216">
        <f t="shared" si="8"/>
        <v>-154.95779675821993</v>
      </c>
      <c r="AK35" s="216">
        <f t="shared" si="9"/>
        <v>154.95779675821993</v>
      </c>
      <c r="AL35" s="216">
        <f t="shared" si="10"/>
        <v>-43.189393241780067</v>
      </c>
      <c r="AM35" s="220">
        <f t="shared" si="11"/>
        <v>1.2787171355383189</v>
      </c>
      <c r="AO35" s="12">
        <f>1.4/Raw!D35</f>
        <v>0.46666666666666662</v>
      </c>
      <c r="AP35" s="4">
        <f>AP15</f>
        <v>0.41356325095046259</v>
      </c>
      <c r="AQ35" s="252">
        <f>Raw!E35/(AP35*5.9)*(1-EXP(-AP35*5.9))</f>
        <v>0.20217361910645426</v>
      </c>
      <c r="AR35" s="253">
        <f t="shared" si="16"/>
        <v>8.7158831043891549</v>
      </c>
      <c r="AT35" s="189">
        <f t="shared" si="17"/>
        <v>6.9814223666157131</v>
      </c>
      <c r="AU35" s="189">
        <v>-11.3</v>
      </c>
      <c r="AV35" s="189">
        <f t="shared" si="18"/>
        <v>11.3</v>
      </c>
      <c r="AW35" s="189">
        <f t="shared" si="19"/>
        <v>-4.3185776333842876</v>
      </c>
      <c r="AY35" s="4">
        <f t="shared" si="15"/>
        <v>0.99237232860891122</v>
      </c>
      <c r="AZ35" s="328">
        <f t="shared" si="13"/>
        <v>5.4741186862963385E-2</v>
      </c>
    </row>
    <row r="36" spans="1:210">
      <c r="A36" s="238">
        <v>41472</v>
      </c>
      <c r="B36" s="145" t="s">
        <v>1</v>
      </c>
      <c r="C36" s="281">
        <f>[2]SUM!J36</f>
        <v>19.362319489132673</v>
      </c>
      <c r="D36" s="281">
        <f>[2]SUM!J79</f>
        <v>4.2226399856226466</v>
      </c>
      <c r="E36" s="282">
        <f>[2]SUM!G36</f>
        <v>0.30029837902515494</v>
      </c>
      <c r="F36" s="282">
        <f>[2]SUM!G79</f>
        <v>0.5761095333579348</v>
      </c>
      <c r="G36" s="281">
        <f>[2]SUM!K36</f>
        <v>0.85128289799852852</v>
      </c>
      <c r="H36" s="281">
        <f>[2]SUM!K79</f>
        <v>0.58585730138735237</v>
      </c>
      <c r="I36" s="283">
        <f>-[2]SUM!C36</f>
        <v>0.55098451897337364</v>
      </c>
      <c r="J36" s="282">
        <f>[2]SUM!C79</f>
        <v>0.10642642135754443</v>
      </c>
      <c r="K36" s="284">
        <f t="shared" si="0"/>
        <v>-0.55098451897337364</v>
      </c>
      <c r="L36" s="281">
        <f>C36/Raw!$F36/Raw!$E36</f>
        <v>3.9991782312492266</v>
      </c>
      <c r="M36" s="281">
        <f>D36/Raw!$F36/Raw!$E36</f>
        <v>0.87216254841692453</v>
      </c>
      <c r="N36" s="281">
        <f>G36/Raw!$F36</f>
        <v>0.10339468396743261</v>
      </c>
      <c r="O36" s="281">
        <f>H36/Raw!$F36</f>
        <v>7.1156757253524577E-2</v>
      </c>
      <c r="P36" s="286">
        <f>[2]SUM!L36</f>
        <v>1.751242446204083</v>
      </c>
      <c r="Q36" s="287">
        <f>[2]SUM!L79</f>
        <v>0.62804075283117389</v>
      </c>
      <c r="R36" s="287">
        <f>[2]SUM!R36</f>
        <v>46.27450361317684</v>
      </c>
      <c r="S36" s="287">
        <f t="shared" si="20"/>
        <v>58.857230000000001</v>
      </c>
      <c r="T36" s="287">
        <f>[2]SUM!S36</f>
        <v>-78.019407886629708</v>
      </c>
      <c r="U36" s="10">
        <f t="shared" si="1"/>
        <v>78.019407886629708</v>
      </c>
      <c r="V36" s="10">
        <f t="shared" si="2"/>
        <v>-19.162177886629706</v>
      </c>
      <c r="W36" s="12">
        <f t="shared" si="3"/>
        <v>0.75439216464607961</v>
      </c>
      <c r="X36" s="151">
        <v>58.857230000000001</v>
      </c>
      <c r="Y36" s="151"/>
      <c r="Z36" s="151"/>
      <c r="AA36" s="151"/>
      <c r="AB36" s="151"/>
      <c r="AC36" s="146">
        <f>VLOOKUP(Raw!$A36,'SP02'!$A$3:$Z$176,22,0)</f>
        <v>537.72142857142865</v>
      </c>
      <c r="AD36" s="146">
        <f>VLOOKUP(Raw!$A36,'SP02'!$A$3:$Z$176,23,0)</f>
        <v>48</v>
      </c>
      <c r="AE36" s="146">
        <f t="shared" si="4"/>
        <v>-48</v>
      </c>
      <c r="AF36" s="146">
        <f t="shared" si="5"/>
        <v>585.72142857142865</v>
      </c>
      <c r="AG36" s="221">
        <f t="shared" si="6"/>
        <v>-11.202529761904763</v>
      </c>
      <c r="AH36" s="146"/>
      <c r="AI36" s="216">
        <f t="shared" si="7"/>
        <v>478.86419857142863</v>
      </c>
      <c r="AJ36" s="216">
        <f t="shared" si="8"/>
        <v>-126.01940788662971</v>
      </c>
      <c r="AK36" s="216">
        <f t="shared" si="9"/>
        <v>126.01940788662971</v>
      </c>
      <c r="AL36" s="216">
        <f t="shared" si="10"/>
        <v>604.88360645805835</v>
      </c>
      <c r="AM36" s="220">
        <f t="shared" si="11"/>
        <v>-3.7999242069303101</v>
      </c>
      <c r="AO36" s="12">
        <f>1.4/Raw!D36</f>
        <v>0.7</v>
      </c>
      <c r="AP36" s="25">
        <f>(Raw!AO36+0.39)/2.16</f>
        <v>0.9095973699919977</v>
      </c>
      <c r="AQ36" s="252">
        <f>Raw!E36/(AP36*5.9)*(1-EXP(-AP36*5.9))</f>
        <v>0.10906285641277819</v>
      </c>
      <c r="AR36" s="253">
        <f t="shared" si="16"/>
        <v>0.46698679545745458</v>
      </c>
      <c r="AT36" s="189">
        <f t="shared" si="17"/>
        <v>0.37405642316142113</v>
      </c>
      <c r="AU36" s="189">
        <v>-11.3</v>
      </c>
      <c r="AV36" s="189">
        <f t="shared" si="18"/>
        <v>11.3</v>
      </c>
      <c r="AW36" s="189">
        <f t="shared" si="19"/>
        <v>-10.925943576838579</v>
      </c>
      <c r="AY36" s="4">
        <f t="shared" si="15"/>
        <v>1.0131960654114476</v>
      </c>
      <c r="AZ36" s="328">
        <f t="shared" si="13"/>
        <v>7.6620125015739504E-2</v>
      </c>
    </row>
    <row r="37" spans="1:210">
      <c r="A37" s="170">
        <v>41479</v>
      </c>
      <c r="B37" s="145" t="s">
        <v>1</v>
      </c>
      <c r="C37" s="281">
        <f>[2]SUM!J37</f>
        <v>45.225962467698309</v>
      </c>
      <c r="D37" s="281">
        <f>[2]SUM!J80</f>
        <v>10.778458135163852</v>
      </c>
      <c r="E37" s="282">
        <f>[2]SUM!G37</f>
        <v>5.355802082780027</v>
      </c>
      <c r="F37" s="282">
        <f>[2]SUM!G80</f>
        <v>0.20667816240499792</v>
      </c>
      <c r="G37" s="281">
        <f>[2]SUM!K37</f>
        <v>5.9484530244573062</v>
      </c>
      <c r="H37" s="281">
        <f>[2]SUM!K80</f>
        <v>0.25119744118225323</v>
      </c>
      <c r="I37" s="283">
        <f>-[2]SUM!C37</f>
        <v>0.59265094167727916</v>
      </c>
      <c r="J37" s="282">
        <f>[2]SUM!C80</f>
        <v>0.14277356772668001</v>
      </c>
      <c r="K37" s="284">
        <f t="shared" si="0"/>
        <v>-0.59265094167727916</v>
      </c>
      <c r="L37" s="281">
        <f>C37/Raw!$F37/Raw!$E37</f>
        <v>15.932953167585511</v>
      </c>
      <c r="M37" s="281">
        <f>D37/Raw!$F37/Raw!$E37</f>
        <v>3.7972142396970132</v>
      </c>
      <c r="N37" s="281">
        <f>G37/Raw!$F37</f>
        <v>0.74488678302685407</v>
      </c>
      <c r="O37" s="281">
        <f>H37/Raw!$F37</f>
        <v>3.1455851310836717E-2</v>
      </c>
      <c r="P37" s="286">
        <f>[2]SUM!L37</f>
        <v>6.7343791405891782</v>
      </c>
      <c r="Q37" s="287">
        <f>[2]SUM!L80</f>
        <v>0.30346630962991666</v>
      </c>
      <c r="R37" s="287">
        <f>[2]SUM!R37</f>
        <v>284.85692466496556</v>
      </c>
      <c r="S37" s="287">
        <f t="shared" si="20"/>
        <v>244.64127999999999</v>
      </c>
      <c r="T37" s="287">
        <f>[2]SUM!S37</f>
        <v>-83.919373341502734</v>
      </c>
      <c r="U37" s="10">
        <f t="shared" si="1"/>
        <v>83.919373341502734</v>
      </c>
      <c r="V37" s="10">
        <f t="shared" si="2"/>
        <v>160.72190665849726</v>
      </c>
      <c r="W37" s="12">
        <f t="shared" si="3"/>
        <v>2.9151943140048622</v>
      </c>
      <c r="X37" s="151">
        <v>244.64127999999999</v>
      </c>
      <c r="Y37" s="151"/>
      <c r="Z37" s="151"/>
      <c r="AA37" s="151"/>
      <c r="AB37" s="151"/>
      <c r="AC37" s="146">
        <f>VLOOKUP(Raw!$A37,'SP02'!$A$3:$Z$176,22,0)</f>
        <v>318.89999999999998</v>
      </c>
      <c r="AD37" s="146">
        <f>VLOOKUP(Raw!$A37,'SP02'!$A$3:$Z$176,23,0)</f>
        <v>48</v>
      </c>
      <c r="AE37" s="146">
        <f t="shared" si="4"/>
        <v>-48</v>
      </c>
      <c r="AF37" s="146">
        <f t="shared" si="5"/>
        <v>366.9</v>
      </c>
      <c r="AG37" s="221">
        <f t="shared" si="6"/>
        <v>-6.6437499999999998</v>
      </c>
      <c r="AH37" s="146"/>
      <c r="AI37" s="216">
        <f t="shared" si="7"/>
        <v>74.258719999999983</v>
      </c>
      <c r="AJ37" s="216">
        <f t="shared" si="8"/>
        <v>-131.91937334150273</v>
      </c>
      <c r="AK37" s="216">
        <f t="shared" si="9"/>
        <v>131.91937334150273</v>
      </c>
      <c r="AL37" s="216">
        <f t="shared" si="10"/>
        <v>206.17809334150272</v>
      </c>
      <c r="AM37" s="220">
        <f t="shared" si="11"/>
        <v>-0.56290989048109497</v>
      </c>
      <c r="AO37" s="12">
        <f>1.4/Raw!D37</f>
        <v>0.7</v>
      </c>
      <c r="AP37" s="25">
        <f>(Raw!AO37+0.39)/2.16</f>
        <v>0.70943455568122105</v>
      </c>
      <c r="AQ37" s="252">
        <f>Raw!E37/(AP37*5.9)*(1-EXP(-AP37*5.9))</f>
        <v>8.3628849569214028E-2</v>
      </c>
      <c r="AR37" s="253">
        <f t="shared" si="16"/>
        <v>1.5212103600110711</v>
      </c>
      <c r="AT37" s="189">
        <f t="shared" si="17"/>
        <v>1.2184894983688681</v>
      </c>
      <c r="AU37" s="189">
        <v>-11.3</v>
      </c>
      <c r="AV37" s="189">
        <f t="shared" si="18"/>
        <v>11.3</v>
      </c>
      <c r="AW37" s="189">
        <f t="shared" si="19"/>
        <v>-10.081510501631133</v>
      </c>
      <c r="AY37" s="4">
        <f t="shared" si="15"/>
        <v>1.0131960654114476</v>
      </c>
      <c r="AZ37" s="328">
        <f t="shared" si="13"/>
        <v>7.1233334424473868E-2</v>
      </c>
    </row>
    <row r="38" spans="1:210">
      <c r="A38" s="238">
        <v>41486</v>
      </c>
      <c r="B38" s="145" t="s">
        <v>1</v>
      </c>
      <c r="C38" s="281">
        <f>[2]SUM!J38</f>
        <v>26.200423550595122</v>
      </c>
      <c r="D38" s="281">
        <f>[2]SUM!J81</f>
        <v>4.6137857431322651</v>
      </c>
      <c r="E38" s="282">
        <f>[2]SUM!G38</f>
        <v>2.0343302160534833</v>
      </c>
      <c r="F38" s="282">
        <f>[2]SUM!G81</f>
        <v>0.23455840799087763</v>
      </c>
      <c r="G38" s="281">
        <f>[2]SUM!K38</f>
        <v>2.7776765893591238</v>
      </c>
      <c r="H38" s="281">
        <f>[2]SUM!K81</f>
        <v>0.26688851914686795</v>
      </c>
      <c r="I38" s="283">
        <f>-[2]SUM!C38</f>
        <v>0.74334637330564057</v>
      </c>
      <c r="J38" s="282">
        <f>[2]SUM!C81</f>
        <v>0.12732570397682114</v>
      </c>
      <c r="K38" s="284">
        <f t="shared" si="0"/>
        <v>-0.74334637330564057</v>
      </c>
      <c r="L38" s="281">
        <f>C38/Raw!$F38/Raw!$E38</f>
        <v>11.146714956238389</v>
      </c>
      <c r="M38" s="281">
        <f>D38/Raw!$F38/Raw!$E38</f>
        <v>1.9628901971198747</v>
      </c>
      <c r="N38" s="281">
        <f>G38/Raw!$F38</f>
        <v>0.36183368510974245</v>
      </c>
      <c r="O38" s="281">
        <f>H38/Raw!$F38</f>
        <v>3.476619875990463E-2</v>
      </c>
      <c r="P38" s="286">
        <f>[2]SUM!L38</f>
        <v>3.3144619086160247</v>
      </c>
      <c r="Q38" s="287">
        <f>[2]SUM!L81</f>
        <v>0.44518665711420985</v>
      </c>
      <c r="R38" s="287">
        <f>[2]SUM!R38</f>
        <v>114.68347423676786</v>
      </c>
      <c r="S38" s="287">
        <f t="shared" si="20"/>
        <v>111.83781</v>
      </c>
      <c r="T38" s="287">
        <f>[2]SUM!S38</f>
        <v>-105.25784646007871</v>
      </c>
      <c r="U38" s="10">
        <f t="shared" si="1"/>
        <v>105.25784646007871</v>
      </c>
      <c r="V38" s="10">
        <f t="shared" si="2"/>
        <v>6.5799635399212946</v>
      </c>
      <c r="W38" s="12">
        <f t="shared" si="3"/>
        <v>1.0625128079398516</v>
      </c>
      <c r="X38" s="151">
        <v>111.83781</v>
      </c>
      <c r="Y38" s="151"/>
      <c r="Z38" s="151"/>
      <c r="AA38" s="151"/>
      <c r="AB38" s="151"/>
      <c r="AC38" s="146">
        <f>VLOOKUP(Raw!$A38,'SP02'!$A$3:$Z$176,22,0)</f>
        <v>298.3518518518519</v>
      </c>
      <c r="AD38" s="146">
        <f>VLOOKUP(Raw!$A38,'SP02'!$A$3:$Z$176,23,0)</f>
        <v>48</v>
      </c>
      <c r="AE38" s="146">
        <f t="shared" si="4"/>
        <v>-48</v>
      </c>
      <c r="AF38" s="146">
        <f t="shared" si="5"/>
        <v>346.3518518518519</v>
      </c>
      <c r="AG38" s="221">
        <f t="shared" si="6"/>
        <v>-6.2156635802469147</v>
      </c>
      <c r="AH38" s="146"/>
      <c r="AI38" s="216">
        <f t="shared" si="7"/>
        <v>186.51404185185191</v>
      </c>
      <c r="AJ38" s="216">
        <f t="shared" si="8"/>
        <v>-153.25784646007872</v>
      </c>
      <c r="AK38" s="216">
        <f t="shared" si="9"/>
        <v>153.25784646007872</v>
      </c>
      <c r="AL38" s="216">
        <f t="shared" si="10"/>
        <v>339.77188831193064</v>
      </c>
      <c r="AM38" s="220">
        <f t="shared" si="11"/>
        <v>-1.2169950587191365</v>
      </c>
      <c r="AO38" s="12">
        <f>1.4/Raw!D38</f>
        <v>0.7</v>
      </c>
      <c r="AP38" s="25">
        <f>(Raw!AO38+0.39)/2.16</f>
        <v>0.90693487030217101</v>
      </c>
      <c r="AQ38" s="252">
        <f>Raw!E38/(AP38*5.9)*(1-EXP(-AP38*5.9))</f>
        <v>5.6950233765376161E-2</v>
      </c>
      <c r="AR38" s="253">
        <f t="shared" si="16"/>
        <v>0.47438049426086809</v>
      </c>
      <c r="AT38" s="189">
        <f t="shared" si="17"/>
        <v>0.37997877590295537</v>
      </c>
      <c r="AU38" s="189">
        <v>-11.3</v>
      </c>
      <c r="AV38" s="189">
        <f t="shared" si="18"/>
        <v>11.3</v>
      </c>
      <c r="AW38" s="189">
        <f t="shared" si="19"/>
        <v>-10.920021224097045</v>
      </c>
      <c r="AY38" s="4">
        <f t="shared" si="15"/>
        <v>1.0131960654114476</v>
      </c>
      <c r="AZ38" s="328">
        <f t="shared" si="13"/>
        <v>5.679250513827272E-2</v>
      </c>
    </row>
    <row r="39" spans="1:210">
      <c r="A39" s="238">
        <v>41493</v>
      </c>
      <c r="B39" s="145" t="s">
        <v>1</v>
      </c>
      <c r="C39" s="281">
        <f>[2]SUM!J39</f>
        <v>17.868666641707172</v>
      </c>
      <c r="D39" s="281">
        <f>[2]SUM!J82</f>
        <v>7.6918859539352082</v>
      </c>
      <c r="E39" s="282">
        <f>[2]SUM!G39</f>
        <v>1.5934319657347344</v>
      </c>
      <c r="F39" s="282">
        <f>[2]SUM!G82</f>
        <v>0.2725282111031132</v>
      </c>
      <c r="G39" s="281">
        <f>[2]SUM!K39</f>
        <v>1.9082059865280301</v>
      </c>
      <c r="H39" s="281">
        <f>[2]SUM!K82</f>
        <v>0.47142828435147921</v>
      </c>
      <c r="I39" s="283">
        <f>-[2]SUM!C39</f>
        <v>0.31477402079329553</v>
      </c>
      <c r="J39" s="282">
        <f>[2]SUM!C82</f>
        <v>0.38467258992488157</v>
      </c>
      <c r="K39" s="284">
        <f t="shared" si="0"/>
        <v>-0.31477402079329553</v>
      </c>
      <c r="L39" s="281">
        <f>C39/Raw!$F39/Raw!$E39</f>
        <v>3.6842377023443817</v>
      </c>
      <c r="M39" s="281">
        <f>D39/Raw!$F39/Raw!$E39</f>
        <v>1.5859457676308069</v>
      </c>
      <c r="N39" s="281">
        <f>G39/Raw!$F39</f>
        <v>0.21559434934067717</v>
      </c>
      <c r="O39" s="281">
        <f>H39/Raw!$F39</f>
        <v>5.3263261379070163E-2</v>
      </c>
      <c r="P39" s="286">
        <f>[2]SUM!L39</f>
        <v>3.8988989940592127</v>
      </c>
      <c r="Q39" s="287">
        <f>[2]SUM!L82</f>
        <v>0.43723443441000437</v>
      </c>
      <c r="R39" s="287">
        <f>[2]SUM!R39</f>
        <v>74.325187868330062</v>
      </c>
      <c r="S39" s="287">
        <f t="shared" si="20"/>
        <v>65.535889999999995</v>
      </c>
      <c r="T39" s="287">
        <f>[2]SUM!S39</f>
        <v>-44.572001344330651</v>
      </c>
      <c r="U39" s="10">
        <f t="shared" si="1"/>
        <v>44.572001344330651</v>
      </c>
      <c r="V39" s="10">
        <f t="shared" si="2"/>
        <v>20.963888655669344</v>
      </c>
      <c r="W39" s="12">
        <f t="shared" si="3"/>
        <v>1.4703376115808147</v>
      </c>
      <c r="X39" s="151">
        <v>65.535889999999995</v>
      </c>
      <c r="Y39" s="151"/>
      <c r="Z39" s="151"/>
      <c r="AA39" s="151"/>
      <c r="AB39" s="151"/>
      <c r="AC39" s="146">
        <f>VLOOKUP(Raw!$A39,'SP02'!$A$3:$Z$176,22,0)</f>
        <v>530.82307692307688</v>
      </c>
      <c r="AD39" s="146">
        <f>VLOOKUP(Raw!$A39,'SP02'!$A$3:$Z$176,23,0)</f>
        <v>48</v>
      </c>
      <c r="AE39" s="146">
        <f t="shared" si="4"/>
        <v>-48</v>
      </c>
      <c r="AF39" s="146">
        <f t="shared" si="5"/>
        <v>578.82307692307688</v>
      </c>
      <c r="AG39" s="221">
        <f t="shared" si="6"/>
        <v>-11.058814102564101</v>
      </c>
      <c r="AH39" s="146"/>
      <c r="AI39" s="216">
        <f t="shared" si="7"/>
        <v>465.28718692307689</v>
      </c>
      <c r="AJ39" s="216">
        <f t="shared" si="8"/>
        <v>-92.572001344330658</v>
      </c>
      <c r="AK39" s="216">
        <f t="shared" si="9"/>
        <v>92.572001344330658</v>
      </c>
      <c r="AL39" s="216">
        <f t="shared" si="10"/>
        <v>557.85918826740749</v>
      </c>
      <c r="AM39" s="220">
        <f t="shared" si="11"/>
        <v>-5.0262193769841428</v>
      </c>
      <c r="AO39" s="12">
        <f>1.4/Raw!D39</f>
        <v>0.7</v>
      </c>
      <c r="AP39" s="25">
        <f>(Raw!AO39+0.39)/2.16</f>
        <v>0.95047200701454848</v>
      </c>
      <c r="AQ39" s="252">
        <f>Raw!E39/(AP39*5.9)*(1-EXP(-AP39*5.9))</f>
        <v>9.735737213897061E-2</v>
      </c>
      <c r="AR39" s="253">
        <f t="shared" si="16"/>
        <v>0.36691881959932127</v>
      </c>
      <c r="AT39" s="189">
        <f t="shared" si="17"/>
        <v>0.29390197449905636</v>
      </c>
      <c r="AU39" s="189">
        <v>-11.3</v>
      </c>
      <c r="AV39" s="189">
        <f t="shared" si="18"/>
        <v>11.3</v>
      </c>
      <c r="AW39" s="189">
        <f t="shared" si="19"/>
        <v>-11.006098025500945</v>
      </c>
      <c r="AY39" s="4">
        <f t="shared" si="15"/>
        <v>1.0131960654114476</v>
      </c>
      <c r="AZ39" s="328">
        <f t="shared" si="13"/>
        <v>0.13411685824351921</v>
      </c>
    </row>
    <row r="40" spans="1:210">
      <c r="A40" s="238">
        <v>41500</v>
      </c>
      <c r="B40" s="145" t="s">
        <v>1</v>
      </c>
      <c r="C40" s="281">
        <f>[2]SUM!J40</f>
        <v>24.883562880603417</v>
      </c>
      <c r="D40" s="281">
        <f>[2]SUM!J83</f>
        <v>9.1906527560622422</v>
      </c>
      <c r="E40" s="282">
        <f>[2]SUM!G40</f>
        <v>2.6770338825283235</v>
      </c>
      <c r="F40" s="282">
        <f>[2]SUM!G83</f>
        <v>0.38042452118194114</v>
      </c>
      <c r="G40" s="281">
        <f>[2]SUM!K40</f>
        <v>3.0674896309837001</v>
      </c>
      <c r="H40" s="281">
        <f>[2]SUM!K83</f>
        <v>0.58633055042424775</v>
      </c>
      <c r="I40" s="283">
        <f>-[2]SUM!C40</f>
        <v>0.39045574845537634</v>
      </c>
      <c r="J40" s="282">
        <f>[2]SUM!C83</f>
        <v>0.4461621880485751</v>
      </c>
      <c r="K40" s="284">
        <f t="shared" si="0"/>
        <v>-0.39045574845537634</v>
      </c>
      <c r="L40" s="281">
        <f>C40/Raw!$F40/Raw!$E40</f>
        <v>6.2952929789357288</v>
      </c>
      <c r="M40" s="281">
        <f>D40/Raw!$F40/Raw!$E40</f>
        <v>2.3251433906265397</v>
      </c>
      <c r="N40" s="281">
        <f>G40/Raw!$F40</f>
        <v>0.30909810872467758</v>
      </c>
      <c r="O40" s="281">
        <f>H40/Raw!$F40</f>
        <v>5.9082078841621095E-2</v>
      </c>
      <c r="P40" s="286">
        <f>[2]SUM!L40</f>
        <v>9.1489718936791444</v>
      </c>
      <c r="Q40" s="287">
        <f>[2]SUM!L83</f>
        <v>0.59009179628431807</v>
      </c>
      <c r="R40" s="287">
        <f>[2]SUM!R40</f>
        <v>102.29253006963</v>
      </c>
      <c r="S40" s="287">
        <f t="shared" si="20"/>
        <v>60.215060000000001</v>
      </c>
      <c r="T40" s="287">
        <f>[2]SUM!S40</f>
        <v>-55.28853398128129</v>
      </c>
      <c r="U40" s="10">
        <f t="shared" si="1"/>
        <v>55.28853398128129</v>
      </c>
      <c r="V40" s="10">
        <f t="shared" si="2"/>
        <v>4.926526018718711</v>
      </c>
      <c r="W40" s="12">
        <f t="shared" si="3"/>
        <v>1.0891057451511854</v>
      </c>
      <c r="X40" s="151">
        <v>60.215060000000001</v>
      </c>
      <c r="Y40" s="151"/>
      <c r="Z40" s="151"/>
      <c r="AA40" s="151"/>
      <c r="AB40" s="151"/>
      <c r="AC40" s="146">
        <f>VLOOKUP(Raw!$A40,'SP02'!$A$3:$Z$176,22,0)</f>
        <v>381.45</v>
      </c>
      <c r="AD40" s="146">
        <f>VLOOKUP(Raw!$A40,'SP02'!$A$3:$Z$176,23,0)</f>
        <v>48</v>
      </c>
      <c r="AE40" s="146">
        <f t="shared" si="4"/>
        <v>-48</v>
      </c>
      <c r="AF40" s="146">
        <f t="shared" si="5"/>
        <v>429.45</v>
      </c>
      <c r="AG40" s="221">
        <f t="shared" si="6"/>
        <v>-7.9468749999999995</v>
      </c>
      <c r="AH40" s="146"/>
      <c r="AI40" s="216">
        <f t="shared" si="7"/>
        <v>321.23493999999999</v>
      </c>
      <c r="AJ40" s="216">
        <f t="shared" si="8"/>
        <v>-103.28853398128129</v>
      </c>
      <c r="AK40" s="216">
        <f t="shared" si="9"/>
        <v>103.28853398128129</v>
      </c>
      <c r="AL40" s="216">
        <f t="shared" si="10"/>
        <v>424.52347398128131</v>
      </c>
      <c r="AM40" s="220">
        <f t="shared" si="11"/>
        <v>-3.1100735736864711</v>
      </c>
      <c r="AO40" s="12">
        <f>1.4/Raw!D40</f>
        <v>0.93333333333333324</v>
      </c>
      <c r="AP40" s="25">
        <f>(Raw!AO40+0.39)/2.16</f>
        <v>1.0457907368027681</v>
      </c>
      <c r="AQ40" s="252">
        <f>Raw!E40/(AP40*5.9)*(1-EXP(-AP40*5.9))</f>
        <v>6.4417526718042808E-2</v>
      </c>
      <c r="AR40" s="253">
        <f t="shared" si="16"/>
        <v>0.20908902492163117</v>
      </c>
      <c r="AT40" s="189">
        <f t="shared" si="17"/>
        <v>0.16748030896222657</v>
      </c>
      <c r="AU40" s="189">
        <v>-11.3</v>
      </c>
      <c r="AV40" s="189">
        <f t="shared" si="18"/>
        <v>11.3</v>
      </c>
      <c r="AW40" s="189">
        <f t="shared" si="19"/>
        <v>-11.132519691037775</v>
      </c>
      <c r="AY40" s="4">
        <f t="shared" si="15"/>
        <v>1.0344567632233959</v>
      </c>
      <c r="AZ40" s="328">
        <f t="shared" si="13"/>
        <v>0.11038988490967028</v>
      </c>
    </row>
    <row r="41" spans="1:210">
      <c r="A41" s="238">
        <v>41507</v>
      </c>
      <c r="B41" s="145" t="s">
        <v>1</v>
      </c>
      <c r="C41" s="281">
        <f>[2]SUM!J41</f>
        <v>39.090237169460067</v>
      </c>
      <c r="D41" s="281">
        <f>[2]SUM!J84</f>
        <v>6.4019703910369063</v>
      </c>
      <c r="E41" s="282">
        <f>[2]SUM!G41</f>
        <v>1.1520677262079853</v>
      </c>
      <c r="F41" s="282">
        <f>[2]SUM!G84</f>
        <v>0.37127167863170624</v>
      </c>
      <c r="G41" s="281">
        <f>[2]SUM!K41</f>
        <v>2.629943904186427</v>
      </c>
      <c r="H41" s="281">
        <f>[2]SUM!K84</f>
        <v>0.48675499633666908</v>
      </c>
      <c r="I41" s="283">
        <f>-[2]SUM!C41</f>
        <v>1.4778761779784417</v>
      </c>
      <c r="J41" s="282">
        <f>[2]SUM!C84</f>
        <v>0.31478209463803014</v>
      </c>
      <c r="K41" s="284">
        <f t="shared" si="0"/>
        <v>-1.4778761779784417</v>
      </c>
      <c r="L41" s="281">
        <f>C41/Raw!$F41/Raw!$E41</f>
        <v>6.8355969064851898</v>
      </c>
      <c r="M41" s="281">
        <f>D41/Raw!$F41/Raw!$E41</f>
        <v>1.1194940775281592</v>
      </c>
      <c r="N41" s="281">
        <f>G41/Raw!$F41</f>
        <v>0.23959403925172426</v>
      </c>
      <c r="O41" s="281">
        <f>H41/Raw!$F41</f>
        <v>4.4344518342241332E-2</v>
      </c>
      <c r="P41" s="286">
        <f>[2]SUM!L41</f>
        <v>3.5888101695348293</v>
      </c>
      <c r="Q41" s="287">
        <f>[2]SUM!L84</f>
        <v>0.6472396492616791</v>
      </c>
      <c r="R41" s="287">
        <f>[2]SUM!R41</f>
        <v>122.84790873204568</v>
      </c>
      <c r="S41" s="287">
        <f t="shared" si="20"/>
        <v>68.688079999999999</v>
      </c>
      <c r="T41" s="287">
        <f>[2]SUM!S41</f>
        <v>-209.26726680174735</v>
      </c>
      <c r="U41" s="10">
        <f t="shared" si="1"/>
        <v>209.26726680174735</v>
      </c>
      <c r="V41" s="10">
        <f t="shared" si="2"/>
        <v>-140.57918680174737</v>
      </c>
      <c r="W41" s="12">
        <f t="shared" si="3"/>
        <v>0.32823136197918967</v>
      </c>
      <c r="X41" s="151">
        <v>68.688079999999999</v>
      </c>
      <c r="Y41" s="151"/>
      <c r="Z41" s="151"/>
      <c r="AA41" s="151"/>
      <c r="AB41" s="151"/>
      <c r="AC41" s="146">
        <f>VLOOKUP(Raw!$A41,'SP02'!$A$3:$Z$176,22,0)</f>
        <v>505.32115384615378</v>
      </c>
      <c r="AD41" s="146">
        <f>VLOOKUP(Raw!$A41,'SP02'!$A$3:$Z$176,23,0)</f>
        <v>48</v>
      </c>
      <c r="AE41" s="146">
        <f t="shared" si="4"/>
        <v>-48</v>
      </c>
      <c r="AF41" s="146">
        <f t="shared" si="5"/>
        <v>553.32115384615372</v>
      </c>
      <c r="AG41" s="221">
        <f t="shared" si="6"/>
        <v>-10.527524038461538</v>
      </c>
      <c r="AH41" s="146"/>
      <c r="AI41" s="216">
        <f t="shared" si="7"/>
        <v>436.63307384615376</v>
      </c>
      <c r="AJ41" s="216">
        <f t="shared" si="8"/>
        <v>-257.26726680174738</v>
      </c>
      <c r="AK41" s="216">
        <f t="shared" si="9"/>
        <v>257.26726680174738</v>
      </c>
      <c r="AL41" s="216">
        <f t="shared" si="10"/>
        <v>693.9003406479012</v>
      </c>
      <c r="AM41" s="220">
        <f t="shared" si="11"/>
        <v>-1.6971963797579712</v>
      </c>
      <c r="AO41" s="12">
        <f>1.4/Raw!D41</f>
        <v>1.1199999999999999</v>
      </c>
      <c r="AP41" s="25">
        <f>(Raw!AO41+0.39)/2.16</f>
        <v>0.88731241068769329</v>
      </c>
      <c r="AQ41" s="252">
        <f>Raw!E41/(AP41*5.9)*(1-EXP(-AP41*5.9))</f>
        <v>9.8985950185157601E-2</v>
      </c>
      <c r="AR41" s="253">
        <f t="shared" si="16"/>
        <v>0.532606161436318</v>
      </c>
      <c r="AT41" s="189">
        <f t="shared" si="17"/>
        <v>0.42661753531049074</v>
      </c>
      <c r="AU41" s="189">
        <v>-11.3</v>
      </c>
      <c r="AV41" s="189">
        <f t="shared" si="18"/>
        <v>11.3</v>
      </c>
      <c r="AW41" s="189">
        <f t="shared" si="19"/>
        <v>-10.873382464689509</v>
      </c>
      <c r="AY41" s="4">
        <f t="shared" si="15"/>
        <v>1.0517860886024712</v>
      </c>
      <c r="AZ41" s="328">
        <f t="shared" si="13"/>
        <v>2.9653648263268495E-2</v>
      </c>
    </row>
    <row r="42" spans="1:210">
      <c r="A42" s="238">
        <v>41521</v>
      </c>
      <c r="B42" s="145" t="s">
        <v>1</v>
      </c>
      <c r="C42" s="281">
        <f>[2]SUM!J42</f>
        <v>32.126683795026139</v>
      </c>
      <c r="D42" s="281">
        <f>[2]SUM!J85</f>
        <v>9.7977097724749882</v>
      </c>
      <c r="E42" s="282">
        <f>[2]SUM!G42</f>
        <v>2.9547094686638053</v>
      </c>
      <c r="F42" s="282">
        <f>[2]SUM!G85</f>
        <v>0.20510865764866462</v>
      </c>
      <c r="G42" s="281">
        <f>[2]SUM!K42</f>
        <v>3.948316275942549</v>
      </c>
      <c r="H42" s="281">
        <f>[2]SUM!K85</f>
        <v>0.25816967308551209</v>
      </c>
      <c r="I42" s="283">
        <f>-[2]SUM!C42</f>
        <v>0.99360680727874384</v>
      </c>
      <c r="J42" s="282">
        <f>[2]SUM!C85</f>
        <v>0.15678653851221755</v>
      </c>
      <c r="K42" s="284">
        <f t="shared" si="0"/>
        <v>-0.99360680727874384</v>
      </c>
      <c r="L42" s="281">
        <f>C42/Raw!$F42/Raw!$E42</f>
        <v>8.7182201472268019</v>
      </c>
      <c r="M42" s="281">
        <f>D42/Raw!$F42/Raw!$E42</f>
        <v>2.6588051004597273</v>
      </c>
      <c r="N42" s="281">
        <f>G42/Raw!$F42</f>
        <v>0.58719754252566159</v>
      </c>
      <c r="O42" s="281">
        <f>H42/Raw!$F42</f>
        <v>3.8395251797369433E-2</v>
      </c>
      <c r="P42" s="286">
        <f>[2]SUM!L42</f>
        <v>0.38537131467797847</v>
      </c>
      <c r="Q42" s="287">
        <f>[2]SUM!L85</f>
        <v>0.23393409937660425</v>
      </c>
      <c r="R42" s="287">
        <f>[2]SUM!R42</f>
        <v>188.93593345177879</v>
      </c>
      <c r="S42" s="287">
        <f t="shared" si="20"/>
        <v>669.90070000000003</v>
      </c>
      <c r="T42" s="287">
        <f>[2]SUM!S42</f>
        <v>-140.69472391067012</v>
      </c>
      <c r="U42" s="10">
        <f t="shared" si="1"/>
        <v>140.69472391067012</v>
      </c>
      <c r="V42" s="10">
        <f t="shared" si="2"/>
        <v>529.20597608932985</v>
      </c>
      <c r="W42" s="12">
        <f t="shared" si="3"/>
        <v>4.7613775511961149</v>
      </c>
      <c r="X42" s="151">
        <v>669.90070000000003</v>
      </c>
      <c r="Y42" s="151"/>
      <c r="Z42" s="151"/>
      <c r="AA42" s="151"/>
      <c r="AB42" s="151"/>
      <c r="AC42" s="253">
        <f>VLOOKUP(Raw!$A42,'SP02'!$A$3:$Z$176,22,0)</f>
        <v>509.60200000000003</v>
      </c>
      <c r="AD42" s="146">
        <f>VLOOKUP(Raw!$A42,'SP02'!$A$3:$Z$176,23,0)</f>
        <v>48</v>
      </c>
      <c r="AE42" s="146">
        <f t="shared" si="4"/>
        <v>-48</v>
      </c>
      <c r="AF42" s="146">
        <f t="shared" si="5"/>
        <v>557.60200000000009</v>
      </c>
      <c r="AG42" s="221">
        <f t="shared" si="6"/>
        <v>-10.616708333333333</v>
      </c>
      <c r="AH42" s="146"/>
      <c r="AI42" s="189">
        <f>AC42-S42</f>
        <v>-160.2987</v>
      </c>
      <c r="AJ42" s="216">
        <f>AE42-U42</f>
        <v>-188.69472391067012</v>
      </c>
      <c r="AK42" s="216">
        <f>-AJ42</f>
        <v>188.69472391067012</v>
      </c>
      <c r="AL42" s="216">
        <f>AI42-AJ42</f>
        <v>28.396023910670124</v>
      </c>
      <c r="AM42" s="220">
        <f>AI42/AJ42</f>
        <v>0.8495134186999681</v>
      </c>
      <c r="AO42" s="12">
        <f>1.4/Raw!D42</f>
        <v>0.79999999999999993</v>
      </c>
      <c r="AP42" s="25">
        <f>(Raw!AO42+0.39)/2.16</f>
        <v>0.65933328153098425</v>
      </c>
      <c r="AQ42" s="252">
        <f>Raw!E42/(AP42*5.9)*(1-EXP(-AP42*5.9))</f>
        <v>0.13800112488060418</v>
      </c>
      <c r="AR42" s="253">
        <f t="shared" si="16"/>
        <v>2.0443989308675952</v>
      </c>
      <c r="AT42" s="189">
        <f t="shared" si="17"/>
        <v>1.6375635436249438</v>
      </c>
      <c r="AU42" s="189">
        <v>-11.3</v>
      </c>
      <c r="AV42" s="189">
        <f t="shared" si="18"/>
        <v>11.3</v>
      </c>
      <c r="AW42" s="189">
        <f t="shared" si="19"/>
        <v>-9.6624364563750564</v>
      </c>
      <c r="AY42" s="4">
        <f t="shared" si="15"/>
        <v>1.0222537573344308</v>
      </c>
      <c r="AZ42" s="328">
        <f t="shared" si="13"/>
        <v>4.2867969747767742E-2</v>
      </c>
    </row>
    <row r="43" spans="1:210">
      <c r="A43" s="238">
        <v>41528</v>
      </c>
      <c r="B43" s="145" t="s">
        <v>1</v>
      </c>
      <c r="C43" s="281">
        <f>[2]SUM!J43</f>
        <v>28.027351102961362</v>
      </c>
      <c r="D43" s="281">
        <f>[2]SUM!J86</f>
        <v>10.636894728793477</v>
      </c>
      <c r="E43" s="282">
        <f>[2]SUM!G43</f>
        <v>2.1996851965087587</v>
      </c>
      <c r="F43" s="282">
        <f>[2]SUM!G86</f>
        <v>0.65682235917373344</v>
      </c>
      <c r="G43" s="281">
        <f>[2]SUM!K43</f>
        <v>2.4572552468220445</v>
      </c>
      <c r="H43" s="281">
        <f>[2]SUM!K86</f>
        <v>0.70541186769710473</v>
      </c>
      <c r="I43" s="283">
        <f>-[2]SUM!C43</f>
        <v>0.25757005031328578</v>
      </c>
      <c r="J43" s="282">
        <f>[2]SUM!C86</f>
        <v>0.25727473948557134</v>
      </c>
      <c r="K43" s="284">
        <f t="shared" si="0"/>
        <v>-0.25757005031328578</v>
      </c>
      <c r="L43" s="281">
        <f>C43/Raw!$F43/Raw!$E43</f>
        <v>9.7683685016435007</v>
      </c>
      <c r="M43" s="281">
        <f>D43/Raw!$F43/Raw!$E43</f>
        <v>3.7072753340955367</v>
      </c>
      <c r="N43" s="281">
        <f>G43/Raw!$F43</f>
        <v>0.5220797266619075</v>
      </c>
      <c r="O43" s="281">
        <f>H43/Raw!$F43</f>
        <v>0.14987504271184943</v>
      </c>
      <c r="P43" s="286">
        <f>[2]SUM!L43</f>
        <v>3.9737372418988035</v>
      </c>
      <c r="Q43" s="287">
        <f>[2]SUM!L86</f>
        <v>0.89196427564938363</v>
      </c>
      <c r="R43" s="287">
        <f>[2]SUM!R43</f>
        <v>136.00083463940541</v>
      </c>
      <c r="S43" s="287">
        <f t="shared" si="20"/>
        <v>302.64161999999999</v>
      </c>
      <c r="T43" s="296">
        <f>[2]SUM!S43</f>
        <v>-36.471919124361264</v>
      </c>
      <c r="U43" s="253">
        <f t="shared" si="1"/>
        <v>36.471919124361264</v>
      </c>
      <c r="V43" s="10">
        <f t="shared" si="2"/>
        <v>266.16970087563874</v>
      </c>
      <c r="W43" s="12">
        <f t="shared" si="3"/>
        <v>8.297935158499838</v>
      </c>
      <c r="X43" s="151">
        <v>302.64161999999999</v>
      </c>
      <c r="Y43" s="151"/>
      <c r="Z43" s="151"/>
      <c r="AA43" s="151"/>
      <c r="AB43" s="151"/>
      <c r="AC43" s="146">
        <f>VLOOKUP(Raw!$A43,'SP02'!$A$3:$Z$176,22,0)</f>
        <v>541.01199999999994</v>
      </c>
      <c r="AD43" s="146">
        <f>VLOOKUP(Raw!$A43,'SP02'!$A$3:$Z$176,23,0)</f>
        <v>48</v>
      </c>
      <c r="AE43" s="146">
        <f t="shared" si="4"/>
        <v>-48</v>
      </c>
      <c r="AF43" s="146">
        <f t="shared" si="5"/>
        <v>589.01199999999994</v>
      </c>
      <c r="AG43" s="221">
        <f t="shared" si="6"/>
        <v>-11.271083333333332</v>
      </c>
      <c r="AH43" s="146"/>
      <c r="AI43" s="216">
        <f t="shared" si="7"/>
        <v>238.37037999999995</v>
      </c>
      <c r="AJ43" s="189">
        <f t="shared" si="8"/>
        <v>-84.471919124361264</v>
      </c>
      <c r="AK43" s="189">
        <f t="shared" si="9"/>
        <v>84.471919124361264</v>
      </c>
      <c r="AL43" s="216">
        <f t="shared" si="10"/>
        <v>322.8422991243612</v>
      </c>
      <c r="AM43" s="220">
        <f t="shared" si="11"/>
        <v>-2.8218890072695788</v>
      </c>
      <c r="AO43" s="12">
        <f>1.4/Raw!D43</f>
        <v>0.50909090909090904</v>
      </c>
      <c r="AP43" s="25">
        <f>(Raw!AO43+0.39)/2.16</f>
        <v>0.60602271004728148</v>
      </c>
      <c r="AQ43" s="252">
        <f>Raw!E43/(AP43*5.9)*(1-EXP(-AP43*5.9))</f>
        <v>0.16571877779870328</v>
      </c>
      <c r="AR43" s="253">
        <f t="shared" si="16"/>
        <v>2.8000469830724977</v>
      </c>
      <c r="AT43" s="189">
        <f t="shared" si="17"/>
        <v>2.2428376334410709</v>
      </c>
      <c r="AU43" s="189">
        <v>-11.3</v>
      </c>
      <c r="AV43" s="189">
        <f t="shared" si="18"/>
        <v>11.3</v>
      </c>
      <c r="AW43" s="189">
        <f t="shared" si="19"/>
        <v>-9.0571623665589307</v>
      </c>
      <c r="AY43" s="4">
        <f t="shared" si="15"/>
        <v>0.99612636865930182</v>
      </c>
      <c r="AZ43" s="328">
        <f t="shared" si="13"/>
        <v>0.16114165956143137</v>
      </c>
    </row>
    <row r="44" spans="1:210">
      <c r="A44" s="170">
        <v>41542</v>
      </c>
      <c r="B44" s="145" t="s">
        <v>1</v>
      </c>
      <c r="C44" s="281">
        <f>[2]SUM!J44</f>
        <v>34.929359864855329</v>
      </c>
      <c r="D44" s="281">
        <f>[2]SUM!J87</f>
        <v>7.253100144711258</v>
      </c>
      <c r="E44" s="282">
        <f>[2]SUM!G44</f>
        <v>2.9192190157233147</v>
      </c>
      <c r="F44" s="282">
        <f>[2]SUM!G87</f>
        <v>0.37394443377444192</v>
      </c>
      <c r="G44" s="281">
        <f>[2]SUM!K44</f>
        <v>3.187832686729319</v>
      </c>
      <c r="H44" s="281">
        <f>[2]SUM!K87</f>
        <v>0.42623033225812107</v>
      </c>
      <c r="I44" s="283">
        <f>-[2]SUM!C44</f>
        <v>0.26861367100600425</v>
      </c>
      <c r="J44" s="282">
        <f>[2]SUM!C87</f>
        <v>0.20454304335757875</v>
      </c>
      <c r="K44" s="284">
        <f t="shared" si="0"/>
        <v>-0.26861367100600425</v>
      </c>
      <c r="L44" s="281">
        <f>C44/Raw!$F44/Raw!$E44</f>
        <v>12.632595697128446</v>
      </c>
      <c r="M44" s="281">
        <f>D44/Raw!$F44/Raw!$E44</f>
        <v>2.6231652121146207</v>
      </c>
      <c r="N44" s="281">
        <f>G44/Raw!$F44</f>
        <v>0.59165417348354099</v>
      </c>
      <c r="O44" s="281">
        <f>H44/Raw!$F44</f>
        <v>7.9107337093192481E-2</v>
      </c>
      <c r="P44" s="286">
        <f>[2]SUM!L44</f>
        <v>2.2733689458029613</v>
      </c>
      <c r="Q44" s="287">
        <f>[2]SUM!L87</f>
        <v>0.51895212795486645</v>
      </c>
      <c r="R44" s="287">
        <f>[2]SUM!R44</f>
        <v>191.17658272091239</v>
      </c>
      <c r="S44" s="287">
        <f t="shared" si="20"/>
        <v>194.71681000000001</v>
      </c>
      <c r="T44" s="287">
        <f>[2]SUM!S44</f>
        <v>-38.0356958144502</v>
      </c>
      <c r="U44" s="10">
        <f t="shared" si="1"/>
        <v>38.0356958144502</v>
      </c>
      <c r="V44" s="10">
        <f t="shared" si="2"/>
        <v>156.6811141855498</v>
      </c>
      <c r="W44" s="12">
        <f t="shared" si="3"/>
        <v>5.1193176785798364</v>
      </c>
      <c r="X44" s="151">
        <v>194.71681000000001</v>
      </c>
      <c r="Y44" s="151"/>
      <c r="Z44" s="151"/>
      <c r="AA44" s="151"/>
      <c r="AB44" s="151"/>
      <c r="AC44" s="146">
        <f>VLOOKUP(Raw!$A44,'SP02'!$A$3:$Z$176,22,0)</f>
        <v>494.86041666666671</v>
      </c>
      <c r="AD44" s="146">
        <f>VLOOKUP(Raw!$A44,'SP02'!$A$3:$Z$176,23,0)</f>
        <v>49</v>
      </c>
      <c r="AE44" s="146">
        <f t="shared" si="4"/>
        <v>-49</v>
      </c>
      <c r="AF44" s="146">
        <f t="shared" si="5"/>
        <v>543.86041666666665</v>
      </c>
      <c r="AG44" s="221">
        <f t="shared" si="6"/>
        <v>-10.09919217687075</v>
      </c>
      <c r="AH44" s="146"/>
      <c r="AI44" s="216">
        <f t="shared" si="7"/>
        <v>300.1436066666667</v>
      </c>
      <c r="AJ44" s="216">
        <f t="shared" si="8"/>
        <v>-87.035695814450207</v>
      </c>
      <c r="AK44" s="216">
        <f t="shared" si="9"/>
        <v>87.035695814450207</v>
      </c>
      <c r="AL44" s="216">
        <f t="shared" si="10"/>
        <v>387.17930248111691</v>
      </c>
      <c r="AM44" s="220">
        <f t="shared" si="11"/>
        <v>-3.4485116004189513</v>
      </c>
      <c r="AO44" s="12">
        <f>1.4/Raw!D44</f>
        <v>0.55999999999999994</v>
      </c>
      <c r="AP44" s="25">
        <f>(Raw!AO44+0.39)/2.16</f>
        <v>0.48127228732898408</v>
      </c>
      <c r="AQ44" s="252">
        <f>Raw!E44/(AP44*5.9)*(1-EXP(-AP44*5.9))</f>
        <v>0.17016446995918663</v>
      </c>
      <c r="AR44" s="253">
        <f t="shared" si="16"/>
        <v>5.84545064245685</v>
      </c>
      <c r="AT44" s="189">
        <f t="shared" si="17"/>
        <v>4.6822059646079373</v>
      </c>
      <c r="AU44" s="189">
        <v>-11.3</v>
      </c>
      <c r="AV44" s="189">
        <f t="shared" si="18"/>
        <v>11.3</v>
      </c>
      <c r="AW44" s="189">
        <f t="shared" si="19"/>
        <v>-6.6177940353920635</v>
      </c>
      <c r="AX44" s="79"/>
      <c r="AY44" s="4">
        <f t="shared" si="15"/>
        <v>1.0006499669462607</v>
      </c>
      <c r="AZ44" s="328">
        <f t="shared" si="13"/>
        <v>0.15521826743445569</v>
      </c>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row>
    <row r="45" spans="1:210" ht="26.4">
      <c r="A45" s="288" t="str">
        <f t="shared" ref="A45:AW45" si="21">A4&amp;".C"</f>
        <v>Date.C</v>
      </c>
      <c r="B45" s="288" t="str">
        <f t="shared" si="21"/>
        <v>Site.C</v>
      </c>
      <c r="C45" s="288" t="str">
        <f t="shared" si="21"/>
        <v>raw.slope.C</v>
      </c>
      <c r="D45" s="288" t="str">
        <f t="shared" si="21"/>
        <v>raw.slope.se.C</v>
      </c>
      <c r="E45" s="288" t="str">
        <f t="shared" si="21"/>
        <v>Pn.m.C</v>
      </c>
      <c r="F45" s="288" t="str">
        <f t="shared" si="21"/>
        <v>Pn.m.se.C</v>
      </c>
      <c r="G45" s="288" t="str">
        <f t="shared" si="21"/>
        <v>Pm.C</v>
      </c>
      <c r="H45" s="288" t="str">
        <f t="shared" si="21"/>
        <v>Pm.se.C</v>
      </c>
      <c r="I45" s="288" t="str">
        <f t="shared" si="21"/>
        <v>neg.Rn.C</v>
      </c>
      <c r="J45" s="288" t="str">
        <f t="shared" si="21"/>
        <v>Rn.se.C</v>
      </c>
      <c r="K45" s="288" t="str">
        <f t="shared" si="21"/>
        <v>Rn.C</v>
      </c>
      <c r="L45" s="288" t="str">
        <f t="shared" si="21"/>
        <v>alpha.C</v>
      </c>
      <c r="M45" s="288" t="str">
        <f t="shared" si="21"/>
        <v>alpha.se.C</v>
      </c>
      <c r="N45" s="288" t="str">
        <f t="shared" si="21"/>
        <v>Pm.chl.C</v>
      </c>
      <c r="O45" s="288" t="str">
        <f t="shared" si="21"/>
        <v>Pm.chl.se.C</v>
      </c>
      <c r="P45" s="288" t="str">
        <f t="shared" si="21"/>
        <v>NR.C</v>
      </c>
      <c r="Q45" s="288" t="str">
        <f t="shared" si="21"/>
        <v>NR.se.C</v>
      </c>
      <c r="R45" s="288" t="str">
        <f t="shared" si="21"/>
        <v>PgP_old.C</v>
      </c>
      <c r="S45" s="288" t="str">
        <f t="shared" si="21"/>
        <v>Pg.P.C</v>
      </c>
      <c r="T45" s="288" t="str">
        <f t="shared" si="21"/>
        <v>neg.Rt.P.C</v>
      </c>
      <c r="U45" s="288" t="str">
        <f t="shared" si="21"/>
        <v>Rt.P.C</v>
      </c>
      <c r="V45" s="288" t="str">
        <f t="shared" si="21"/>
        <v>NEM.P.C</v>
      </c>
      <c r="W45" s="288" t="str">
        <f t="shared" si="21"/>
        <v>P_R.P.C</v>
      </c>
      <c r="X45" s="288" t="str">
        <f t="shared" si="21"/>
        <v>Pg.P.new.C</v>
      </c>
      <c r="Y45" s="288" t="str">
        <f t="shared" si="21"/>
        <v>null.1.C</v>
      </c>
      <c r="Z45" s="288"/>
      <c r="AA45" s="288"/>
      <c r="AB45" s="288"/>
      <c r="AC45" s="288" t="str">
        <f t="shared" si="21"/>
        <v>Pg.E.C</v>
      </c>
      <c r="AD45" s="288" t="str">
        <f t="shared" si="21"/>
        <v>neg.Rt.E.C</v>
      </c>
      <c r="AE45" s="288" t="str">
        <f t="shared" si="21"/>
        <v>Rt.E.C</v>
      </c>
      <c r="AF45" s="288" t="str">
        <f t="shared" si="21"/>
        <v>NEM.E.C</v>
      </c>
      <c r="AG45" s="288" t="str">
        <f t="shared" si="21"/>
        <v>P_R.E.C</v>
      </c>
      <c r="AH45" s="288" t="str">
        <f t="shared" si="21"/>
        <v>null.2.C</v>
      </c>
      <c r="AI45" s="288" t="str">
        <f t="shared" si="21"/>
        <v>Pg.R.C</v>
      </c>
      <c r="AJ45" s="288" t="str">
        <f t="shared" si="21"/>
        <v>Rt.R.C</v>
      </c>
      <c r="AK45" s="288" t="str">
        <f t="shared" si="21"/>
        <v>neg.Rt.R.C</v>
      </c>
      <c r="AL45" s="288" t="str">
        <f t="shared" si="21"/>
        <v>NEM.R.C</v>
      </c>
      <c r="AM45" s="288" t="str">
        <f t="shared" si="21"/>
        <v>P_R.R.C</v>
      </c>
      <c r="AN45" s="288" t="str">
        <f t="shared" si="21"/>
        <v>null.3.C</v>
      </c>
      <c r="AO45" s="288" t="str">
        <f t="shared" si="21"/>
        <v>Kd.s.C</v>
      </c>
      <c r="AP45" s="288" t="str">
        <f t="shared" si="21"/>
        <v>Kd.hat.C</v>
      </c>
      <c r="AQ45" s="288" t="str">
        <f t="shared" si="21"/>
        <v>I.avg.C</v>
      </c>
      <c r="AR45" s="288" t="str">
        <f t="shared" si="21"/>
        <v>I.SWI.C</v>
      </c>
      <c r="AS45" s="288" t="str">
        <f t="shared" si="21"/>
        <v>null.4.C</v>
      </c>
      <c r="AT45" s="288" t="str">
        <f t="shared" si="21"/>
        <v>Pg.B.C</v>
      </c>
      <c r="AU45" s="288" t="str">
        <f t="shared" si="21"/>
        <v>R.B.C</v>
      </c>
      <c r="AV45" s="288" t="str">
        <f t="shared" si="21"/>
        <v>-R.B.C</v>
      </c>
      <c r="AW45" s="288" t="str">
        <f t="shared" si="21"/>
        <v>NEM.B.C</v>
      </c>
    </row>
    <row r="47" spans="1:210">
      <c r="A47" s="179" t="s">
        <v>127</v>
      </c>
      <c r="E47" s="161"/>
      <c r="F47" s="161"/>
      <c r="H47" s="180"/>
      <c r="I47" s="161"/>
      <c r="R47" s="161"/>
      <c r="S47" s="147"/>
    </row>
    <row r="48" spans="1:210">
      <c r="A48" s="18" t="s">
        <v>141</v>
      </c>
      <c r="C48" s="181"/>
      <c r="E48" s="18"/>
      <c r="F48" s="18"/>
      <c r="G48" s="181"/>
      <c r="H48" s="181"/>
      <c r="I48" s="181"/>
      <c r="K48" s="181"/>
      <c r="P48" s="181"/>
      <c r="S48" s="147"/>
      <c r="AR48" s="3"/>
    </row>
    <row r="49" spans="1:52">
      <c r="A49" s="80" t="s">
        <v>45</v>
      </c>
      <c r="C49" s="3">
        <f>AVERAGE(C5:C15)</f>
        <v>5.8730897061701395</v>
      </c>
      <c r="E49" s="3">
        <f>AVERAGE(E5:E15)</f>
        <v>0.64731938412991807</v>
      </c>
      <c r="F49" s="80"/>
      <c r="G49" s="3">
        <f>AVERAGE(G5:G15)</f>
        <v>1.2328967157977713</v>
      </c>
      <c r="H49" s="3"/>
      <c r="I49" s="3"/>
      <c r="K49" s="3">
        <f>AVERAGE(K5:K15)</f>
        <v>-0.58557733166785342</v>
      </c>
      <c r="P49" s="3">
        <f>AVERAGE(P5:P15)</f>
        <v>1.6977985997007214</v>
      </c>
      <c r="S49" s="3">
        <f>AVERAGE(S5:S15)</f>
        <v>23.877718773984881</v>
      </c>
      <c r="T49" s="3">
        <f>AVERAGE(T5:T15)</f>
        <v>-21.080783940042721</v>
      </c>
      <c r="U49" s="3">
        <f>AVERAGE(U5:U15)</f>
        <v>21.080783940042721</v>
      </c>
      <c r="V49" s="3">
        <f>AVERAGE(V5:V15)</f>
        <v>2.7969348339421556</v>
      </c>
      <c r="W49" s="3">
        <f>AVERAGE(W5:W15)</f>
        <v>1.275494279703806</v>
      </c>
      <c r="AC49" s="3">
        <f>AVERAGE(AC5:AC15)</f>
        <v>428.93785335035335</v>
      </c>
      <c r="AD49" s="3">
        <f>AVERAGE(AD5:AD15)</f>
        <v>48</v>
      </c>
      <c r="AE49" s="3">
        <f>AVERAGE(AE5:AE15)</f>
        <v>-48</v>
      </c>
      <c r="AF49" s="3">
        <f>AVERAGE(AF5:AF15)</f>
        <v>476.93785335035341</v>
      </c>
      <c r="AG49" s="3">
        <f>AVERAGE(AG5:AG15)</f>
        <v>-8.9362052781323627</v>
      </c>
      <c r="AI49" s="3">
        <f>AVERAGE(AI5:AI15)</f>
        <v>405.06013457636851</v>
      </c>
      <c r="AJ49" s="3">
        <f>AVERAGE(AJ5:AJ15)</f>
        <v>-69.080783940042735</v>
      </c>
      <c r="AK49" s="3">
        <f>AVERAGE(AK5:AK15)</f>
        <v>69.080783940042735</v>
      </c>
      <c r="AL49" s="3">
        <f>AVERAGE(AL5:AL15)</f>
        <v>474.1409185164112</v>
      </c>
      <c r="AM49" s="4">
        <f>AVERAGE(AM5:AM15)</f>
        <v>-5.892301636331144</v>
      </c>
      <c r="AR49" s="3">
        <f>AVERAGE(AR5:AR15)</f>
        <v>56.474773973029215</v>
      </c>
      <c r="AY49" s="4">
        <f>AVERAGE(AY5:AY15)</f>
        <v>0.98836951372436455</v>
      </c>
      <c r="AZ49" s="328">
        <f>AVERAGE(AZ5:AZ15)</f>
        <v>7.9080067249364325E-2</v>
      </c>
    </row>
    <row r="50" spans="1:52">
      <c r="A50" s="80" t="s">
        <v>128</v>
      </c>
      <c r="C50" s="4">
        <f>STDEV(C5:C15)/SQRT(C53)</f>
        <v>1.0593530311015598</v>
      </c>
      <c r="E50" s="4">
        <f>STDEV(E5:E15)/SQRT(E53)</f>
        <v>0.12325584658317569</v>
      </c>
      <c r="F50" s="80"/>
      <c r="G50" s="4">
        <f>STDEV(G5:G15)/SQRT(G53)</f>
        <v>0.10792184127883869</v>
      </c>
      <c r="H50" s="4"/>
      <c r="I50" s="4"/>
      <c r="K50" s="4">
        <f>STDEV(K5:K15)/SQRT(K53)</f>
        <v>6.7143126328477298E-2</v>
      </c>
      <c r="P50" s="4">
        <f>STDEV(P5:P15)/SQRT(P53)</f>
        <v>0.35507626343169296</v>
      </c>
      <c r="S50" s="4">
        <f>STDEV(S5:S15)/SQRT(S53)</f>
        <v>2.4143206753861763</v>
      </c>
      <c r="T50" s="4">
        <f>STDEV(T5:T15)/SQRT(T53)</f>
        <v>2.4171525478251823</v>
      </c>
      <c r="U50" s="4">
        <f>STDEV(U5:U15)/SQRT(U53)</f>
        <v>2.4171525478251823</v>
      </c>
      <c r="V50" s="4">
        <f>STDEV(V5:V15)/SQRT(V53)</f>
        <v>3.1058379082433789</v>
      </c>
      <c r="W50" s="4">
        <f>STDEV(W5:W15)/SQRT(W53)</f>
        <v>0.18801716221918127</v>
      </c>
      <c r="AC50" s="4">
        <f>STDEV(AC5:AC15)/SQRT(AC53)</f>
        <v>40.753409570633671</v>
      </c>
      <c r="AD50" s="4">
        <f>STDEV(AD5:AD15)/SQRT(AD53)</f>
        <v>0</v>
      </c>
      <c r="AE50" s="4">
        <f>STDEV(AE5:AE15)/SQRT(AE53)</f>
        <v>0</v>
      </c>
      <c r="AF50" s="4">
        <f>STDEV(AF5:AF15)/SQRT(AF53)</f>
        <v>40.753409570633544</v>
      </c>
      <c r="AG50" s="4">
        <f>STDEV(AG5:AG15)/SQRT(AG53)</f>
        <v>0.84902936605486568</v>
      </c>
      <c r="AI50" s="4">
        <f>STDEV(AI5:AI15)/SQRT(AI53)</f>
        <v>40.294972309802439</v>
      </c>
      <c r="AJ50" s="4">
        <f>STDEV(AJ5:AJ15)/SQRT(AJ53)</f>
        <v>2.4171525478251343</v>
      </c>
      <c r="AK50" s="4">
        <f>STDEV(AK5:AK15)/SQRT(AK53)</f>
        <v>2.4171525478251343</v>
      </c>
      <c r="AL50" s="4">
        <f>STDEV(AL5:AL15)/SQRT(AL53)</f>
        <v>40.835940439005959</v>
      </c>
      <c r="AM50" s="4">
        <f>STDEV(AM5:AM15)/SQRT(AM53)</f>
        <v>0.59926116026066401</v>
      </c>
      <c r="AR50" s="4">
        <f>STDEV(AR5:AR15)/SQRT(AR53)</f>
        <v>1.7004795965786073</v>
      </c>
      <c r="AY50" s="4">
        <f>STDEV(AY5:AY15)/SQRT(AY53)</f>
        <v>1.6903030017268665E-3</v>
      </c>
      <c r="AZ50" s="328">
        <f>STDEV(AZ5:AZ15)/SQRT(AZ53)</f>
        <v>8.0465407655527631E-3</v>
      </c>
    </row>
    <row r="51" spans="1:52">
      <c r="A51" s="80" t="s">
        <v>39</v>
      </c>
      <c r="C51" s="4">
        <f>MIN(C5:C15)</f>
        <v>2.0082207823901554</v>
      </c>
      <c r="E51" s="4">
        <f>MIN(E5:E15)</f>
        <v>-6.9223640816187301E-2</v>
      </c>
      <c r="F51" s="80"/>
      <c r="G51" s="4">
        <f>MIN(G5:G15)</f>
        <v>0.70415093669624684</v>
      </c>
      <c r="H51" s="4"/>
      <c r="I51" s="4"/>
      <c r="K51" s="4">
        <f>MIN(K5:K15)</f>
        <v>-1.0229195482778572</v>
      </c>
      <c r="P51" s="4">
        <f>MIN(P5:P15)</f>
        <v>0.28287391395291067</v>
      </c>
      <c r="S51" s="4">
        <f>MIN(S5:S15)</f>
        <v>12.574866015192491</v>
      </c>
      <c r="T51" s="4">
        <f>MIN(T5:T15)</f>
        <v>-36.825103738002859</v>
      </c>
      <c r="U51" s="4">
        <f>MIN(U5:U15)</f>
        <v>11.776028483204591</v>
      </c>
      <c r="V51" s="4">
        <f>MIN(V5:V15)</f>
        <v>-16.198369158084933</v>
      </c>
      <c r="W51" s="4">
        <f>MIN(W5:W15)</f>
        <v>0.50353677494065452</v>
      </c>
      <c r="AC51" s="4">
        <f>MIN(AC5:AC15)</f>
        <v>141.56296296296296</v>
      </c>
      <c r="AD51" s="4">
        <f>MIN(AD5:AD15)</f>
        <v>48</v>
      </c>
      <c r="AE51" s="4">
        <f>MIN(AE5:AE15)</f>
        <v>-48</v>
      </c>
      <c r="AF51" s="4">
        <f>MIN(AF5:AF15)</f>
        <v>189.56296296296296</v>
      </c>
      <c r="AG51" s="4">
        <f>MIN(AG5:AG15)</f>
        <v>-12.056674382716048</v>
      </c>
      <c r="AI51" s="4">
        <f>MIN(AI5:AI15)</f>
        <v>125.53848733579797</v>
      </c>
      <c r="AJ51" s="4">
        <f>MIN(AJ5:AJ15)</f>
        <v>-84.825103738002866</v>
      </c>
      <c r="AK51" s="4">
        <f>MIN(AK5:AK15)</f>
        <v>59.776028483204591</v>
      </c>
      <c r="AL51" s="4">
        <f>MIN(AL5:AL15)</f>
        <v>190.0504001421541</v>
      </c>
      <c r="AM51" s="4">
        <f>MIN(AM5:AM15)</f>
        <v>-8.4113796967807914</v>
      </c>
      <c r="AR51" s="4">
        <f>MIN(AR5:AR15)</f>
        <v>41.02765067381285</v>
      </c>
      <c r="AY51" s="4">
        <f>MIN(AY5:AY15)</f>
        <v>0.97730287951504313</v>
      </c>
      <c r="AZ51" s="328">
        <f>MIN(AZ5:AZ15)</f>
        <v>4.0422384238315144E-2</v>
      </c>
    </row>
    <row r="52" spans="1:52">
      <c r="A52" s="80" t="s">
        <v>38</v>
      </c>
      <c r="C52" s="4">
        <f>MAX(C5:C15)</f>
        <v>14.31242994342675</v>
      </c>
      <c r="E52" s="4">
        <f>MAX(E5:E15)</f>
        <v>1.1996539065622318</v>
      </c>
      <c r="F52" s="80"/>
      <c r="G52" s="4">
        <f>MAX(G5:G15)</f>
        <v>1.927129465834887</v>
      </c>
      <c r="H52" s="4"/>
      <c r="I52" s="4"/>
      <c r="K52" s="4">
        <f>MAX(K5:K15)</f>
        <v>-0.3271119023112386</v>
      </c>
      <c r="P52" s="4">
        <f>MAX(P5:P15)</f>
        <v>3.8139786560847022</v>
      </c>
      <c r="S52" s="4">
        <f>MAX(S5:S15)</f>
        <v>40.111352456689104</v>
      </c>
      <c r="T52" s="4">
        <f>MAX(T5:T15)</f>
        <v>-11.776028483204591</v>
      </c>
      <c r="U52" s="4">
        <f>MAX(U5:U15)</f>
        <v>36.825103738002859</v>
      </c>
      <c r="V52" s="4">
        <f>MAX(V5:V15)</f>
        <v>17.622653263726022</v>
      </c>
      <c r="W52" s="4">
        <f>MAX(W5:W15)</f>
        <v>2.359414526504088</v>
      </c>
      <c r="AC52" s="4">
        <f>MAX(AC5:AC15)</f>
        <v>578.72037037037035</v>
      </c>
      <c r="AD52" s="4">
        <f>MAX(AD5:AD15)</f>
        <v>48</v>
      </c>
      <c r="AE52" s="4">
        <f>MAX(AE5:AE15)</f>
        <v>-48</v>
      </c>
      <c r="AF52" s="4">
        <f>MAX(AF5:AF15)</f>
        <v>626.72037037037035</v>
      </c>
      <c r="AG52" s="4">
        <f>MAX(AG5:AG15)</f>
        <v>-2.9492283950617284</v>
      </c>
      <c r="AI52" s="4">
        <f>MAX(AI5:AI15)</f>
        <v>566.14550435517788</v>
      </c>
      <c r="AJ52" s="4">
        <f>MAX(AJ5:AJ15)</f>
        <v>-59.776028483204591</v>
      </c>
      <c r="AK52" s="4">
        <f>MAX(AK5:AK15)</f>
        <v>84.825103738002866</v>
      </c>
      <c r="AL52" s="4">
        <f>MAX(AL5:AL15)</f>
        <v>633.48819320049597</v>
      </c>
      <c r="AM52" s="4">
        <f>MAX(AM5:AM15)</f>
        <v>-1.9459737260097041</v>
      </c>
      <c r="AR52" s="4">
        <f>MAX(AR5:AR15)</f>
        <v>62.637824150584578</v>
      </c>
      <c r="AY52" s="4">
        <f>MAX(AY5:AY15)</f>
        <v>0.99612636865930182</v>
      </c>
      <c r="AZ52" s="328">
        <f>MAX(AZ5:AZ15)</f>
        <v>0.12607811336005323</v>
      </c>
    </row>
    <row r="53" spans="1:52">
      <c r="A53" s="80" t="s">
        <v>46</v>
      </c>
      <c r="C53" s="163">
        <f>COUNT(C5:C15)</f>
        <v>11</v>
      </c>
      <c r="E53" s="163">
        <f>COUNT(E5:E15)</f>
        <v>11</v>
      </c>
      <c r="F53" s="80"/>
      <c r="G53" s="163">
        <f>COUNT(G5:G15)</f>
        <v>11</v>
      </c>
      <c r="H53" s="163"/>
      <c r="I53" s="163"/>
      <c r="K53" s="163">
        <f>COUNT(K5:K15)</f>
        <v>11</v>
      </c>
      <c r="P53" s="163">
        <f>COUNT(P5:P15)</f>
        <v>11</v>
      </c>
      <c r="S53" s="163">
        <f>COUNT(S5:S15)</f>
        <v>11</v>
      </c>
      <c r="T53" s="163">
        <f>COUNT(T5:T15)</f>
        <v>11</v>
      </c>
      <c r="U53" s="163">
        <f>COUNT(U5:U15)</f>
        <v>11</v>
      </c>
      <c r="V53" s="163">
        <f>COUNT(V5:V15)</f>
        <v>11</v>
      </c>
      <c r="W53" s="163">
        <f>COUNT(W5:W15)</f>
        <v>11</v>
      </c>
      <c r="AC53" s="163">
        <f>COUNT(AC5:AC15)</f>
        <v>11</v>
      </c>
      <c r="AD53" s="163">
        <f>COUNT(AD5:AD15)</f>
        <v>11</v>
      </c>
      <c r="AE53" s="163">
        <f>COUNT(AE5:AE15)</f>
        <v>11</v>
      </c>
      <c r="AF53" s="163">
        <f>COUNT(AF5:AF15)</f>
        <v>11</v>
      </c>
      <c r="AG53" s="163">
        <f>COUNT(AG5:AG15)</f>
        <v>11</v>
      </c>
      <c r="AI53" s="163">
        <f>COUNT(AI5:AI15)</f>
        <v>11</v>
      </c>
      <c r="AJ53" s="163">
        <f>COUNT(AJ5:AJ15)</f>
        <v>11</v>
      </c>
      <c r="AK53" s="163">
        <f>COUNT(AK5:AK15)</f>
        <v>11</v>
      </c>
      <c r="AL53" s="163">
        <f>COUNT(AL5:AL15)</f>
        <v>11</v>
      </c>
      <c r="AM53" s="163">
        <f>COUNT(AM5:AM15)</f>
        <v>11</v>
      </c>
      <c r="AR53" s="163">
        <f>COUNT(AR5:AR15)</f>
        <v>11</v>
      </c>
      <c r="AY53" s="163">
        <f>COUNT(AY5:AY15)</f>
        <v>11</v>
      </c>
      <c r="AZ53" s="163">
        <f>COUNT(AZ5:AZ15)</f>
        <v>11</v>
      </c>
    </row>
    <row r="54" spans="1:52">
      <c r="C54" s="3"/>
      <c r="E54" s="3"/>
      <c r="F54" s="164"/>
      <c r="G54" s="3"/>
      <c r="H54" s="3"/>
      <c r="I54" s="3"/>
      <c r="K54" s="3"/>
      <c r="P54" s="3"/>
      <c r="S54" s="3"/>
      <c r="T54" s="3"/>
      <c r="U54" s="3"/>
      <c r="V54" s="3"/>
      <c r="W54" s="3"/>
      <c r="AC54" s="3"/>
      <c r="AD54" s="3"/>
      <c r="AE54" s="3"/>
      <c r="AF54" s="3"/>
      <c r="AG54" s="3"/>
      <c r="AI54" s="3"/>
      <c r="AJ54" s="3"/>
      <c r="AK54" s="3"/>
      <c r="AL54" s="3"/>
      <c r="AM54" s="3"/>
      <c r="AR54" s="3"/>
      <c r="AY54" s="3"/>
      <c r="AZ54" s="3"/>
    </row>
    <row r="55" spans="1:52">
      <c r="A55" s="18" t="s">
        <v>142</v>
      </c>
      <c r="D55"/>
      <c r="E55" s="161"/>
      <c r="H55"/>
      <c r="K55" s="161"/>
      <c r="L55"/>
      <c r="M55"/>
      <c r="O55"/>
      <c r="P55" s="161"/>
      <c r="S55" s="161"/>
      <c r="T55" s="161"/>
      <c r="U55" s="161"/>
      <c r="V55" s="161"/>
      <c r="AC55" s="161"/>
      <c r="AD55" s="161"/>
      <c r="AE55" s="161"/>
      <c r="AF55" s="161"/>
      <c r="AI55" s="161"/>
      <c r="AJ55" s="161"/>
      <c r="AK55" s="161"/>
      <c r="AL55" s="161"/>
      <c r="AR55" s="161"/>
      <c r="AY55" s="161"/>
      <c r="AZ55" s="161"/>
    </row>
    <row r="56" spans="1:52">
      <c r="A56" s="80" t="s">
        <v>45</v>
      </c>
      <c r="C56" s="3">
        <f>AVERAGE(C16:C24)</f>
        <v>33.326039048245121</v>
      </c>
      <c r="E56" s="3">
        <f>AVERAGE(E16:E24)</f>
        <v>2.6936890588651212</v>
      </c>
      <c r="F56" s="80"/>
      <c r="G56" s="3">
        <f>AVERAGE(G16:G24)</f>
        <v>3.4327899035675213</v>
      </c>
      <c r="H56" s="3"/>
      <c r="I56" s="3"/>
      <c r="K56" s="3">
        <f>AVERAGE(K16:K24)</f>
        <v>-0.73910084470240023</v>
      </c>
      <c r="P56" s="3">
        <f>AVERAGE(P16:P24)</f>
        <v>3.7544142691141378</v>
      </c>
      <c r="S56" s="3">
        <f>AVERAGE(S16:S24)</f>
        <v>64.43581585491502</v>
      </c>
      <c r="T56" s="3">
        <f>AVERAGE(T16:T24)</f>
        <v>-26.607630409286404</v>
      </c>
      <c r="U56" s="3">
        <f>AVERAGE(U16:U24)</f>
        <v>26.607630409286404</v>
      </c>
      <c r="V56" s="3">
        <f>AVERAGE(V16:V24)</f>
        <v>37.828185445628606</v>
      </c>
      <c r="W56" s="3">
        <f>AVERAGE(W16:W24)</f>
        <v>6.8500727517894431</v>
      </c>
      <c r="AC56" s="3">
        <f>AVERAGE(AC16:AC24)</f>
        <v>457.56021420657521</v>
      </c>
      <c r="AD56" s="3">
        <f>AVERAGE(AD16:AD24)</f>
        <v>48.111111111111114</v>
      </c>
      <c r="AE56" s="3">
        <f>AVERAGE(AE16:AE24)</f>
        <v>-48.111111111111114</v>
      </c>
      <c r="AF56" s="3">
        <f>AVERAGE(AF16:AF24)</f>
        <v>505.67132531768635</v>
      </c>
      <c r="AG56" s="3">
        <f>AVERAGE(AG16:AG24)</f>
        <v>-9.5091267029683024</v>
      </c>
      <c r="AI56" s="3">
        <f>AVERAGE(AI16:AI24)</f>
        <v>393.12439835166032</v>
      </c>
      <c r="AJ56" s="3">
        <f>AVERAGE(AJ16:AJ24)</f>
        <v>-74.718741520397515</v>
      </c>
      <c r="AK56" s="3">
        <f>AVERAGE(AK16:AK24)</f>
        <v>74.718741520397515</v>
      </c>
      <c r="AL56" s="3">
        <f>AVERAGE(AL16:AL24)</f>
        <v>467.8431398720578</v>
      </c>
      <c r="AM56" s="4">
        <f>AVERAGE(AM16:AM24)</f>
        <v>-5.5986654619251448</v>
      </c>
      <c r="AR56" s="3">
        <f>AVERAGE(AR16:AR24)</f>
        <v>31.175230164035117</v>
      </c>
      <c r="AY56" s="4">
        <f>AVERAGE(AY12:AY22)</f>
        <v>1.0109563057736826</v>
      </c>
      <c r="AZ56" s="328">
        <f>AVERAGE(AZ16:AZ24)</f>
        <v>0.15923957926635701</v>
      </c>
    </row>
    <row r="57" spans="1:52">
      <c r="A57" s="80" t="s">
        <v>128</v>
      </c>
      <c r="C57" s="4">
        <f>STDEV(C16:C24)/SQRT(C60)</f>
        <v>6.3332052527846017</v>
      </c>
      <c r="E57" s="4">
        <f>STDEV(E16:E24)/SQRT(E60)</f>
        <v>0.47532770004928176</v>
      </c>
      <c r="F57" s="80"/>
      <c r="G57" s="4">
        <f>STDEV(G16:G24)/SQRT(G60)</f>
        <v>0.5138922461178983</v>
      </c>
      <c r="H57" s="4"/>
      <c r="I57" s="4"/>
      <c r="K57" s="4">
        <f>STDEV(K16:K24)/SQRT(K60)</f>
        <v>0.13683326520228326</v>
      </c>
      <c r="P57" s="4">
        <f>STDEV(P16:P24)/SQRT(P60)</f>
        <v>0.6567336314003146</v>
      </c>
      <c r="S57" s="4">
        <f>STDEV(S16:S24)/SQRT(S60)</f>
        <v>9.8635887749939197</v>
      </c>
      <c r="T57" s="4">
        <f>STDEV(T16:T24)/SQRT(T60)</f>
        <v>4.925997547282198</v>
      </c>
      <c r="U57" s="4">
        <f>STDEV(U16:U24)/SQRT(U60)</f>
        <v>4.925997547282198</v>
      </c>
      <c r="V57" s="4">
        <f>STDEV(V16:V24)/SQRT(V60)</f>
        <v>9.1581320294507051</v>
      </c>
      <c r="W57" s="4">
        <f>STDEV(W16:W24)/SQRT(W60)</f>
        <v>4.3657286432292253</v>
      </c>
      <c r="AC57" s="4">
        <f>STDEV(AC16:AC24)/SQRT(AC60)</f>
        <v>32.383326937600593</v>
      </c>
      <c r="AD57" s="4">
        <f>STDEV(AD16:AD24)/SQRT(AD60)</f>
        <v>0.11111111111111112</v>
      </c>
      <c r="AE57" s="4">
        <f>STDEV(AE16:AE24)/SQRT(AE60)</f>
        <v>0.11111111111111112</v>
      </c>
      <c r="AF57" s="4">
        <f>STDEV(AF16:AF24)/SQRT(AF60)</f>
        <v>32.399511199423145</v>
      </c>
      <c r="AG57" s="4">
        <f>STDEV(AG16:AG24)/SQRT(AG60)</f>
        <v>0.67168524542324937</v>
      </c>
      <c r="AI57" s="4">
        <f>STDEV(AI16:AI24)/SQRT(AI60)</f>
        <v>36.931306595213393</v>
      </c>
      <c r="AJ57" s="4">
        <f>STDEV(AJ16:AJ24)/SQRT(AJ60)</f>
        <v>4.8739615862229266</v>
      </c>
      <c r="AK57" s="4">
        <f>STDEV(AK16:AK24)/SQRT(AK60)</f>
        <v>4.8739615862229266</v>
      </c>
      <c r="AL57" s="4">
        <f>STDEV(AL16:AL24)/SQRT(AL60)</f>
        <v>35.095093930820106</v>
      </c>
      <c r="AM57" s="4">
        <f>STDEV(AM16:AM24)/SQRT(AM60)</f>
        <v>0.76591317102524981</v>
      </c>
      <c r="AR57" s="4">
        <f>STDEV(AR16:AR24)/SQRT(AR60)</f>
        <v>2.8477097970620435</v>
      </c>
      <c r="AY57" s="4">
        <f>STDEV(AY12:AY22)/SQRT(AY60)</f>
        <v>6.859364580268576E-3</v>
      </c>
      <c r="AZ57" s="328">
        <f>STDEV(AZ16:AZ24)/SQRT(AZ60)</f>
        <v>9.240833965661216E-2</v>
      </c>
    </row>
    <row r="58" spans="1:52">
      <c r="A58" s="80" t="s">
        <v>39</v>
      </c>
      <c r="C58" s="4">
        <f>MIN(C16:C24)</f>
        <v>11.366758071821135</v>
      </c>
      <c r="E58" s="4">
        <f>MIN(E16:E24)</f>
        <v>0.77710152449046244</v>
      </c>
      <c r="F58" s="80"/>
      <c r="G58" s="4">
        <f>MIN(G16:G24)</f>
        <v>1.5678258675974559</v>
      </c>
      <c r="H58" s="4"/>
      <c r="I58" s="4"/>
      <c r="K58" s="4">
        <f>MIN(K16:K24)</f>
        <v>-1.2389189305162938</v>
      </c>
      <c r="P58" s="4">
        <f>MIN(P16:P24)</f>
        <v>0.78294756801553733</v>
      </c>
      <c r="S58" s="4">
        <f>MIN(S16:S24)</f>
        <v>32.100988520952441</v>
      </c>
      <c r="T58" s="4">
        <f>MIN(T16:T24)</f>
        <v>-44.601081498586574</v>
      </c>
      <c r="U58" s="4">
        <f>MIN(U16:U24)</f>
        <v>1.7292824416534067</v>
      </c>
      <c r="V58" s="4">
        <f>MIN(V16:V24)</f>
        <v>3.6349121691006765</v>
      </c>
      <c r="W58" s="4">
        <f>MIN(W16:W24)</f>
        <v>1.1276927710082609</v>
      </c>
      <c r="AC58" s="4">
        <f>MIN(AC16:AC24)</f>
        <v>298.3518518518519</v>
      </c>
      <c r="AD58" s="4">
        <f>MIN(AD16:AD24)</f>
        <v>48</v>
      </c>
      <c r="AE58" s="4">
        <f>MIN(AE16:AE24)</f>
        <v>-49</v>
      </c>
      <c r="AF58" s="4">
        <f>MIN(AF16:AF24)</f>
        <v>346.3518518518519</v>
      </c>
      <c r="AG58" s="4">
        <f>MIN(AG16:AG24)</f>
        <v>-11.271083333333332</v>
      </c>
      <c r="AI58" s="4">
        <f>MIN(AI16:AI24)</f>
        <v>208.66112390735407</v>
      </c>
      <c r="AJ58" s="4">
        <f>MIN(AJ16:AJ24)</f>
        <v>-92.601081498586581</v>
      </c>
      <c r="AK58" s="4">
        <f>MIN(AK16:AK24)</f>
        <v>49.72928244165341</v>
      </c>
      <c r="AL58" s="4">
        <f>MIN(AL16:AL24)</f>
        <v>288.82007702627038</v>
      </c>
      <c r="AM58" s="4">
        <f>MIN(AM16:AM24)</f>
        <v>-8.8037656127516808</v>
      </c>
      <c r="AR58" s="4">
        <f>MIN(AR16:AR24)</f>
        <v>21.051446510705109</v>
      </c>
      <c r="AY58" s="4">
        <f>MIN(AY12:AY22)</f>
        <v>0.98212150687768673</v>
      </c>
      <c r="AZ58" s="328">
        <f>MIN(AZ16:AZ24)</f>
        <v>3.3501195549177527E-2</v>
      </c>
    </row>
    <row r="59" spans="1:52">
      <c r="A59" s="80" t="s">
        <v>38</v>
      </c>
      <c r="C59" s="4">
        <f>MAX(C16:C24)</f>
        <v>72.227435838864267</v>
      </c>
      <c r="E59" s="4">
        <f>MAX(E16:E24)</f>
        <v>4.7428051774394815</v>
      </c>
      <c r="F59" s="80"/>
      <c r="G59" s="4">
        <f>MAX(G16:G24)</f>
        <v>5.9817241079557757</v>
      </c>
      <c r="H59" s="4"/>
      <c r="I59" s="4"/>
      <c r="K59" s="4">
        <f>MAX(K16:K24)</f>
        <v>-4.8035623379261302E-2</v>
      </c>
      <c r="P59" s="4">
        <f>MAX(P16:P24)</f>
        <v>6.5895881777084711</v>
      </c>
      <c r="S59" s="4">
        <f>MAX(S16:S24)</f>
        <v>110.542645890279</v>
      </c>
      <c r="T59" s="4">
        <f>MAX(T16:T24)</f>
        <v>-1.7292824416534067</v>
      </c>
      <c r="U59" s="4">
        <f>MAX(U16:U24)</f>
        <v>44.601081498586574</v>
      </c>
      <c r="V59" s="4">
        <f>MAX(V16:V24)</f>
        <v>78.079922973729623</v>
      </c>
      <c r="W59" s="4">
        <f>MAX(W16:W24)</f>
        <v>41.518407614610943</v>
      </c>
      <c r="AC59" s="4">
        <f>MAX(AC16:AC24)</f>
        <v>541.01199999999994</v>
      </c>
      <c r="AD59" s="4">
        <f>MAX(AD16:AD24)</f>
        <v>49</v>
      </c>
      <c r="AE59" s="4">
        <f>MAX(AE16:AE24)</f>
        <v>-48</v>
      </c>
      <c r="AF59" s="4">
        <f>MAX(AF16:AF24)</f>
        <v>589.01199999999994</v>
      </c>
      <c r="AG59" s="4">
        <f>MAX(AG16:AG24)</f>
        <v>-6.2156635802469147</v>
      </c>
      <c r="AI59" s="4">
        <f>MAX(AI16:AI24)</f>
        <v>505.62044005047619</v>
      </c>
      <c r="AJ59" s="4">
        <f>MAX(AJ16:AJ24)</f>
        <v>-49.72928244165341</v>
      </c>
      <c r="AK59" s="4">
        <f>MAX(AK16:AK24)</f>
        <v>92.601081498586581</v>
      </c>
      <c r="AL59" s="4">
        <f>MAX(AL16:AL24)</f>
        <v>582.08651640232802</v>
      </c>
      <c r="AM59" s="4">
        <f>MAX(AM16:AM24)</f>
        <v>-2.6030919290800125</v>
      </c>
      <c r="AR59" s="4">
        <f>MAX(AR16:AR24)</f>
        <v>48.884608601325141</v>
      </c>
      <c r="AY59" s="4">
        <f>MAX(AY12:AY22)</f>
        <v>1.0517860886024712</v>
      </c>
      <c r="AZ59" s="328">
        <f>MAX(AZ16:AZ24)</f>
        <v>0.88671497441189862</v>
      </c>
    </row>
    <row r="60" spans="1:52">
      <c r="A60" s="80" t="s">
        <v>46</v>
      </c>
      <c r="C60" s="163">
        <f>COUNT(C16:C24)</f>
        <v>9</v>
      </c>
      <c r="E60" s="163">
        <f>COUNT(E16:E24)</f>
        <v>9</v>
      </c>
      <c r="F60" s="80"/>
      <c r="G60" s="163">
        <f>COUNT(G16:G24)</f>
        <v>9</v>
      </c>
      <c r="H60" s="163"/>
      <c r="I60" s="163"/>
      <c r="K60" s="163">
        <f>COUNT(K16:K24)</f>
        <v>9</v>
      </c>
      <c r="P60" s="163">
        <f>COUNT(P16:P24)</f>
        <v>9</v>
      </c>
      <c r="S60" s="163">
        <f>COUNT(S16:S24)</f>
        <v>9</v>
      </c>
      <c r="T60" s="163">
        <f>COUNT(T16:T24)</f>
        <v>9</v>
      </c>
      <c r="U60" s="163">
        <f>COUNT(U16:U24)</f>
        <v>9</v>
      </c>
      <c r="V60" s="163">
        <f>COUNT(V16:V24)</f>
        <v>9</v>
      </c>
      <c r="W60" s="163">
        <f>COUNT(W16:W24)</f>
        <v>9</v>
      </c>
      <c r="AC60" s="163">
        <f>COUNT(AC16:AC24)</f>
        <v>9</v>
      </c>
      <c r="AD60" s="163">
        <f>COUNT(AD16:AD24)</f>
        <v>9</v>
      </c>
      <c r="AE60" s="163">
        <f>COUNT(AE16:AE24)</f>
        <v>9</v>
      </c>
      <c r="AF60" s="163">
        <f>COUNT(AF16:AF24)</f>
        <v>9</v>
      </c>
      <c r="AG60" s="163">
        <f>COUNT(AG16:AG24)</f>
        <v>9</v>
      </c>
      <c r="AI60" s="163">
        <f>COUNT(AI16:AI24)</f>
        <v>9</v>
      </c>
      <c r="AJ60" s="163">
        <f>COUNT(AJ16:AJ24)</f>
        <v>9</v>
      </c>
      <c r="AK60" s="163">
        <f>COUNT(AK16:AK24)</f>
        <v>9</v>
      </c>
      <c r="AL60" s="163">
        <f>COUNT(AL16:AL24)</f>
        <v>9</v>
      </c>
      <c r="AM60" s="163">
        <f>COUNT(AM16:AM24)</f>
        <v>9</v>
      </c>
      <c r="AR60" s="163">
        <f>COUNT(AR16:AR24)</f>
        <v>9</v>
      </c>
      <c r="AY60" s="163">
        <f>COUNT(AY16:AY24)</f>
        <v>9</v>
      </c>
      <c r="AZ60" s="163">
        <f>COUNT(AZ16:AZ24)</f>
        <v>9</v>
      </c>
    </row>
    <row r="61" spans="1:52">
      <c r="A61" s="164"/>
      <c r="C61" s="163"/>
      <c r="E61" s="163"/>
      <c r="F61" s="164"/>
      <c r="G61" s="163"/>
      <c r="H61" s="163"/>
      <c r="I61" s="163"/>
      <c r="K61" s="163"/>
      <c r="P61" s="163"/>
      <c r="S61" s="163"/>
      <c r="T61" s="163"/>
      <c r="U61" s="163"/>
      <c r="V61" s="163"/>
      <c r="W61" s="163"/>
      <c r="AC61" s="163"/>
      <c r="AD61" s="163"/>
      <c r="AE61" s="163"/>
      <c r="AF61" s="163"/>
      <c r="AG61" s="163"/>
      <c r="AI61" s="163"/>
      <c r="AJ61" s="163"/>
      <c r="AK61" s="163"/>
      <c r="AL61" s="163"/>
      <c r="AM61" s="163"/>
      <c r="AR61" s="163"/>
      <c r="AY61" s="163"/>
      <c r="AZ61" s="163"/>
    </row>
    <row r="62" spans="1:52">
      <c r="A62" s="18" t="s">
        <v>143</v>
      </c>
      <c r="D62"/>
      <c r="E62" s="161"/>
      <c r="H62"/>
      <c r="K62" s="161"/>
      <c r="L62"/>
      <c r="M62"/>
      <c r="O62"/>
      <c r="P62" s="161"/>
      <c r="S62" s="161"/>
      <c r="T62" s="161"/>
      <c r="U62" s="161"/>
      <c r="V62" s="161"/>
      <c r="AC62" s="161"/>
      <c r="AD62" s="161"/>
      <c r="AE62" s="161"/>
      <c r="AF62" s="161"/>
      <c r="AI62" s="161"/>
      <c r="AJ62" s="161"/>
      <c r="AK62" s="161"/>
      <c r="AL62" s="161"/>
      <c r="AR62" s="161"/>
      <c r="AY62" s="161"/>
      <c r="AZ62" s="161"/>
    </row>
    <row r="63" spans="1:52">
      <c r="A63" s="80" t="s">
        <v>45</v>
      </c>
      <c r="C63" s="3">
        <f>AVERAGE(C5:C24)</f>
        <v>18.226916910103878</v>
      </c>
      <c r="E63" s="3">
        <f>AVERAGE(E5:E24)</f>
        <v>1.5681857377607595</v>
      </c>
      <c r="F63" s="80"/>
      <c r="G63" s="3">
        <f>AVERAGE(G5:G24)</f>
        <v>2.2228486502941593</v>
      </c>
      <c r="H63" s="3"/>
      <c r="I63" s="3"/>
      <c r="K63" s="4">
        <f>AVERAGE(K5:K24)</f>
        <v>-0.65466291253339948</v>
      </c>
      <c r="P63" s="3">
        <f>AVERAGE(P5:P24)</f>
        <v>2.6232756509367587</v>
      </c>
      <c r="S63" s="3">
        <f>AVERAGE(S5:S24)</f>
        <v>42.12886246040344</v>
      </c>
      <c r="T63" s="3">
        <f>AVERAGE(T5:T24)</f>
        <v>-23.56786485120238</v>
      </c>
      <c r="U63" s="3">
        <f>AVERAGE(U5:U24)</f>
        <v>23.56786485120238</v>
      </c>
      <c r="V63" s="3">
        <f>AVERAGE(V5:V24)</f>
        <v>18.56099760920106</v>
      </c>
      <c r="W63" s="3">
        <f>AVERAGE(W5:W24)</f>
        <v>3.7840545921423425</v>
      </c>
      <c r="AC63" s="3">
        <f>AVERAGE(AC5:AC24)</f>
        <v>441.81791573565323</v>
      </c>
      <c r="AD63" s="3">
        <f>AVERAGE(AD5:AD24)</f>
        <v>48.05</v>
      </c>
      <c r="AE63" s="3">
        <f>AVERAGE(AE5:AE24)</f>
        <v>-48.05</v>
      </c>
      <c r="AF63" s="3">
        <f>AVERAGE(AF5:AF24)</f>
        <v>489.86791573565336</v>
      </c>
      <c r="AG63" s="3">
        <f>AVERAGE(AG5:AG24)</f>
        <v>-9.1940199193085359</v>
      </c>
      <c r="AI63" s="3">
        <f>AVERAGE(AI5:AI24)</f>
        <v>399.68905327524976</v>
      </c>
      <c r="AJ63" s="3">
        <f>AVERAGE(AJ5:AJ24)</f>
        <v>-71.617864851202384</v>
      </c>
      <c r="AK63" s="3">
        <f>AVERAGE(AK5:AK24)</f>
        <v>71.617864851202384</v>
      </c>
      <c r="AL63" s="3">
        <f>AVERAGE(AL5:AL24)</f>
        <v>471.30691812645216</v>
      </c>
      <c r="AM63" s="4">
        <f>AVERAGE(AM5:AM24)</f>
        <v>-5.760165357848444</v>
      </c>
      <c r="AR63" s="3">
        <f>AVERAGE(AR5:AR24)</f>
        <v>45.08997925898187</v>
      </c>
      <c r="AY63" s="4">
        <f>AVERAGE(AY19:AY29)</f>
        <v>1.0052605382060502</v>
      </c>
      <c r="AZ63" s="328">
        <f>AVERAGE(AZ5:AZ24)</f>
        <v>0.115151847657011</v>
      </c>
    </row>
    <row r="64" spans="1:52">
      <c r="A64" s="80" t="s">
        <v>128</v>
      </c>
      <c r="C64" s="4">
        <f>STDEV(C5:C24)/SQRT(C67)</f>
        <v>4.2121276287486973</v>
      </c>
      <c r="E64" s="4">
        <f>STDEV(E5:E24)/SQRT(E67)</f>
        <v>0.31899226855098939</v>
      </c>
      <c r="F64" s="80"/>
      <c r="G64" s="4">
        <f>STDEV(G5:G24)/SQRT(G67)</f>
        <v>0.34124768991505605</v>
      </c>
      <c r="H64" s="4"/>
      <c r="I64" s="4"/>
      <c r="K64" s="4">
        <f>STDEV(K5:K24)/SQRT(K67)</f>
        <v>7.1830419168555468E-2</v>
      </c>
      <c r="P64" s="4">
        <f>STDEV(P5:P24)/SQRT(P67)</f>
        <v>0.4163092726241075</v>
      </c>
      <c r="S64" s="4">
        <f>STDEV(S5:S24)/SQRT(S67)</f>
        <v>6.4458554047058128</v>
      </c>
      <c r="T64" s="4">
        <f>STDEV(T5:T24)/SQRT(T67)</f>
        <v>2.5858950900679982</v>
      </c>
      <c r="U64" s="4">
        <f>STDEV(U5:U24)/SQRT(U67)</f>
        <v>2.5858950900679982</v>
      </c>
      <c r="V64" s="4">
        <f>STDEV(V5:V24)/SQRT(V67)</f>
        <v>5.8880807115175742</v>
      </c>
      <c r="W64" s="4">
        <f>STDEV(W5:W24)/SQRT(W67)</f>
        <v>2.0065711874570002</v>
      </c>
      <c r="AC64" s="4">
        <f>STDEV(AC5:AC24)/SQRT(AC67)</f>
        <v>26.270487192344447</v>
      </c>
      <c r="AD64" s="4">
        <f>STDEV(AD5:AD24)/SQRT(AD67)</f>
        <v>4.9999999999999996E-2</v>
      </c>
      <c r="AE64" s="4">
        <f>STDEV(AE5:AE24)/SQRT(AE67)</f>
        <v>4.9999999999999996E-2</v>
      </c>
      <c r="AF64" s="4">
        <f>STDEV(AF5:AF24)/SQRT(AF67)</f>
        <v>26.275847624399571</v>
      </c>
      <c r="AG64" s="4">
        <f>STDEV(AG5:AG24)/SQRT(AG67)</f>
        <v>0.54628403759063782</v>
      </c>
      <c r="AI64" s="4">
        <f>STDEV(AI5:AI24)/SQRT(AI67)</f>
        <v>27.024007575972121</v>
      </c>
      <c r="AJ64" s="4">
        <f>STDEV(AJ5:AJ24)/SQRT(AJ67)</f>
        <v>2.5702900305383198</v>
      </c>
      <c r="AK64" s="4">
        <f>STDEV(AK5:AK24)/SQRT(AK67)</f>
        <v>2.5702900305383198</v>
      </c>
      <c r="AL64" s="4">
        <f>STDEV(AL5:AL24)/SQRT(AL67)</f>
        <v>26.76945406441536</v>
      </c>
      <c r="AM64" s="4">
        <f>STDEV(AM5:AM24)/SQRT(AM67)</f>
        <v>0.46500194698436509</v>
      </c>
      <c r="AR64" s="4">
        <f>STDEV(AR5:AR24)/SQRT(AR67)</f>
        <v>3.272811085148569</v>
      </c>
      <c r="AY64" s="4">
        <f>STDEV(AY19:AY29)/SQRT(AY67)</f>
        <v>5.0136513715563196E-3</v>
      </c>
      <c r="AZ64" s="328">
        <f>STDEV(AZ5:AZ24)/SQRT(AZ67)</f>
        <v>4.1477904664010697E-2</v>
      </c>
    </row>
    <row r="65" spans="1:52">
      <c r="A65" s="80" t="s">
        <v>39</v>
      </c>
      <c r="C65" s="4">
        <f>MIN(C5:C24)</f>
        <v>2.0082207823901554</v>
      </c>
      <c r="E65" s="4">
        <f>MIN(E5:E24)</f>
        <v>-6.9223640816187301E-2</v>
      </c>
      <c r="F65" s="80"/>
      <c r="G65" s="4">
        <f>MIN(G5:G24)</f>
        <v>0.70415093669624684</v>
      </c>
      <c r="H65" s="4"/>
      <c r="I65" s="4"/>
      <c r="K65" s="4">
        <f>MIN(K5:K24)</f>
        <v>-1.2389189305162938</v>
      </c>
      <c r="P65" s="4">
        <f>MIN(P5:P24)</f>
        <v>0.28287391395291067</v>
      </c>
      <c r="S65" s="4">
        <f>MIN(S5:S24)</f>
        <v>12.574866015192491</v>
      </c>
      <c r="T65" s="4">
        <f>MIN(T5:T24)</f>
        <v>-44.601081498586574</v>
      </c>
      <c r="U65" s="4">
        <f>MIN(U5:U24)</f>
        <v>1.7292824416534067</v>
      </c>
      <c r="V65" s="4">
        <f>MIN(V5:V24)</f>
        <v>-16.198369158084933</v>
      </c>
      <c r="W65" s="4">
        <f>MIN(W5:W24)</f>
        <v>0.50353677494065452</v>
      </c>
      <c r="AC65" s="4">
        <f>MIN(AC5:AC24)</f>
        <v>141.56296296296296</v>
      </c>
      <c r="AD65" s="4">
        <f>MIN(AD5:AD24)</f>
        <v>48</v>
      </c>
      <c r="AE65" s="4">
        <f>MIN(AE5:AE24)</f>
        <v>-49</v>
      </c>
      <c r="AF65" s="4">
        <f>MIN(AF5:AF24)</f>
        <v>189.56296296296296</v>
      </c>
      <c r="AG65" s="4">
        <f>MIN(AG5:AG24)</f>
        <v>-12.056674382716048</v>
      </c>
      <c r="AI65" s="4">
        <f>MIN(AI5:AI24)</f>
        <v>125.53848733579797</v>
      </c>
      <c r="AJ65" s="4">
        <f>MIN(AJ5:AJ24)</f>
        <v>-92.601081498586581</v>
      </c>
      <c r="AK65" s="4">
        <f>MIN(AK5:AK24)</f>
        <v>49.72928244165341</v>
      </c>
      <c r="AL65" s="4">
        <f>MIN(AL5:AL24)</f>
        <v>190.0504001421541</v>
      </c>
      <c r="AM65" s="4">
        <f>MIN(AM5:AM24)</f>
        <v>-8.8037656127516808</v>
      </c>
      <c r="AR65" s="4">
        <f>MIN(AR5:AR24)</f>
        <v>21.051446510705109</v>
      </c>
      <c r="AY65" s="4">
        <f>MIN(AY19:AY29)</f>
        <v>0.98416316506165524</v>
      </c>
      <c r="AZ65" s="328">
        <f>MIN(AZ5:AZ24)</f>
        <v>3.3501195549177527E-2</v>
      </c>
    </row>
    <row r="66" spans="1:52">
      <c r="A66" s="80" t="s">
        <v>38</v>
      </c>
      <c r="C66" s="4">
        <f>MAX(C5:C24)</f>
        <v>72.227435838864267</v>
      </c>
      <c r="E66" s="4">
        <f>MAX(E5:E24)</f>
        <v>4.7428051774394815</v>
      </c>
      <c r="F66" s="80"/>
      <c r="G66" s="4">
        <f>MAX(G5:G24)</f>
        <v>5.9817241079557757</v>
      </c>
      <c r="H66" s="4"/>
      <c r="I66" s="4"/>
      <c r="K66" s="4">
        <f>MAX(K5:K24)</f>
        <v>-4.8035623379261302E-2</v>
      </c>
      <c r="P66" s="4">
        <f>MAX(P5:P24)</f>
        <v>6.5895881777084711</v>
      </c>
      <c r="S66" s="4">
        <f>MAX(S5:S24)</f>
        <v>110.542645890279</v>
      </c>
      <c r="T66" s="4">
        <f>MAX(T5:T24)</f>
        <v>-1.7292824416534067</v>
      </c>
      <c r="U66" s="4">
        <f>MAX(U5:U24)</f>
        <v>44.601081498586574</v>
      </c>
      <c r="V66" s="4">
        <f>MAX(V5:V24)</f>
        <v>78.079922973729623</v>
      </c>
      <c r="W66" s="4">
        <f>MAX(W5:W24)</f>
        <v>41.518407614610943</v>
      </c>
      <c r="AC66" s="4">
        <f>MAX(AC5:AC24)</f>
        <v>578.72037037037035</v>
      </c>
      <c r="AD66" s="4">
        <f>MAX(AD5:AD24)</f>
        <v>49</v>
      </c>
      <c r="AE66" s="4">
        <f>MAX(AE5:AE24)</f>
        <v>-48</v>
      </c>
      <c r="AF66" s="4">
        <f>MAX(AF5:AF24)</f>
        <v>626.72037037037035</v>
      </c>
      <c r="AG66" s="4">
        <f>MAX(AG5:AG24)</f>
        <v>-2.9492283950617284</v>
      </c>
      <c r="AI66" s="4">
        <f>MAX(AI5:AI24)</f>
        <v>566.14550435517788</v>
      </c>
      <c r="AJ66" s="4">
        <f>MAX(AJ5:AJ24)</f>
        <v>-49.72928244165341</v>
      </c>
      <c r="AK66" s="4">
        <f>MAX(AK5:AK24)</f>
        <v>92.601081498586581</v>
      </c>
      <c r="AL66" s="4">
        <f>MAX(AL5:AL24)</f>
        <v>633.48819320049597</v>
      </c>
      <c r="AM66" s="4">
        <f>MAX(AM5:AM24)</f>
        <v>-1.9459737260097041</v>
      </c>
      <c r="AR66" s="4">
        <f>MAX(AR5:AR24)</f>
        <v>62.637824150584578</v>
      </c>
      <c r="AY66" s="4">
        <f>MAX(AY19:AY29)</f>
        <v>1.0517860886024712</v>
      </c>
      <c r="AZ66" s="328">
        <f>MAX(AZ5:AZ24)</f>
        <v>0.88671497441189862</v>
      </c>
    </row>
    <row r="67" spans="1:52">
      <c r="A67" s="80" t="s">
        <v>46</v>
      </c>
      <c r="C67" s="163">
        <f>COUNT(C5:C24)</f>
        <v>20</v>
      </c>
      <c r="E67" s="163">
        <f>COUNT(E5:E24)</f>
        <v>20</v>
      </c>
      <c r="F67" s="80"/>
      <c r="G67" s="163">
        <f>COUNT(G5:G24)</f>
        <v>20</v>
      </c>
      <c r="H67" s="163"/>
      <c r="I67" s="163"/>
      <c r="K67" s="163">
        <f>COUNT(K5:K24)</f>
        <v>20</v>
      </c>
      <c r="P67" s="163">
        <f>COUNT(P5:P24)</f>
        <v>20</v>
      </c>
      <c r="S67" s="163">
        <f>COUNT(S5:S24)</f>
        <v>20</v>
      </c>
      <c r="T67" s="163">
        <f>COUNT(T5:T24)</f>
        <v>20</v>
      </c>
      <c r="U67" s="163">
        <f>COUNT(U5:U24)</f>
        <v>20</v>
      </c>
      <c r="V67" s="163">
        <f>COUNT(V5:V24)</f>
        <v>20</v>
      </c>
      <c r="W67" s="163">
        <f>COUNT(W5:W24)</f>
        <v>20</v>
      </c>
      <c r="AC67" s="163">
        <f>COUNT(AC5:AC24)</f>
        <v>20</v>
      </c>
      <c r="AD67" s="163">
        <f>COUNT(AD5:AD24)</f>
        <v>20</v>
      </c>
      <c r="AE67" s="163">
        <f>COUNT(AE5:AE24)</f>
        <v>20</v>
      </c>
      <c r="AF67" s="163">
        <f>COUNT(AF5:AF24)</f>
        <v>20</v>
      </c>
      <c r="AG67" s="163">
        <f>COUNT(AG5:AG24)</f>
        <v>20</v>
      </c>
      <c r="AI67" s="163">
        <f>COUNT(AI5:AI24)</f>
        <v>20</v>
      </c>
      <c r="AJ67" s="163">
        <f>COUNT(AJ5:AJ24)</f>
        <v>20</v>
      </c>
      <c r="AK67" s="163">
        <f>COUNT(AK5:AK24)</f>
        <v>20</v>
      </c>
      <c r="AL67" s="163">
        <f>COUNT(AL5:AL24)</f>
        <v>20</v>
      </c>
      <c r="AM67" s="163">
        <f>COUNT(AM5:AM24)</f>
        <v>20</v>
      </c>
      <c r="AR67" s="163">
        <f>COUNT(AR5:AR24)</f>
        <v>20</v>
      </c>
      <c r="AY67" s="163">
        <f>COUNT(AY5:AY24)</f>
        <v>20</v>
      </c>
      <c r="AZ67" s="163">
        <f>COUNT(AZ5:AZ24)</f>
        <v>20</v>
      </c>
    </row>
    <row r="68" spans="1:52">
      <c r="C68" s="161"/>
      <c r="E68" s="161"/>
      <c r="F68" s="161"/>
      <c r="I68" s="161"/>
      <c r="K68" s="161"/>
      <c r="P68" s="161"/>
      <c r="S68" s="161"/>
      <c r="T68" s="161"/>
      <c r="U68" s="161"/>
      <c r="V68" s="161"/>
      <c r="AC68" s="161"/>
      <c r="AD68" s="161"/>
      <c r="AE68" s="161"/>
      <c r="AF68" s="161"/>
      <c r="AI68" s="161"/>
      <c r="AJ68" s="161"/>
      <c r="AK68" s="161"/>
      <c r="AL68" s="161"/>
      <c r="AR68" s="161"/>
      <c r="AY68" s="161"/>
      <c r="AZ68" s="161"/>
    </row>
    <row r="69" spans="1:52">
      <c r="A69" s="179" t="s">
        <v>126</v>
      </c>
      <c r="C69" s="161"/>
      <c r="D69"/>
      <c r="E69" s="161"/>
      <c r="H69"/>
      <c r="K69" s="161"/>
      <c r="L69"/>
      <c r="M69"/>
      <c r="O69"/>
      <c r="P69" s="161"/>
      <c r="S69" s="161"/>
      <c r="T69" s="161"/>
      <c r="U69" s="161"/>
      <c r="V69" s="161"/>
      <c r="AC69" s="161"/>
      <c r="AD69" s="161"/>
      <c r="AE69" s="161"/>
      <c r="AF69" s="161"/>
      <c r="AI69" s="161"/>
      <c r="AJ69" s="161"/>
      <c r="AK69" s="161"/>
      <c r="AL69" s="161"/>
      <c r="AR69" s="161"/>
      <c r="AY69" s="161"/>
      <c r="AZ69" s="161"/>
    </row>
    <row r="70" spans="1:52">
      <c r="A70" s="18" t="s">
        <v>138</v>
      </c>
      <c r="C70" s="181"/>
      <c r="D70"/>
      <c r="E70" s="181"/>
      <c r="G70" s="181"/>
      <c r="H70"/>
      <c r="K70" s="181"/>
      <c r="L70"/>
      <c r="M70"/>
      <c r="O70"/>
      <c r="P70" s="181"/>
      <c r="S70" s="181"/>
      <c r="T70" s="181"/>
      <c r="U70" s="181"/>
      <c r="V70" s="181"/>
      <c r="W70" s="181"/>
      <c r="AC70" s="181"/>
      <c r="AD70" s="181"/>
      <c r="AE70" s="181"/>
      <c r="AF70" s="181"/>
      <c r="AG70" s="181"/>
      <c r="AI70" s="181"/>
      <c r="AJ70" s="181"/>
      <c r="AK70" s="181"/>
      <c r="AL70" s="181"/>
      <c r="AM70" s="181"/>
      <c r="AR70" s="181"/>
      <c r="AY70" s="181"/>
      <c r="AZ70" s="181"/>
    </row>
    <row r="71" spans="1:52">
      <c r="A71" s="80" t="s">
        <v>45</v>
      </c>
      <c r="C71" s="3">
        <f>AVERAGE(C25:C35)</f>
        <v>7.4191781894260549</v>
      </c>
      <c r="E71" s="3">
        <f>AVERAGE(E25:E35)</f>
        <v>0.5919099312400532</v>
      </c>
      <c r="F71" s="80"/>
      <c r="G71" s="3">
        <f>AVERAGE(G25:G35)</f>
        <v>1.1323948223186462</v>
      </c>
      <c r="H71" s="3"/>
      <c r="I71" s="3"/>
      <c r="K71" s="3">
        <f>AVERAGE(K25:K35)</f>
        <v>-0.54048489107859288</v>
      </c>
      <c r="P71" s="3">
        <f>AVERAGE(P25:P35)</f>
        <v>1.6216993846854448</v>
      </c>
      <c r="S71" s="3">
        <f>AVERAGE(S25:S35)</f>
        <v>93.393097385065218</v>
      </c>
      <c r="T71" s="3">
        <f>AVERAGE(T25:T35)</f>
        <v>-76.532660576728773</v>
      </c>
      <c r="U71" s="3">
        <f>AVERAGE(U25:U35)</f>
        <v>76.532660576728773</v>
      </c>
      <c r="V71" s="3">
        <f>AVERAGE(V25:V35)</f>
        <v>16.860436808336477</v>
      </c>
      <c r="W71" s="3">
        <f>AVERAGE(W25:W35)</f>
        <v>1.2788453895924621</v>
      </c>
      <c r="AC71" s="3">
        <f>AVERAGE(AC25:AC35)</f>
        <v>306.34223646723655</v>
      </c>
      <c r="AD71" s="3">
        <f>AVERAGE(AD25:AD35)</f>
        <v>48</v>
      </c>
      <c r="AE71" s="3">
        <f>AVERAGE(AE25:AE35)</f>
        <v>-48</v>
      </c>
      <c r="AF71" s="3">
        <f>AVERAGE(AF25:AF35)</f>
        <v>354.34223646723655</v>
      </c>
      <c r="AG71" s="3">
        <f>AVERAGE(AG25:AG35)</f>
        <v>-6.3821299264007614</v>
      </c>
      <c r="AI71" s="3">
        <f>AVERAGE(AI25:AI35)</f>
        <v>212.94913908217129</v>
      </c>
      <c r="AJ71" s="3">
        <f>AVERAGE(AJ25:AJ35)</f>
        <v>-124.53266057672877</v>
      </c>
      <c r="AK71" s="3">
        <f>AVERAGE(AK25:AK35)</f>
        <v>124.53266057672877</v>
      </c>
      <c r="AL71" s="3">
        <f>AVERAGE(AL25:AL35)</f>
        <v>337.48179965890006</v>
      </c>
      <c r="AM71" s="4">
        <f>AVERAGE(AM25:AM35)</f>
        <v>-1.9387566292283018</v>
      </c>
      <c r="AR71" s="3">
        <f>AVERAGE(AR25:AR35)</f>
        <v>10.690254756994886</v>
      </c>
      <c r="AY71" s="4">
        <f>AVERAGE(AY27:AY37)</f>
        <v>0.9923895288325032</v>
      </c>
      <c r="AZ71" s="328">
        <f>AVERAGE(AZ25:AZ35)</f>
        <v>8.4314655466413202E-2</v>
      </c>
    </row>
    <row r="72" spans="1:52">
      <c r="A72" s="80" t="s">
        <v>128</v>
      </c>
      <c r="C72" s="4">
        <f>STDEV(C25:C35)/SQRT(C75)</f>
        <v>1.3850786834114017</v>
      </c>
      <c r="E72" s="4">
        <f>STDEV(E25:E35)/SQRT(E75)</f>
        <v>8.2211014263188414E-2</v>
      </c>
      <c r="F72" s="80"/>
      <c r="G72" s="4">
        <f>STDEV(G25:G35)/SQRT(G75)</f>
        <v>7.1970107333947347E-2</v>
      </c>
      <c r="H72" s="4"/>
      <c r="I72" s="4"/>
      <c r="K72" s="4">
        <f>STDEV(K25:K35)/SQRT(K75)</f>
        <v>4.8193293128108466E-2</v>
      </c>
      <c r="P72" s="4">
        <f>STDEV(P25:P35)/SQRT(P75)</f>
        <v>0.31455949124672788</v>
      </c>
      <c r="S72" s="4">
        <f>STDEV(S25:S35)/SQRT(S75)</f>
        <v>13.667760580408775</v>
      </c>
      <c r="T72" s="4">
        <f>STDEV(T25:T35)/SQRT(T75)</f>
        <v>6.8241703069401272</v>
      </c>
      <c r="U72" s="4">
        <f>STDEV(U25:U35)/SQRT(U75)</f>
        <v>6.8241703069401272</v>
      </c>
      <c r="V72" s="4">
        <f>STDEV(V25:V35)/SQRT(V75)</f>
        <v>11.999950033416063</v>
      </c>
      <c r="W72" s="4">
        <f>STDEV(W25:W35)/SQRT(W75)</f>
        <v>0.16663752995354678</v>
      </c>
      <c r="AC72" s="4">
        <f>STDEV(AC25:AC35)/SQRT(AC75)</f>
        <v>71.115890096012578</v>
      </c>
      <c r="AD72" s="4">
        <f>STDEV(AD25:AD35)/SQRT(AD75)</f>
        <v>0</v>
      </c>
      <c r="AE72" s="4">
        <f>STDEV(AE25:AE35)/SQRT(AE75)</f>
        <v>0</v>
      </c>
      <c r="AF72" s="4">
        <f>STDEV(AF25:AF35)/SQRT(AF75)</f>
        <v>71.115890096012564</v>
      </c>
      <c r="AG72" s="4">
        <f>STDEV(AG25:AG35)/SQRT(AG75)</f>
        <v>1.4815810436669281</v>
      </c>
      <c r="AI72" s="4">
        <f>STDEV(AI25:AI35)/SQRT(AI75)</f>
        <v>79.843765834855446</v>
      </c>
      <c r="AJ72" s="4">
        <f>STDEV(AJ25:AJ35)/SQRT(AJ75)</f>
        <v>6.8241703069401218</v>
      </c>
      <c r="AK72" s="4">
        <f>STDEV(AK25:AK35)/SQRT(AK75)</f>
        <v>6.8241703069401218</v>
      </c>
      <c r="AL72" s="4">
        <f>STDEV(AL25:AL35)/SQRT(AL75)</f>
        <v>76.528667752588149</v>
      </c>
      <c r="AM72" s="4">
        <f>STDEV(AM25:AM35)/SQRT(AM75)</f>
        <v>0.65471346514353002</v>
      </c>
      <c r="AR72" s="4">
        <f>STDEV(AR25:AR35)/SQRT(AR75)</f>
        <v>0.99814055263670853</v>
      </c>
      <c r="AY72" s="4">
        <f>STDEV(AY27:AY37)/SQRT(AY75)</f>
        <v>3.5047571443870057E-3</v>
      </c>
      <c r="AZ72" s="328">
        <f>STDEV(AZ25:AZ35)/SQRT(AZ75)</f>
        <v>9.4941072364627763E-3</v>
      </c>
    </row>
    <row r="73" spans="1:52">
      <c r="A73" s="80" t="s">
        <v>39</v>
      </c>
      <c r="C73" s="4">
        <f>MIN(C25:C35)</f>
        <v>3.2730265328915098</v>
      </c>
      <c r="E73" s="4">
        <f>MIN(E25:E35)</f>
        <v>0.23016988420390341</v>
      </c>
      <c r="F73" s="80"/>
      <c r="G73" s="4">
        <f>MIN(G25:G35)</f>
        <v>0.80753828099100611</v>
      </c>
      <c r="H73" s="4"/>
      <c r="I73" s="4"/>
      <c r="K73" s="4">
        <f>MIN(K25:K35)</f>
        <v>-0.75535167202132714</v>
      </c>
      <c r="P73" s="4">
        <f>MIN(P25:P35)</f>
        <v>0.30078146358414415</v>
      </c>
      <c r="S73" s="4">
        <f>MIN(S25:S35)</f>
        <v>45.991972162386652</v>
      </c>
      <c r="T73" s="4">
        <f>MIN(T25:T35)</f>
        <v>-106.95779675821993</v>
      </c>
      <c r="U73" s="4">
        <f>MIN(U25:U35)</f>
        <v>37.855027885487083</v>
      </c>
      <c r="V73" s="4">
        <f>MIN(V25:V35)</f>
        <v>-44.210920411093582</v>
      </c>
      <c r="W73" s="4">
        <f>MIN(W25:W35)</f>
        <v>0.53415585213261729</v>
      </c>
      <c r="AC73" s="4">
        <f>MIN(AC25:AC35)</f>
        <v>0</v>
      </c>
      <c r="AD73" s="4">
        <f>MIN(AD25:AD35)</f>
        <v>48</v>
      </c>
      <c r="AE73" s="4">
        <f>MIN(AE25:AE35)</f>
        <v>-48</v>
      </c>
      <c r="AF73" s="4">
        <f>MIN(AF25:AF35)</f>
        <v>48</v>
      </c>
      <c r="AG73" s="4">
        <f>MIN(AG25:AG35)</f>
        <v>-12.056674382716048</v>
      </c>
      <c r="AI73" s="4">
        <f>MIN(AI25:AI35)</f>
        <v>-198.14718999999999</v>
      </c>
      <c r="AJ73" s="4">
        <f>MIN(AJ25:AJ35)</f>
        <v>-154.95779675821993</v>
      </c>
      <c r="AK73" s="4">
        <f>MIN(AK25:AK35)</f>
        <v>85.85502788548709</v>
      </c>
      <c r="AL73" s="4">
        <f>MIN(AL25:AL35)</f>
        <v>-43.189393241780067</v>
      </c>
      <c r="AM73" s="4">
        <f>MIN(AM25:AM35)</f>
        <v>-4.2435818877742477</v>
      </c>
      <c r="AR73" s="4">
        <f>MIN(AR25:AR35)</f>
        <v>3.3066298124763569</v>
      </c>
      <c r="AY73" s="4">
        <f>MIN(AY27:AY37)</f>
        <v>0.97730287951504313</v>
      </c>
      <c r="AZ73" s="328">
        <f>MIN(AZ25:AZ35)</f>
        <v>5.4741186862963385E-2</v>
      </c>
    </row>
    <row r="74" spans="1:52">
      <c r="A74" s="80" t="s">
        <v>38</v>
      </c>
      <c r="C74" s="4">
        <f>MAX(C25:C35)</f>
        <v>18.111949154489412</v>
      </c>
      <c r="E74" s="4">
        <f>MAX(E25:E35)</f>
        <v>1.2552631704646822</v>
      </c>
      <c r="F74" s="80"/>
      <c r="G74" s="4">
        <f>MAX(G25:G35)</f>
        <v>1.6083128557159934</v>
      </c>
      <c r="H74" s="4"/>
      <c r="I74" s="4"/>
      <c r="K74" s="4">
        <f>MAX(K25:K35)</f>
        <v>-0.26733776755287486</v>
      </c>
      <c r="P74" s="4">
        <f>MAX(P25:P35)</f>
        <v>3.2087348153653958</v>
      </c>
      <c r="S74" s="4">
        <f>MAX(S25:S35)</f>
        <v>198.14718999999999</v>
      </c>
      <c r="T74" s="4">
        <f>MAX(T25:T35)</f>
        <v>-37.855027885487083</v>
      </c>
      <c r="U74" s="4">
        <f>MAX(U25:U35)</f>
        <v>106.95779675821993</v>
      </c>
      <c r="V74" s="4">
        <f>MAX(V25:V35)</f>
        <v>91.189393241780067</v>
      </c>
      <c r="W74" s="4">
        <f>MAX(W25:W35)</f>
        <v>2.2387012718545911</v>
      </c>
      <c r="AC74" s="4">
        <f>MAX(AC25:AC35)</f>
        <v>578.72037037037035</v>
      </c>
      <c r="AD74" s="4">
        <f>MAX(AD25:AD35)</f>
        <v>48</v>
      </c>
      <c r="AE74" s="4">
        <f>MAX(AE25:AE35)</f>
        <v>-48</v>
      </c>
      <c r="AF74" s="4">
        <f>MAX(AF25:AF35)</f>
        <v>626.72037037037035</v>
      </c>
      <c r="AG74" s="4">
        <f>MAX(AG25:AG35)</f>
        <v>0</v>
      </c>
      <c r="AI74" s="4">
        <f>MAX(AI25:AI35)</f>
        <v>491.93548333333348</v>
      </c>
      <c r="AJ74" s="4">
        <f>MAX(AJ25:AJ35)</f>
        <v>-85.85502788548709</v>
      </c>
      <c r="AK74" s="4">
        <f>MAX(AK25:AK35)</f>
        <v>154.95779675821993</v>
      </c>
      <c r="AL74" s="4">
        <f>MAX(AL25:AL35)</f>
        <v>621.69084831838722</v>
      </c>
      <c r="AM74" s="4">
        <f>MAX(AM25:AM35)</f>
        <v>1.2787171355383189</v>
      </c>
      <c r="AR74" s="4">
        <f>MAX(AR25:AR35)</f>
        <v>14.835033337087561</v>
      </c>
      <c r="AY74" s="4">
        <f>MAX(AY27:AY37)</f>
        <v>1.0131960654114476</v>
      </c>
      <c r="AZ74" s="328">
        <f>MAX(AZ25:AZ35)</f>
        <v>0.15426795801630275</v>
      </c>
    </row>
    <row r="75" spans="1:52">
      <c r="A75" s="80" t="s">
        <v>46</v>
      </c>
      <c r="C75" s="163">
        <f>COUNT(C25:C35)</f>
        <v>11</v>
      </c>
      <c r="E75" s="163">
        <f>COUNT(E25:E35)</f>
        <v>11</v>
      </c>
      <c r="F75" s="80"/>
      <c r="G75" s="163">
        <f>COUNT(G25:G35)</f>
        <v>11</v>
      </c>
      <c r="H75" s="163"/>
      <c r="I75" s="163"/>
      <c r="K75" s="163">
        <f>COUNT(K25:K35)</f>
        <v>11</v>
      </c>
      <c r="P75" s="163">
        <f>COUNT(P25:P35)</f>
        <v>11</v>
      </c>
      <c r="S75" s="163">
        <f>COUNT(S25:S35)</f>
        <v>11</v>
      </c>
      <c r="T75" s="163">
        <f>COUNT(T25:T35)</f>
        <v>11</v>
      </c>
      <c r="U75" s="163">
        <f>COUNT(U25:U35)</f>
        <v>11</v>
      </c>
      <c r="V75" s="163">
        <f>COUNT(V25:V35)</f>
        <v>11</v>
      </c>
      <c r="W75" s="163">
        <f>COUNT(W25:W35)</f>
        <v>11</v>
      </c>
      <c r="AC75" s="163">
        <f>COUNT(AC25:AC35)</f>
        <v>11</v>
      </c>
      <c r="AD75" s="163">
        <f>COUNT(AD25:AD35)</f>
        <v>11</v>
      </c>
      <c r="AE75" s="163">
        <f>COUNT(AE25:AE35)</f>
        <v>11</v>
      </c>
      <c r="AF75" s="163">
        <f>COUNT(AF25:AF35)</f>
        <v>11</v>
      </c>
      <c r="AG75" s="163">
        <f>COUNT(AG25:AG35)</f>
        <v>11</v>
      </c>
      <c r="AI75" s="163">
        <f>COUNT(AI25:AI35)</f>
        <v>11</v>
      </c>
      <c r="AJ75" s="163">
        <f>COUNT(AJ25:AJ35)</f>
        <v>11</v>
      </c>
      <c r="AK75" s="163">
        <f>COUNT(AK25:AK35)</f>
        <v>11</v>
      </c>
      <c r="AL75" s="163">
        <f>COUNT(AL25:AL35)</f>
        <v>11</v>
      </c>
      <c r="AM75" s="163">
        <f>COUNT(AM25:AM35)</f>
        <v>11</v>
      </c>
      <c r="AR75" s="163">
        <f>COUNT(AR25:AR35)</f>
        <v>11</v>
      </c>
      <c r="AY75" s="163">
        <f>COUNT(AY25:AY35)</f>
        <v>11</v>
      </c>
      <c r="AZ75" s="163">
        <f>COUNT(AZ25:AZ35)</f>
        <v>11</v>
      </c>
    </row>
    <row r="76" spans="1:52">
      <c r="A76" s="164"/>
      <c r="C76" s="3"/>
      <c r="E76" s="3"/>
      <c r="F76" s="164"/>
      <c r="G76" s="3"/>
      <c r="H76" s="3"/>
      <c r="I76" s="3"/>
      <c r="K76" s="3"/>
      <c r="P76" s="3"/>
      <c r="S76" s="3"/>
      <c r="T76" s="3"/>
      <c r="U76" s="3"/>
      <c r="V76" s="3"/>
      <c r="W76" s="3"/>
      <c r="AC76" s="3"/>
      <c r="AD76" s="3"/>
      <c r="AE76" s="3"/>
      <c r="AF76" s="3"/>
      <c r="AG76" s="3"/>
      <c r="AI76" s="3"/>
      <c r="AJ76" s="3"/>
      <c r="AK76" s="3"/>
      <c r="AL76" s="3"/>
      <c r="AM76" s="3"/>
      <c r="AR76" s="3"/>
      <c r="AY76" s="3"/>
      <c r="AZ76" s="3"/>
    </row>
    <row r="77" spans="1:52">
      <c r="A77" s="18" t="s">
        <v>139</v>
      </c>
      <c r="C77" s="3"/>
      <c r="E77" s="3"/>
      <c r="F77" s="18"/>
      <c r="G77" s="3"/>
      <c r="H77" s="3"/>
      <c r="I77" s="3"/>
      <c r="K77" s="3"/>
      <c r="P77" s="3"/>
      <c r="S77" s="3"/>
      <c r="T77" s="3"/>
      <c r="U77" s="3"/>
      <c r="V77" s="3"/>
      <c r="W77" s="3"/>
      <c r="AC77" s="3"/>
      <c r="AD77" s="3"/>
      <c r="AE77" s="3"/>
      <c r="AF77" s="3"/>
      <c r="AG77" s="3"/>
      <c r="AI77" s="3"/>
      <c r="AJ77" s="3"/>
      <c r="AK77" s="3"/>
      <c r="AL77" s="3"/>
      <c r="AM77" s="3"/>
      <c r="AR77" s="3"/>
      <c r="AY77" s="3"/>
      <c r="AZ77" s="3"/>
    </row>
    <row r="78" spans="1:52">
      <c r="A78" s="80" t="s">
        <v>45</v>
      </c>
      <c r="C78" s="3">
        <f>AVERAGE(C36:C44)</f>
        <v>29.746062995782172</v>
      </c>
      <c r="E78" s="3">
        <f>AVERAGE(E36:E44)</f>
        <v>2.3540642148028432</v>
      </c>
      <c r="F78" s="80"/>
      <c r="G78" s="3">
        <f>AVERAGE(G36:G44)</f>
        <v>2.9751618047785584</v>
      </c>
      <c r="H78" s="3"/>
      <c r="I78" s="3"/>
      <c r="K78" s="3">
        <f>AVERAGE(K36:K44)</f>
        <v>-0.62109758997571562</v>
      </c>
      <c r="P78" s="3">
        <f>AVERAGE(P36:P44)</f>
        <v>3.8965824505624695</v>
      </c>
      <c r="S78" s="3">
        <f>AVERAGE(S36:S44)</f>
        <v>197.44827555555554</v>
      </c>
      <c r="T78" s="3">
        <f>AVERAGE(T36:T44)</f>
        <v>-87.947418740561332</v>
      </c>
      <c r="U78" s="3">
        <f>AVERAGE(U36:U44)</f>
        <v>87.947418740561332</v>
      </c>
      <c r="V78" s="3">
        <f>AVERAGE(V36:V44)</f>
        <v>109.50085681499422</v>
      </c>
      <c r="W78" s="3">
        <f>AVERAGE(W36:W44)</f>
        <v>2.8664893770641968</v>
      </c>
      <c r="AC78" s="3">
        <f>AVERAGE(AC36:AC44)</f>
        <v>457.56021420657521</v>
      </c>
      <c r="AD78" s="3">
        <f>AVERAGE(AD36:AD44)</f>
        <v>48.111111111111114</v>
      </c>
      <c r="AE78" s="3">
        <f>AVERAGE(AE36:AE44)</f>
        <v>-48.111111111111114</v>
      </c>
      <c r="AF78" s="3">
        <f>AVERAGE(AF36:AF44)</f>
        <v>505.67132531768635</v>
      </c>
      <c r="AG78" s="3">
        <f>AVERAGE(AG36:AG44)</f>
        <v>-9.5091267029683024</v>
      </c>
      <c r="AI78" s="3">
        <f>AVERAGE(AI36:AI44)</f>
        <v>260.11193865101973</v>
      </c>
      <c r="AJ78" s="3">
        <f>AVERAGE(AJ36:AJ44)</f>
        <v>-136.05852985167246</v>
      </c>
      <c r="AK78" s="3">
        <f>AVERAGE(AK36:AK44)</f>
        <v>136.05852985167246</v>
      </c>
      <c r="AL78" s="3">
        <f>AVERAGE(AL36:AL44)</f>
        <v>396.17046850269219</v>
      </c>
      <c r="AM78" s="3">
        <f>AVERAGE(AM36:AM44)</f>
        <v>-2.3149117417275207</v>
      </c>
      <c r="AR78" s="3">
        <f>AVERAGE(AR36:AR44)</f>
        <v>1.5845653568981786</v>
      </c>
      <c r="AY78" s="4">
        <f>AVERAGE(AY34:AY44)</f>
        <v>1.0129819876026795</v>
      </c>
      <c r="AZ78" s="328">
        <f>AVERAGE(AZ36:AZ44)</f>
        <v>9.3114916970955433E-2</v>
      </c>
    </row>
    <row r="79" spans="1:52">
      <c r="A79" s="80" t="s">
        <v>128</v>
      </c>
      <c r="C79" s="4">
        <f>STDEV(C36:C44)/SQRT(C82)</f>
        <v>2.9989324740716277</v>
      </c>
      <c r="E79" s="4">
        <f>STDEV(E36:E44)/SQRT(E82)</f>
        <v>0.47378921855665967</v>
      </c>
      <c r="F79" s="80"/>
      <c r="G79" s="4">
        <f>STDEV(G36:G44)/SQRT(G82)</f>
        <v>0.47017879244116845</v>
      </c>
      <c r="H79" s="4"/>
      <c r="I79" s="4"/>
      <c r="K79" s="4">
        <f>STDEV(K36:K44)/SQRT(K82)</f>
        <v>0.13421217958412371</v>
      </c>
      <c r="P79" s="4">
        <f>STDEV(P36:P44)/SQRT(P82)</f>
        <v>0.87912630794970525</v>
      </c>
      <c r="S79" s="4">
        <f>STDEV(S36:S44)/SQRT(S82)</f>
        <v>66.234141104621415</v>
      </c>
      <c r="T79" s="4">
        <f>STDEV(T36:T44)/SQRT(T82)</f>
        <v>19.004444629111919</v>
      </c>
      <c r="U79" s="4">
        <f>STDEV(U36:U44)/SQRT(U82)</f>
        <v>19.004444629111919</v>
      </c>
      <c r="V79" s="4">
        <f>STDEV(V36:V44)/SQRT(V82)</f>
        <v>66.039612150572722</v>
      </c>
      <c r="W79" s="4">
        <f>STDEV(W36:W44)/SQRT(W82)</f>
        <v>0.8931466236102823</v>
      </c>
      <c r="AC79" s="4">
        <f>STDEV(AC36:AC44)/SQRT(AC82)</f>
        <v>32.383326937600593</v>
      </c>
      <c r="AD79" s="4">
        <f>STDEV(AD36:AD44)/SQRT(AD82)</f>
        <v>0.11111111111111112</v>
      </c>
      <c r="AE79" s="4">
        <f>STDEV(AE36:AE44)/SQRT(AE82)</f>
        <v>0.11111111111111112</v>
      </c>
      <c r="AF79" s="4">
        <f>STDEV(AF36:AF44)/SQRT(AF82)</f>
        <v>32.399511199423145</v>
      </c>
      <c r="AG79" s="4">
        <f>STDEV(AG36:AG44)/SQRT(AG82)</f>
        <v>0.67168524542324937</v>
      </c>
      <c r="AI79" s="4">
        <f>STDEV(AI36:AI44)/SQRT(AI82)</f>
        <v>69.083641976806149</v>
      </c>
      <c r="AJ79" s="4">
        <f>STDEV(AJ36:AJ44)/SQRT(AJ82)</f>
        <v>18.968258343665777</v>
      </c>
      <c r="AK79" s="4">
        <f>STDEV(AK36:AK44)/SQRT(AK82)</f>
        <v>18.968258343665777</v>
      </c>
      <c r="AL79" s="4">
        <f>STDEV(AL36:AL44)/SQRT(AL82)</f>
        <v>68.63198879554588</v>
      </c>
      <c r="AM79" s="4">
        <f>STDEV(AM36:AM44)/SQRT(AM82)</f>
        <v>0.60554037432112062</v>
      </c>
      <c r="AR79" s="4">
        <f>STDEV(AR36:AR44)/SQRT(AR82)</f>
        <v>0.61022204998125118</v>
      </c>
      <c r="AY79" s="4">
        <f>STDEV(AY34:AY44)/SQRT(AY82)</f>
        <v>6.0907762547306073E-3</v>
      </c>
      <c r="AZ79" s="328">
        <f>STDEV(AZ36:AZ44)/SQRT(AZ82)</f>
        <v>1.6281522971962899E-2</v>
      </c>
    </row>
    <row r="80" spans="1:52">
      <c r="A80" s="80" t="s">
        <v>39</v>
      </c>
      <c r="C80" s="4">
        <f>MIN(C36:C44)</f>
        <v>17.868666641707172</v>
      </c>
      <c r="E80" s="4">
        <f>MIN(E36:E44)</f>
        <v>0.30029837902515494</v>
      </c>
      <c r="F80" s="80"/>
      <c r="G80" s="4">
        <f>MIN(G36:G44)</f>
        <v>0.85128289799852852</v>
      </c>
      <c r="H80" s="4"/>
      <c r="I80" s="4"/>
      <c r="K80" s="4">
        <f>MIN(K36:K44)</f>
        <v>-1.4778761779784417</v>
      </c>
      <c r="P80" s="4">
        <f>MIN(P36:P44)</f>
        <v>0.38537131467797847</v>
      </c>
      <c r="S80" s="4">
        <f>MIN(S36:S44)</f>
        <v>58.857230000000001</v>
      </c>
      <c r="T80" s="4">
        <f>MIN(T36:T44)</f>
        <v>-209.26726680174735</v>
      </c>
      <c r="U80" s="4">
        <f>MIN(U36:U44)</f>
        <v>36.471919124361264</v>
      </c>
      <c r="V80" s="4">
        <f>MIN(V36:V44)</f>
        <v>-140.57918680174737</v>
      </c>
      <c r="W80" s="4">
        <f>MIN(W36:W44)</f>
        <v>0.32823136197918967</v>
      </c>
      <c r="AC80" s="4">
        <f>MIN(AC36:AC44)</f>
        <v>298.3518518518519</v>
      </c>
      <c r="AD80" s="4">
        <f>MIN(AD36:AD44)</f>
        <v>48</v>
      </c>
      <c r="AE80" s="4">
        <f>MIN(AE36:AE44)</f>
        <v>-49</v>
      </c>
      <c r="AF80" s="4">
        <f>MIN(AF36:AF44)</f>
        <v>346.3518518518519</v>
      </c>
      <c r="AG80" s="4">
        <f>MIN(AG36:AG44)</f>
        <v>-11.271083333333332</v>
      </c>
      <c r="AI80" s="4">
        <f>MIN(AI36:AI44)</f>
        <v>-160.2987</v>
      </c>
      <c r="AJ80" s="4">
        <f>MIN(AJ36:AJ44)</f>
        <v>-257.26726680174738</v>
      </c>
      <c r="AK80" s="4">
        <f>MIN(AK36:AK44)</f>
        <v>84.471919124361264</v>
      </c>
      <c r="AL80" s="4">
        <f>MIN(AL36:AL44)</f>
        <v>28.396023910670124</v>
      </c>
      <c r="AM80" s="4">
        <f>MIN(AM36:AM44)</f>
        <v>-5.0262193769841428</v>
      </c>
      <c r="AR80" s="4">
        <f>MIN(AR36:AR44)</f>
        <v>0.20908902492163117</v>
      </c>
      <c r="AY80" s="4">
        <f>MIN(AY34:AY44)</f>
        <v>0.99237232860891122</v>
      </c>
      <c r="AZ80" s="328">
        <f>MIN(AZ36:AZ44)</f>
        <v>2.9653648263268495E-2</v>
      </c>
    </row>
    <row r="81" spans="1:52">
      <c r="A81" s="80" t="s">
        <v>38</v>
      </c>
      <c r="C81" s="4">
        <f>MAX(C36:C44)</f>
        <v>45.225962467698309</v>
      </c>
      <c r="E81" s="4">
        <f>MAX(E36:E44)</f>
        <v>5.355802082780027</v>
      </c>
      <c r="F81" s="80"/>
      <c r="G81" s="4">
        <f>MAX(G36:G44)</f>
        <v>5.9484530244573062</v>
      </c>
      <c r="H81" s="4"/>
      <c r="I81" s="4"/>
      <c r="K81" s="4">
        <f>MAX(K36:K44)</f>
        <v>-0.25757005031328578</v>
      </c>
      <c r="P81" s="4">
        <f>MAX(P36:P44)</f>
        <v>9.1489718936791444</v>
      </c>
      <c r="S81" s="4">
        <f>MAX(S36:S44)</f>
        <v>669.90070000000003</v>
      </c>
      <c r="T81" s="4">
        <f>MAX(T36:T44)</f>
        <v>-36.471919124361264</v>
      </c>
      <c r="U81" s="4">
        <f>MAX(U36:U44)</f>
        <v>209.26726680174735</v>
      </c>
      <c r="V81" s="4">
        <f>MAX(V36:V44)</f>
        <v>529.20597608932985</v>
      </c>
      <c r="W81" s="4">
        <f>MAX(W36:W44)</f>
        <v>8.297935158499838</v>
      </c>
      <c r="AC81" s="4">
        <f>MAX(AC36:AC44)</f>
        <v>541.01199999999994</v>
      </c>
      <c r="AD81" s="4">
        <f>MAX(AD36:AD44)</f>
        <v>49</v>
      </c>
      <c r="AE81" s="4">
        <f>MAX(AE36:AE44)</f>
        <v>-48</v>
      </c>
      <c r="AF81" s="4">
        <f>MAX(AF36:AF44)</f>
        <v>589.01199999999994</v>
      </c>
      <c r="AG81" s="4">
        <f>MAX(AG36:AG44)</f>
        <v>-6.2156635802469147</v>
      </c>
      <c r="AI81" s="4">
        <f>MAX(AI36:AI44)</f>
        <v>478.86419857142863</v>
      </c>
      <c r="AJ81" s="4">
        <f>MAX(AJ36:AJ44)</f>
        <v>-84.471919124361264</v>
      </c>
      <c r="AK81" s="4">
        <f>MAX(AK36:AK44)</f>
        <v>257.26726680174738</v>
      </c>
      <c r="AL81" s="4">
        <f>MAX(AL36:AL44)</f>
        <v>693.9003406479012</v>
      </c>
      <c r="AM81" s="4">
        <f>MAX(AM36:AM44)</f>
        <v>0.8495134186999681</v>
      </c>
      <c r="AR81" s="4">
        <f>MAX(AR36:AR44)</f>
        <v>5.84545064245685</v>
      </c>
      <c r="AY81" s="4">
        <f>MAX(AY34:AY44)</f>
        <v>1.0517860886024712</v>
      </c>
      <c r="AZ81" s="328">
        <f>MAX(AZ36:AZ44)</f>
        <v>0.16114165956143137</v>
      </c>
    </row>
    <row r="82" spans="1:52">
      <c r="A82" s="80" t="s">
        <v>46</v>
      </c>
      <c r="C82" s="163">
        <f>COUNT(C36:C44)</f>
        <v>9</v>
      </c>
      <c r="E82" s="163">
        <f>COUNT(E36:E44)</f>
        <v>9</v>
      </c>
      <c r="F82" s="80"/>
      <c r="G82" s="163">
        <f>COUNT(G36:G44)</f>
        <v>9</v>
      </c>
      <c r="H82" s="163"/>
      <c r="I82" s="163"/>
      <c r="K82" s="163">
        <f>COUNT(K36:K44)</f>
        <v>9</v>
      </c>
      <c r="P82" s="163">
        <f>COUNT(P36:P44)</f>
        <v>9</v>
      </c>
      <c r="S82" s="163">
        <f>COUNT(S36:S44)</f>
        <v>9</v>
      </c>
      <c r="T82" s="163">
        <f>COUNT(T36:T44)</f>
        <v>9</v>
      </c>
      <c r="U82" s="163">
        <f>COUNT(U36:U44)</f>
        <v>9</v>
      </c>
      <c r="V82" s="163">
        <f>COUNT(V36:V44)</f>
        <v>9</v>
      </c>
      <c r="W82" s="163">
        <f>COUNT(W36:W44)</f>
        <v>9</v>
      </c>
      <c r="AC82" s="163">
        <f>COUNT(AC36:AC44)</f>
        <v>9</v>
      </c>
      <c r="AD82" s="163">
        <f>COUNT(AD36:AD44)</f>
        <v>9</v>
      </c>
      <c r="AE82" s="163">
        <f>COUNT(AE36:AE44)</f>
        <v>9</v>
      </c>
      <c r="AF82" s="163">
        <f>COUNT(AF36:AF44)</f>
        <v>9</v>
      </c>
      <c r="AG82" s="163">
        <f>COUNT(AG36:AG44)</f>
        <v>9</v>
      </c>
      <c r="AI82" s="163">
        <f>COUNT(AI36:AI44)</f>
        <v>9</v>
      </c>
      <c r="AJ82" s="163">
        <f>COUNT(AJ36:AJ44)</f>
        <v>9</v>
      </c>
      <c r="AK82" s="163">
        <f>COUNT(AK36:AK44)</f>
        <v>9</v>
      </c>
      <c r="AL82" s="163">
        <f>COUNT(AL36:AL44)</f>
        <v>9</v>
      </c>
      <c r="AM82" s="163">
        <f>COUNT(AM36:AM44)</f>
        <v>9</v>
      </c>
      <c r="AR82" s="163">
        <f>COUNT(AR36:AR44)</f>
        <v>9</v>
      </c>
      <c r="AY82" s="163">
        <f>COUNT(AY36:AY44)</f>
        <v>9</v>
      </c>
      <c r="AZ82" s="163">
        <f>COUNT(AZ36:AZ44)</f>
        <v>9</v>
      </c>
    </row>
    <row r="83" spans="1:52">
      <c r="A83" s="164"/>
      <c r="C83" s="163"/>
      <c r="E83" s="163"/>
      <c r="F83" s="164"/>
      <c r="G83" s="163"/>
      <c r="H83" s="163"/>
      <c r="I83" s="163"/>
      <c r="K83" s="163"/>
      <c r="P83" s="163"/>
      <c r="S83" s="163"/>
      <c r="T83" s="163"/>
      <c r="U83" s="163"/>
      <c r="V83" s="163"/>
      <c r="W83" s="163"/>
      <c r="AC83" s="163"/>
      <c r="AD83" s="163"/>
      <c r="AE83" s="163"/>
      <c r="AF83" s="163"/>
      <c r="AG83" s="163"/>
      <c r="AI83" s="163"/>
      <c r="AJ83" s="163"/>
      <c r="AK83" s="163"/>
      <c r="AL83" s="163"/>
      <c r="AM83" s="163"/>
      <c r="AR83" s="163"/>
      <c r="AY83" s="163"/>
      <c r="AZ83" s="163"/>
    </row>
    <row r="84" spans="1:52">
      <c r="A84" s="18" t="s">
        <v>140</v>
      </c>
      <c r="C84" s="4"/>
      <c r="E84" s="4"/>
      <c r="F84" s="18"/>
      <c r="G84" s="4"/>
      <c r="H84" s="4"/>
      <c r="I84" s="4"/>
      <c r="K84" s="4"/>
      <c r="P84" s="4"/>
      <c r="S84" s="4"/>
      <c r="T84" s="4"/>
      <c r="U84" s="4"/>
      <c r="V84" s="4"/>
      <c r="W84" s="4"/>
      <c r="AC84" s="4"/>
      <c r="AD84" s="4"/>
      <c r="AE84" s="4"/>
      <c r="AF84" s="4"/>
      <c r="AG84" s="4"/>
      <c r="AI84" s="4"/>
      <c r="AJ84" s="4"/>
      <c r="AK84" s="4"/>
      <c r="AL84" s="4"/>
      <c r="AM84" s="4"/>
      <c r="AR84" s="4"/>
      <c r="AY84" s="4"/>
      <c r="AZ84" s="4"/>
    </row>
    <row r="85" spans="1:52">
      <c r="A85" s="80" t="s">
        <v>45</v>
      </c>
      <c r="C85" s="3">
        <f>AVERAGE(C25:C44)</f>
        <v>17.466276352286307</v>
      </c>
      <c r="E85" s="3">
        <f>AVERAGE(E25:E44)</f>
        <v>1.3848793588433086</v>
      </c>
      <c r="F85" s="80"/>
      <c r="G85" s="3">
        <f>AVERAGE(G25:G44)</f>
        <v>1.9616399644256071</v>
      </c>
      <c r="H85" s="3"/>
      <c r="I85" s="3"/>
      <c r="K85" s="3">
        <f>AVERAGE(K25:K44)</f>
        <v>-0.57676060558229802</v>
      </c>
      <c r="P85" s="3">
        <f>AVERAGE(P25:P44)</f>
        <v>2.6453967643301053</v>
      </c>
      <c r="S85" s="3">
        <f>AVERAGE(S25:S44)</f>
        <v>140.21792756178587</v>
      </c>
      <c r="T85" s="3">
        <f>AVERAGE(T25:T44)</f>
        <v>-81.669301750453414</v>
      </c>
      <c r="U85" s="3">
        <f>AVERAGE(U25:U44)</f>
        <v>81.669301750453414</v>
      </c>
      <c r="V85" s="3">
        <f>AVERAGE(V25:V44)</f>
        <v>58.548625811332464</v>
      </c>
      <c r="W85" s="3">
        <f>AVERAGE(W25:W44)</f>
        <v>1.9932851839547425</v>
      </c>
      <c r="Y85">
        <f>5/S85</f>
        <v>3.5658778352695243E-2</v>
      </c>
      <c r="AC85" s="3">
        <f>AVERAGE(AC25:AC44)</f>
        <v>374.39032644993893</v>
      </c>
      <c r="AD85" s="3">
        <f>AVERAGE(AD25:AD44)</f>
        <v>48.05</v>
      </c>
      <c r="AE85" s="3">
        <f>AVERAGE(AE25:AE44)</f>
        <v>-48.05</v>
      </c>
      <c r="AF85" s="3">
        <f>AVERAGE(AF25:AF44)</f>
        <v>422.44032644993894</v>
      </c>
      <c r="AG85" s="3">
        <f>AVERAGE(AG25:AG44)</f>
        <v>-7.7892784758561557</v>
      </c>
      <c r="AI85" s="3">
        <f>AVERAGE(AI25:AI44)</f>
        <v>234.17239888815303</v>
      </c>
      <c r="AJ85" s="3">
        <f>AVERAGE(AJ25:AJ44)</f>
        <v>-129.71930175045344</v>
      </c>
      <c r="AK85" s="3">
        <f>AVERAGE(AK25:AK44)</f>
        <v>129.71930175045344</v>
      </c>
      <c r="AL85" s="3">
        <f>AVERAGE(AL25:AL44)</f>
        <v>363.89170063860655</v>
      </c>
      <c r="AM85" s="3"/>
      <c r="AR85" s="3">
        <f>AVERAGE(AR25:AR44)</f>
        <v>6.5926945269513668</v>
      </c>
      <c r="AY85" s="4">
        <f>AVERAGE(AY41:AY51)</f>
        <v>0.86259698254051409</v>
      </c>
      <c r="AZ85" s="328">
        <f>AVERAGE(AZ25:AZ44)</f>
        <v>8.8274773143457205E-2</v>
      </c>
    </row>
    <row r="86" spans="1:52">
      <c r="A86" s="80" t="s">
        <v>128</v>
      </c>
      <c r="C86" s="4">
        <f>STDEV(C25:C44)/SQRT(C89)</f>
        <v>2.9585256253798522</v>
      </c>
      <c r="E86" s="4">
        <f>STDEV(E25:E44)/SQRT(E89)</f>
        <v>0.29144115098573292</v>
      </c>
      <c r="F86" s="80"/>
      <c r="G86" s="4">
        <f>STDEV(G25:G44)/SQRT(G89)</f>
        <v>0.29600778271741135</v>
      </c>
      <c r="H86" s="4"/>
      <c r="I86" s="4"/>
      <c r="K86" s="4">
        <f>STDEV(K25:K44)/SQRT(K89)</f>
        <v>6.4575167537379324E-2</v>
      </c>
      <c r="P86" s="4">
        <f>STDEV(P25:P44)/SQRT(P89)</f>
        <v>0.4924351278709389</v>
      </c>
      <c r="S86" s="4">
        <f>STDEV(S25:S44)/SQRT(S89)</f>
        <v>32.036414128582109</v>
      </c>
      <c r="T86" s="4">
        <f>STDEV(T25:T44)/SQRT(T89)</f>
        <v>9.1438437232929051</v>
      </c>
      <c r="U86" s="4">
        <f>STDEV(U25:U44)/SQRT(U89)</f>
        <v>9.1438437232929051</v>
      </c>
      <c r="V86" s="4">
        <f>STDEV(V25:V44)/SQRT(V89)</f>
        <v>31.302033718545871</v>
      </c>
      <c r="W86" s="4">
        <f>STDEV(W25:W44)/SQRT(W89)</f>
        <v>0.43819818863039445</v>
      </c>
      <c r="Y86" s="4">
        <f>11.3/T85</f>
        <v>-0.13836288247606163</v>
      </c>
      <c r="Z86" s="4"/>
      <c r="AA86" s="4"/>
      <c r="AB86" s="4"/>
      <c r="AC86" s="4">
        <f>STDEV(AC25:AC44)/SQRT(AC89)</f>
        <v>44.278356092898392</v>
      </c>
      <c r="AD86" s="4">
        <f>STDEV(AD25:AD44)/SQRT(AD89)</f>
        <v>4.9999999999999996E-2</v>
      </c>
      <c r="AE86" s="4">
        <f>STDEV(AE25:AE44)/SQRT(AE89)</f>
        <v>4.9999999999999996E-2</v>
      </c>
      <c r="AF86" s="4">
        <f>STDEV(AF25:AF44)/SQRT(AF89)</f>
        <v>44.285543593772381</v>
      </c>
      <c r="AG86" s="4">
        <f>STDEV(AG25:AG44)/SQRT(AG89)</f>
        <v>0.92101817015667475</v>
      </c>
      <c r="AI86" s="4">
        <f>STDEV(AI25:AI44)/SQRT(AI89)</f>
        <v>52.712900795896779</v>
      </c>
      <c r="AJ86" s="4">
        <f>STDEV(AJ25:AJ44)/SQRT(AJ89)</f>
        <v>9.1314143197231346</v>
      </c>
      <c r="AK86" s="4">
        <f>STDEV(AK25:AK44)/SQRT(AK89)</f>
        <v>9.1314143197231346</v>
      </c>
      <c r="AL86" s="4">
        <f>STDEV(AL25:AL44)/SQRT(AL89)</f>
        <v>51.309813407673666</v>
      </c>
      <c r="AM86" s="4"/>
      <c r="AR86" s="4">
        <f>STDEV(AR25:AR44)/SQRT(AR89)</f>
        <v>1.1995878992091031</v>
      </c>
      <c r="AY86" s="4">
        <f>STDEV(AY41:AY51)/SQRT(AY89)</f>
        <v>8.5064093988314479E-2</v>
      </c>
      <c r="AZ86" s="328">
        <f>STDEV(AZ25:AZ44)/SQRT(AZ89)</f>
        <v>8.7936690784315812E-3</v>
      </c>
    </row>
    <row r="87" spans="1:52">
      <c r="A87" s="80" t="s">
        <v>39</v>
      </c>
      <c r="C87" s="4">
        <f>MIN(C25:C44)</f>
        <v>3.2730265328915098</v>
      </c>
      <c r="E87" s="4">
        <f>MIN(E25:E44)</f>
        <v>0.23016988420390341</v>
      </c>
      <c r="F87" s="80"/>
      <c r="G87" s="4">
        <f>MIN(G25:G44)</f>
        <v>0.80753828099100611</v>
      </c>
      <c r="H87" s="4"/>
      <c r="I87" s="4"/>
      <c r="K87" s="4">
        <f>MIN(K25:K44)</f>
        <v>-1.4778761779784417</v>
      </c>
      <c r="P87" s="4">
        <f>MIN(P25:P44)</f>
        <v>0.30078146358414415</v>
      </c>
      <c r="S87" s="4">
        <f>MIN(S25:S44)</f>
        <v>45.991972162386652</v>
      </c>
      <c r="T87" s="4">
        <f>MIN(T25:T44)</f>
        <v>-209.26726680174735</v>
      </c>
      <c r="U87" s="4">
        <f>MIN(U25:U44)</f>
        <v>36.471919124361264</v>
      </c>
      <c r="V87" s="4">
        <f>MIN(V25:V44)</f>
        <v>-140.57918680174737</v>
      </c>
      <c r="W87" s="4">
        <f>MIN(W25:W44)</f>
        <v>0.32823136197918967</v>
      </c>
      <c r="AC87" s="4">
        <f>MIN(AC25:AC44)</f>
        <v>0</v>
      </c>
      <c r="AD87" s="4">
        <f>MIN(AD25:AD44)</f>
        <v>48</v>
      </c>
      <c r="AE87" s="4">
        <f>MIN(AE25:AE44)</f>
        <v>-49</v>
      </c>
      <c r="AF87" s="4">
        <f>MIN(AF25:AF44)</f>
        <v>48</v>
      </c>
      <c r="AG87" s="4">
        <f>MIN(AG25:AG44)</f>
        <v>-12.056674382716048</v>
      </c>
      <c r="AI87" s="4">
        <f>MIN(AI25:AI44)</f>
        <v>-198.14718999999999</v>
      </c>
      <c r="AJ87" s="4">
        <f>MIN(AJ25:AJ44)</f>
        <v>-257.26726680174738</v>
      </c>
      <c r="AK87" s="4">
        <f>MIN(AK25:AK44)</f>
        <v>84.471919124361264</v>
      </c>
      <c r="AL87" s="4">
        <f>MIN(AL25:AL44)</f>
        <v>-43.189393241780067</v>
      </c>
      <c r="AM87" s="4"/>
      <c r="AR87" s="4">
        <f>MIN(AR25:AR44)</f>
        <v>0.20908902492163117</v>
      </c>
      <c r="AY87" s="4">
        <f>MIN(AY41:AY51)</f>
        <v>1.6903030017268665E-3</v>
      </c>
      <c r="AZ87" s="328">
        <f>MIN(AZ25:AZ44)</f>
        <v>2.9653648263268495E-2</v>
      </c>
    </row>
    <row r="88" spans="1:52">
      <c r="A88" s="80" t="s">
        <v>38</v>
      </c>
      <c r="C88" s="4">
        <f>MAX(C25:C44)</f>
        <v>45.225962467698309</v>
      </c>
      <c r="E88" s="4">
        <f>MAX(E25:E44)</f>
        <v>5.355802082780027</v>
      </c>
      <c r="F88" s="80"/>
      <c r="G88" s="4">
        <f>MAX(G25:G44)</f>
        <v>5.9484530244573062</v>
      </c>
      <c r="H88" s="4"/>
      <c r="I88" s="4"/>
      <c r="K88" s="4">
        <f>MAX(K25:K44)</f>
        <v>-0.25757005031328578</v>
      </c>
      <c r="P88" s="4">
        <f>MAX(P25:P44)</f>
        <v>9.1489718936791444</v>
      </c>
      <c r="S88" s="4">
        <f>MAX(S25:S44)</f>
        <v>669.90070000000003</v>
      </c>
      <c r="T88" s="4">
        <f>MAX(T25:T44)</f>
        <v>-36.471919124361264</v>
      </c>
      <c r="U88" s="4">
        <f>MAX(U25:U44)</f>
        <v>209.26726680174735</v>
      </c>
      <c r="V88" s="4">
        <f>MAX(V25:V44)</f>
        <v>529.20597608932985</v>
      </c>
      <c r="W88" s="4">
        <f>MAX(W25:W44)</f>
        <v>8.297935158499838</v>
      </c>
      <c r="AC88" s="4">
        <f>MAX(AC25:AC44)</f>
        <v>578.72037037037035</v>
      </c>
      <c r="AD88" s="4">
        <f>MAX(AD25:AD44)</f>
        <v>49</v>
      </c>
      <c r="AE88" s="4">
        <f>MAX(AE25:AE44)</f>
        <v>-48</v>
      </c>
      <c r="AF88" s="4">
        <f>MAX(AF25:AF44)</f>
        <v>626.72037037037035</v>
      </c>
      <c r="AG88" s="4">
        <f>MAX(AG25:AG44)</f>
        <v>0</v>
      </c>
      <c r="AI88" s="4">
        <f>MAX(AI25:AI44)</f>
        <v>491.93548333333348</v>
      </c>
      <c r="AJ88" s="4">
        <f>MAX(AJ25:AJ44)</f>
        <v>-84.471919124361264</v>
      </c>
      <c r="AK88" s="4">
        <f>MAX(AK25:AK44)</f>
        <v>257.26726680174738</v>
      </c>
      <c r="AL88" s="4">
        <f>MAX(AL25:AL44)</f>
        <v>693.9003406479012</v>
      </c>
      <c r="AM88" s="4"/>
      <c r="AR88" s="4">
        <f>MAX(AR25:AR44)</f>
        <v>14.835033337087561</v>
      </c>
      <c r="AY88" s="4">
        <f>MAX(AY41:AY51)</f>
        <v>1.0517860886024712</v>
      </c>
      <c r="AZ88" s="328">
        <f>MAX(AZ25:AZ44)</f>
        <v>0.16114165956143137</v>
      </c>
    </row>
    <row r="89" spans="1:52">
      <c r="A89" s="80" t="s">
        <v>46</v>
      </c>
      <c r="C89" s="163">
        <f>COUNT(C25:C44)</f>
        <v>20</v>
      </c>
      <c r="E89" s="163">
        <f>COUNT(E25:E44)</f>
        <v>20</v>
      </c>
      <c r="F89" s="80"/>
      <c r="G89" s="163">
        <f>COUNT(G25:G44)</f>
        <v>20</v>
      </c>
      <c r="H89" s="163"/>
      <c r="I89" s="163"/>
      <c r="K89" s="163">
        <f>COUNT(K25:K44)</f>
        <v>20</v>
      </c>
      <c r="P89" s="163">
        <f>COUNT(P25:P44)</f>
        <v>20</v>
      </c>
      <c r="S89" s="163">
        <f>COUNT(S25:S44)</f>
        <v>20</v>
      </c>
      <c r="T89" s="163">
        <f>COUNT(T25:T44)</f>
        <v>20</v>
      </c>
      <c r="U89" s="163">
        <f>COUNT(U25:U44)</f>
        <v>20</v>
      </c>
      <c r="V89" s="163">
        <f>COUNT(V25:V44)</f>
        <v>20</v>
      </c>
      <c r="W89" s="163">
        <f>COUNT(W25:W44)</f>
        <v>20</v>
      </c>
      <c r="AC89" s="163">
        <f>COUNT(AC25:AC44)</f>
        <v>20</v>
      </c>
      <c r="AD89" s="163">
        <f>COUNT(AD25:AD44)</f>
        <v>20</v>
      </c>
      <c r="AE89" s="163">
        <f>COUNT(AE25:AE44)</f>
        <v>20</v>
      </c>
      <c r="AF89" s="163">
        <f>COUNT(AF25:AF44)</f>
        <v>20</v>
      </c>
      <c r="AG89" s="163">
        <f>COUNT(AG25:AG44)</f>
        <v>20</v>
      </c>
      <c r="AI89" s="163">
        <f>COUNT(AI25:AI44)</f>
        <v>20</v>
      </c>
      <c r="AJ89" s="163">
        <f>COUNT(AJ25:AJ44)</f>
        <v>20</v>
      </c>
      <c r="AK89" s="163">
        <f>COUNT(AK25:AK44)</f>
        <v>20</v>
      </c>
      <c r="AL89" s="163">
        <f>COUNT(AL25:AL44)</f>
        <v>20</v>
      </c>
      <c r="AM89" s="163"/>
      <c r="AR89" s="163">
        <f>COUNT(AR25:AR44)</f>
        <v>20</v>
      </c>
      <c r="AY89" s="163">
        <f>COUNT(AY25:AY44)</f>
        <v>20</v>
      </c>
      <c r="AZ89" s="163">
        <f>COUNT(AZ25:AZ44)</f>
        <v>20</v>
      </c>
    </row>
    <row r="90" spans="1:52">
      <c r="A90" s="161"/>
      <c r="E90" s="161"/>
      <c r="F90" s="161"/>
      <c r="H90"/>
      <c r="P90" s="161"/>
      <c r="U90" s="161"/>
      <c r="AC90" s="161"/>
      <c r="AD90" s="161"/>
      <c r="AE90" s="161"/>
      <c r="AF90" s="161"/>
      <c r="AI90" s="161"/>
      <c r="AJ90" s="161"/>
      <c r="AK90" s="161"/>
      <c r="AL90" s="161"/>
      <c r="AR90" s="161"/>
    </row>
    <row r="91" spans="1:52">
      <c r="A91" s="18" t="s">
        <v>144</v>
      </c>
      <c r="B91" s="161"/>
      <c r="C91" s="4"/>
      <c r="E91" s="4"/>
      <c r="F91" s="161"/>
      <c r="G91" s="3"/>
      <c r="H91"/>
      <c r="P91" s="161"/>
      <c r="U91" s="161"/>
      <c r="AC91" s="161"/>
      <c r="AD91" s="161"/>
      <c r="AE91" s="161"/>
      <c r="AF91" s="161"/>
      <c r="AI91" s="161"/>
      <c r="AJ91" s="161"/>
      <c r="AK91" s="161"/>
      <c r="AL91" s="161"/>
      <c r="AR91" s="161"/>
    </row>
    <row r="92" spans="1:52">
      <c r="A92" s="80" t="s">
        <v>45</v>
      </c>
      <c r="B92" s="161"/>
      <c r="C92" s="3">
        <f>AVERAGE(C5:C44)</f>
        <v>17.846596631195091</v>
      </c>
      <c r="E92" s="3">
        <f>AVERAGE(E5:E44)</f>
        <v>1.4765325483020344</v>
      </c>
      <c r="G92" s="4">
        <f>AVERAGE(G5:G44)</f>
        <v>2.0922443073598833</v>
      </c>
      <c r="K92" s="4">
        <f>AVERAGE(K5:K44)</f>
        <v>-0.6157117590578487</v>
      </c>
      <c r="P92" s="4">
        <f>AVERAGE(P5:P44)</f>
        <v>2.634336207633432</v>
      </c>
      <c r="S92" s="3">
        <f>AVERAGE(S5:S44)</f>
        <v>91.173395011094655</v>
      </c>
      <c r="T92" s="3">
        <f>AVERAGE(T5:T44)</f>
        <v>-52.618583300827915</v>
      </c>
      <c r="U92" s="3">
        <f>AVERAGE(U5:U44)</f>
        <v>52.618583300827915</v>
      </c>
      <c r="V92" s="3">
        <f>AVERAGE(V5:V44)</f>
        <v>38.554811710266762</v>
      </c>
      <c r="W92" s="3">
        <f>AVERAGE(W5:W44)</f>
        <v>2.8886698880485424</v>
      </c>
      <c r="AC92" s="3">
        <f>AVERAGE(AC5:AC44)</f>
        <v>408.10412109279616</v>
      </c>
      <c r="AD92" s="3">
        <f>AVERAGE(AD5:AD44)</f>
        <v>48.05</v>
      </c>
      <c r="AE92" s="3">
        <f>AVERAGE(AE5:AE44)</f>
        <v>-48.05</v>
      </c>
      <c r="AF92" s="3">
        <f>AVERAGE(AF5:AF44)</f>
        <v>456.15412109279612</v>
      </c>
      <c r="AG92" s="3">
        <f>AVERAGE(AG5:AG44)</f>
        <v>-8.4916491975823458</v>
      </c>
      <c r="AI92" s="3">
        <f>AVERAGE(AI5:AI44)</f>
        <v>316.93072608170144</v>
      </c>
      <c r="AJ92" s="3">
        <f>AVERAGE(AJ5:AJ44)</f>
        <v>-100.66858330082792</v>
      </c>
      <c r="AK92" s="3">
        <f>AVERAGE(AK5:AK44)</f>
        <v>100.66858330082792</v>
      </c>
      <c r="AL92" s="3">
        <f>AVERAGE(AL5:AL44)</f>
        <v>417.59930938252938</v>
      </c>
      <c r="AM92" s="3"/>
      <c r="AR92" s="3">
        <f>AVERAGE(AR5:AR44)</f>
        <v>25.841336892966616</v>
      </c>
      <c r="AY92" s="4">
        <f>AVERAGE(AY5:AY44)</f>
        <v>1.0015060928689832</v>
      </c>
      <c r="AZ92" s="328">
        <f>AVERAGE(AZ5:AZ44)</f>
        <v>0.1017133104002341</v>
      </c>
    </row>
    <row r="93" spans="1:52">
      <c r="A93" s="80" t="s">
        <v>128</v>
      </c>
      <c r="B93" s="161"/>
      <c r="C93" s="4">
        <f>STDEV(C5:C44)/SQRT(C96)</f>
        <v>2.5411794524119862</v>
      </c>
      <c r="E93" s="4">
        <f>STDEV(E5:E44)/SQRT(E96)</f>
        <v>0.2137571963118082</v>
      </c>
      <c r="G93" s="4">
        <f>STDEV(G5:G44)/SQRT(G96)</f>
        <v>0.22393497973220611</v>
      </c>
      <c r="K93" s="4">
        <f>STDEV(K5:K44)/SQRT(K96)</f>
        <v>4.8077934986740463E-2</v>
      </c>
      <c r="P93" s="4">
        <f>STDEV(P5:P44)/SQRT(P96)</f>
        <v>0.31825957432929164</v>
      </c>
      <c r="S93" s="4">
        <f>STDEV(S5:S44)/SQRT(S96)</f>
        <v>17.938809491714853</v>
      </c>
      <c r="T93" s="4">
        <f>STDEV(T5:T44)/SQRT(T96)</f>
        <v>6.6056758641015918</v>
      </c>
      <c r="U93" s="4">
        <f>STDEV(U5:U44)/SQRT(U96)</f>
        <v>6.6056758641015918</v>
      </c>
      <c r="V93" s="4">
        <f>STDEV(V5:V44)/SQRT(V96)</f>
        <v>16.042713252391685</v>
      </c>
      <c r="W93" s="4">
        <f>STDEV(W5:W44)/SQRT(W96)</f>
        <v>1.0237687640234614</v>
      </c>
      <c r="AC93" s="4">
        <f>STDEV(AC5:AC44)/SQRT(AC96)</f>
        <v>25.977493931528191</v>
      </c>
      <c r="AD93" s="4">
        <f>STDEV(AD5:AD44)/SQRT(AD96)</f>
        <v>3.4899122022605644E-2</v>
      </c>
      <c r="AE93" s="4">
        <f>STDEV(AE5:AE44)/SQRT(AE96)</f>
        <v>3.4899122022605644E-2</v>
      </c>
      <c r="AF93" s="4">
        <f>STDEV(AF5:AF44)/SQRT(AF96)</f>
        <v>25.981798647346107</v>
      </c>
      <c r="AG93" s="4">
        <f>STDEV(AG5:AG44)/SQRT(AG96)</f>
        <v>0.54034607774985366</v>
      </c>
      <c r="AI93" s="4">
        <f>STDEV(AI5:AI44)/SQRT(AI96)</f>
        <v>32.099179728246582</v>
      </c>
      <c r="AJ93" s="4">
        <f>STDEV(AJ5:AJ44)/SQRT(AJ96)</f>
        <v>6.6000016831290447</v>
      </c>
      <c r="AK93" s="4">
        <f>STDEV(AK5:AK44)/SQRT(AK96)</f>
        <v>6.6000016831290447</v>
      </c>
      <c r="AL93" s="4">
        <f>STDEV(AL5:AL44)/SQRT(AL96)</f>
        <v>29.829800601868868</v>
      </c>
      <c r="AM93" s="4"/>
      <c r="AR93" s="4">
        <f>STDEV(AR5:AR44)/SQRT(AR96)</f>
        <v>3.5298656778441373</v>
      </c>
      <c r="AY93" s="4">
        <f>STDEV(AY5:AY44)/SQRT(AY96)</f>
        <v>2.9598026915505981E-3</v>
      </c>
      <c r="AZ93" s="328">
        <f>STDEV(AZ5:AZ44)/SQRT(AZ96)</f>
        <v>2.1036703943705916E-2</v>
      </c>
    </row>
    <row r="94" spans="1:52">
      <c r="A94" s="80" t="s">
        <v>39</v>
      </c>
      <c r="B94" s="161"/>
      <c r="C94" s="4">
        <f>MIN(C5:C44)</f>
        <v>2.0082207823901554</v>
      </c>
      <c r="E94" s="4">
        <f>MIN(E5:E44)</f>
        <v>-6.9223640816187301E-2</v>
      </c>
      <c r="G94" s="4">
        <f>MIN(G5:G44)</f>
        <v>0.70415093669624684</v>
      </c>
      <c r="K94" s="4">
        <f>MIN(K5:K44)</f>
        <v>-1.4778761779784417</v>
      </c>
      <c r="P94" s="4">
        <f>MIN(P5:P44)</f>
        <v>0.28287391395291067</v>
      </c>
      <c r="S94" s="4">
        <f>MIN(S5:S44)</f>
        <v>12.574866015192491</v>
      </c>
      <c r="T94" s="4">
        <f>MIN(T5:T44)</f>
        <v>-209.26726680174735</v>
      </c>
      <c r="U94" s="4">
        <f>MIN(U5:U44)</f>
        <v>1.7292824416534067</v>
      </c>
      <c r="V94" s="4">
        <f>MIN(V5:V44)</f>
        <v>-140.57918680174737</v>
      </c>
      <c r="W94" s="4">
        <f>MIN(W5:W44)</f>
        <v>0.32823136197918967</v>
      </c>
      <c r="AC94" s="4">
        <f>MIN(AC5:AC44)</f>
        <v>0</v>
      </c>
      <c r="AD94" s="4">
        <f>MIN(AD5:AD44)</f>
        <v>48</v>
      </c>
      <c r="AE94" s="4">
        <f>MIN(AE5:AE44)</f>
        <v>-49</v>
      </c>
      <c r="AF94" s="4">
        <f>MIN(AF5:AF44)</f>
        <v>48</v>
      </c>
      <c r="AG94" s="4">
        <f>MIN(AG5:AG44)</f>
        <v>-12.056674382716048</v>
      </c>
      <c r="AI94" s="4">
        <f>MIN(AI5:AI44)</f>
        <v>-198.14718999999999</v>
      </c>
      <c r="AJ94" s="4">
        <f>MIN(AJ5:AJ44)</f>
        <v>-257.26726680174738</v>
      </c>
      <c r="AK94" s="4">
        <f>MIN(AK5:AK44)</f>
        <v>49.72928244165341</v>
      </c>
      <c r="AL94" s="4">
        <f>MIN(AL5:AL44)</f>
        <v>-43.189393241780067</v>
      </c>
      <c r="AM94" s="4"/>
      <c r="AR94" s="4">
        <f>MIN(AR5:AR44)</f>
        <v>0.20908902492163117</v>
      </c>
      <c r="AY94" s="4">
        <f>MIN(AY5:AY44)</f>
        <v>0.97730287951504313</v>
      </c>
      <c r="AZ94" s="328">
        <f>MIN(AZ5:AZ44)</f>
        <v>2.9653648263268495E-2</v>
      </c>
    </row>
    <row r="95" spans="1:52">
      <c r="A95" s="80" t="s">
        <v>38</v>
      </c>
      <c r="B95" s="161"/>
      <c r="C95" s="4">
        <f>MAX(C5:C44)</f>
        <v>72.227435838864267</v>
      </c>
      <c r="E95" s="4">
        <f>MAX(E5:E44)</f>
        <v>5.355802082780027</v>
      </c>
      <c r="G95" s="4">
        <f>MAX(G5:G44)</f>
        <v>5.9817241079557757</v>
      </c>
      <c r="K95" s="4">
        <f>MAX(K5:K44)</f>
        <v>-4.8035623379261302E-2</v>
      </c>
      <c r="P95" s="4">
        <f>MAX(P5:P44)</f>
        <v>9.1489718936791444</v>
      </c>
      <c r="S95" s="4">
        <f>MAX(S5:S44)</f>
        <v>669.90070000000003</v>
      </c>
      <c r="T95" s="4">
        <f>MAX(T5:T44)</f>
        <v>-1.7292824416534067</v>
      </c>
      <c r="U95" s="4">
        <f>MAX(U5:U44)</f>
        <v>209.26726680174735</v>
      </c>
      <c r="V95" s="4">
        <f>MAX(V5:V44)</f>
        <v>529.20597608932985</v>
      </c>
      <c r="W95" s="4">
        <f>MAX(W5:W44)</f>
        <v>41.518407614610943</v>
      </c>
      <c r="AC95" s="4">
        <f>MAX(AC5:AC44)</f>
        <v>578.72037037037035</v>
      </c>
      <c r="AD95" s="4">
        <f>MAX(AD5:AD44)</f>
        <v>49</v>
      </c>
      <c r="AE95" s="4">
        <f>MAX(AE5:AE44)</f>
        <v>-48</v>
      </c>
      <c r="AF95" s="4">
        <f>MAX(AF5:AF44)</f>
        <v>626.72037037037035</v>
      </c>
      <c r="AG95" s="4">
        <f>MAX(AG5:AG44)</f>
        <v>0</v>
      </c>
      <c r="AI95" s="4">
        <f>MAX(AI5:AI44)</f>
        <v>566.14550435517788</v>
      </c>
      <c r="AJ95" s="4">
        <f>MAX(AJ5:AJ44)</f>
        <v>-49.72928244165341</v>
      </c>
      <c r="AK95" s="4">
        <f>MAX(AK5:AK44)</f>
        <v>257.26726680174738</v>
      </c>
      <c r="AL95" s="4">
        <f>MAX(AL5:AL44)</f>
        <v>693.9003406479012</v>
      </c>
      <c r="AM95" s="4"/>
      <c r="AR95" s="4">
        <f>MAX(AR5:AR44)</f>
        <v>62.637824150584578</v>
      </c>
      <c r="AY95" s="4">
        <f>MAX(AY5:AY44)</f>
        <v>1.0517860886024712</v>
      </c>
      <c r="AZ95" s="328">
        <f>MAX(AZ5:AZ44)</f>
        <v>0.88671497441189862</v>
      </c>
    </row>
    <row r="96" spans="1:52">
      <c r="A96" s="80" t="s">
        <v>46</v>
      </c>
      <c r="B96" s="161"/>
      <c r="C96" s="163">
        <f>COUNT(C5:C44)</f>
        <v>40</v>
      </c>
      <c r="E96" s="163">
        <f>COUNT(E5:E44)</f>
        <v>40</v>
      </c>
      <c r="G96" s="163">
        <f>COUNT(G5:G44)</f>
        <v>40</v>
      </c>
      <c r="K96" s="163">
        <f>COUNT(K5:K44)</f>
        <v>40</v>
      </c>
      <c r="P96" s="163">
        <f>COUNT(P5:P44)</f>
        <v>40</v>
      </c>
      <c r="S96" s="163">
        <f>COUNT(S5:S44)</f>
        <v>40</v>
      </c>
      <c r="T96" s="163">
        <f>COUNT(T5:T44)</f>
        <v>40</v>
      </c>
      <c r="U96" s="163">
        <f>COUNT(U5:U44)</f>
        <v>40</v>
      </c>
      <c r="V96" s="163">
        <f>COUNT(V5:V44)</f>
        <v>40</v>
      </c>
      <c r="W96" s="163">
        <f>COUNT(W5:W44)</f>
        <v>40</v>
      </c>
      <c r="AC96" s="163">
        <f>COUNT(AC5:AC44)</f>
        <v>40</v>
      </c>
      <c r="AD96" s="163">
        <f>COUNT(AD5:AD44)</f>
        <v>40</v>
      </c>
      <c r="AE96" s="163">
        <f>COUNT(AE5:AE44)</f>
        <v>40</v>
      </c>
      <c r="AF96" s="163">
        <f>COUNT(AF5:AF44)</f>
        <v>40</v>
      </c>
      <c r="AG96" s="163">
        <f>COUNT(AG5:AG44)</f>
        <v>40</v>
      </c>
      <c r="AI96" s="163">
        <f>COUNT(AI5:AI44)</f>
        <v>40</v>
      </c>
      <c r="AJ96" s="163">
        <f>COUNT(AJ5:AJ44)</f>
        <v>40</v>
      </c>
      <c r="AK96" s="163">
        <f>COUNT(AK5:AK44)</f>
        <v>40</v>
      </c>
      <c r="AL96" s="163">
        <f>COUNT(AL5:AL44)</f>
        <v>40</v>
      </c>
      <c r="AM96" s="163"/>
      <c r="AR96" s="163">
        <f>COUNT(AR5:AR44)</f>
        <v>40</v>
      </c>
      <c r="AY96" s="163">
        <f>COUNT(AY5:AY44)</f>
        <v>40</v>
      </c>
      <c r="AZ96" s="163">
        <f>COUNT(AZ5:AZ44)</f>
        <v>40</v>
      </c>
    </row>
    <row r="97" spans="5:49">
      <c r="E97" s="161"/>
      <c r="P97" s="161"/>
      <c r="AR97" s="161"/>
    </row>
    <row r="98" spans="5:49">
      <c r="E98" s="161"/>
      <c r="P98" s="161"/>
      <c r="AR98" s="161"/>
    </row>
    <row r="99" spans="5:49">
      <c r="E99" s="161"/>
      <c r="K99">
        <f>K94*24</f>
        <v>-35.4690282714826</v>
      </c>
      <c r="V99" s="161"/>
      <c r="W99"/>
      <c r="AF99" s="161"/>
      <c r="AG99"/>
      <c r="AL99" s="161"/>
      <c r="AM99"/>
      <c r="AQ99" s="161"/>
      <c r="AS99" s="161"/>
      <c r="AW99"/>
    </row>
    <row r="100" spans="5:49">
      <c r="E100" s="161"/>
      <c r="K100">
        <f>K95*24</f>
        <v>-1.1528549611022711</v>
      </c>
      <c r="V100" s="161"/>
      <c r="W100"/>
      <c r="AF100" s="161"/>
      <c r="AG100"/>
      <c r="AL100" s="161"/>
      <c r="AM100"/>
      <c r="AQ100" s="161"/>
      <c r="AS100" s="161"/>
      <c r="AW100"/>
    </row>
    <row r="101" spans="5:49">
      <c r="E101" s="161"/>
      <c r="V101" s="161"/>
      <c r="W101"/>
      <c r="AF101" s="161"/>
      <c r="AG101"/>
      <c r="AL101" s="161"/>
      <c r="AM101"/>
      <c r="AQ101" s="161"/>
      <c r="AS101" s="161"/>
      <c r="AW101"/>
    </row>
    <row r="102" spans="5:49">
      <c r="E102" s="161"/>
      <c r="K102">
        <f>K92*24</f>
        <v>-14.777082217388369</v>
      </c>
      <c r="V102" s="161"/>
      <c r="W102"/>
      <c r="AF102" s="161"/>
      <c r="AG102"/>
      <c r="AL102" s="161"/>
      <c r="AM102"/>
      <c r="AQ102" s="161"/>
      <c r="AS102" s="161"/>
      <c r="AW102"/>
    </row>
    <row r="103" spans="5:49">
      <c r="E103" s="161"/>
      <c r="K103" s="161">
        <f>K93*24</f>
        <v>1.1538704396817712</v>
      </c>
      <c r="V103" s="161"/>
      <c r="W103"/>
      <c r="AF103" s="161"/>
      <c r="AG103"/>
      <c r="AL103" s="161"/>
      <c r="AM103"/>
      <c r="AQ103" s="161"/>
      <c r="AS103" s="161"/>
      <c r="AW103"/>
    </row>
    <row r="104" spans="5:49">
      <c r="E104" s="161"/>
      <c r="V104" s="161"/>
      <c r="W104"/>
      <c r="AF104" s="161"/>
      <c r="AG104"/>
      <c r="AL104" s="161"/>
      <c r="AM104"/>
      <c r="AQ104" s="161"/>
      <c r="AS104" s="161"/>
      <c r="AW104"/>
    </row>
    <row r="105" spans="5:49">
      <c r="E105" s="161"/>
      <c r="V105" s="161"/>
      <c r="W105"/>
      <c r="AF105" s="161"/>
      <c r="AG105"/>
      <c r="AL105" s="161"/>
      <c r="AM105"/>
      <c r="AQ105" s="161"/>
      <c r="AS105" s="161"/>
      <c r="AW105"/>
    </row>
    <row r="106" spans="5:49">
      <c r="E106" s="161"/>
      <c r="V106" s="161"/>
      <c r="W106"/>
      <c r="AF106" s="161"/>
      <c r="AG106"/>
      <c r="AL106" s="161"/>
      <c r="AM106"/>
      <c r="AQ106" s="161"/>
      <c r="AS106" s="161"/>
      <c r="AW106"/>
    </row>
    <row r="107" spans="5:49">
      <c r="V107" s="161"/>
      <c r="W107"/>
      <c r="AF107" s="161"/>
      <c r="AG107"/>
      <c r="AL107" s="161"/>
      <c r="AM107"/>
      <c r="AS107" s="161"/>
      <c r="AW107"/>
    </row>
    <row r="108" spans="5:49">
      <c r="V108" s="161"/>
      <c r="W108"/>
      <c r="AF108" s="161"/>
      <c r="AG108"/>
      <c r="AL108" s="161"/>
      <c r="AM108"/>
      <c r="AS108" s="161"/>
      <c r="AW108"/>
    </row>
    <row r="109" spans="5:49">
      <c r="V109" s="161"/>
      <c r="W109"/>
      <c r="AF109" s="161"/>
      <c r="AG109"/>
      <c r="AL109" s="161"/>
      <c r="AM109"/>
      <c r="AS109" s="161"/>
      <c r="AW109"/>
    </row>
    <row r="110" spans="5:49">
      <c r="V110" s="161"/>
      <c r="W110"/>
      <c r="AF110" s="161"/>
      <c r="AG110"/>
      <c r="AL110" s="161"/>
      <c r="AM110"/>
      <c r="AS110" s="161"/>
      <c r="AW110"/>
    </row>
    <row r="111" spans="5:49">
      <c r="V111" s="161"/>
      <c r="W111"/>
      <c r="AF111" s="161"/>
      <c r="AG111"/>
      <c r="AL111" s="161"/>
      <c r="AM111"/>
      <c r="AS111" s="161"/>
      <c r="AW111"/>
    </row>
    <row r="112" spans="5:49">
      <c r="V112" s="161"/>
      <c r="W112"/>
      <c r="AF112" s="161"/>
      <c r="AG112"/>
      <c r="AL112" s="161"/>
      <c r="AM112"/>
      <c r="AS112" s="161"/>
      <c r="AW112"/>
    </row>
    <row r="113" spans="13:49">
      <c r="V113" s="161"/>
      <c r="W113"/>
      <c r="AF113" s="161"/>
      <c r="AG113"/>
      <c r="AL113" s="161"/>
      <c r="AM113"/>
      <c r="AS113" s="161"/>
      <c r="AW113"/>
    </row>
    <row r="114" spans="13:49">
      <c r="V114" s="161"/>
      <c r="W114"/>
      <c r="AF114" s="161"/>
      <c r="AG114"/>
      <c r="AL114" s="161"/>
      <c r="AM114"/>
      <c r="AS114" s="161"/>
      <c r="AW114"/>
    </row>
    <row r="115" spans="13:49">
      <c r="V115" s="161"/>
      <c r="W115"/>
      <c r="AF115" s="161"/>
      <c r="AG115"/>
      <c r="AL115" s="161"/>
      <c r="AM115"/>
      <c r="AS115" s="161"/>
      <c r="AW115"/>
    </row>
    <row r="116" spans="13:49">
      <c r="V116" s="161"/>
      <c r="W116"/>
      <c r="AF116" s="161"/>
      <c r="AG116"/>
      <c r="AL116" s="161"/>
      <c r="AM116"/>
      <c r="AS116" s="161"/>
      <c r="AW116"/>
    </row>
    <row r="117" spans="13:49" ht="13.8" thickBot="1">
      <c r="M117" s="235">
        <v>1</v>
      </c>
      <c r="N117" s="236">
        <v>84.744100000000003</v>
      </c>
    </row>
    <row r="118" spans="13:49" ht="13.8" thickBot="1">
      <c r="M118" s="235">
        <v>2</v>
      </c>
      <c r="N118" s="237">
        <v>45.991430000000001</v>
      </c>
    </row>
    <row r="119" spans="13:49" ht="13.8" thickBot="1">
      <c r="M119" s="235">
        <v>3</v>
      </c>
      <c r="N119" s="236">
        <v>63.928579999999997</v>
      </c>
    </row>
    <row r="120" spans="13:49" ht="13.8" thickBot="1">
      <c r="M120" s="235">
        <v>4</v>
      </c>
      <c r="N120" s="237">
        <v>65.185540000000003</v>
      </c>
    </row>
    <row r="121" spans="13:49" ht="13.8" thickBot="1">
      <c r="M121" s="235">
        <v>5</v>
      </c>
      <c r="N121" s="236">
        <v>105.72662</v>
      </c>
    </row>
    <row r="122" spans="13:49" ht="13.8" thickBot="1">
      <c r="M122" s="235">
        <v>6</v>
      </c>
      <c r="N122" s="237">
        <v>50.694040000000001</v>
      </c>
    </row>
    <row r="123" spans="13:49" ht="13.8" thickBot="1">
      <c r="M123" s="235">
        <v>7</v>
      </c>
      <c r="N123" s="236">
        <v>90.947199999999995</v>
      </c>
    </row>
    <row r="124" spans="13:49" ht="13.8" thickBot="1">
      <c r="M124" s="235">
        <v>8</v>
      </c>
      <c r="N124" s="237">
        <v>65.047849999999997</v>
      </c>
    </row>
    <row r="125" spans="13:49" ht="13.8" thickBot="1">
      <c r="M125" s="235">
        <v>9</v>
      </c>
      <c r="N125" s="236">
        <v>141.61884000000001</v>
      </c>
    </row>
    <row r="126" spans="13:49" ht="13.8" thickBot="1">
      <c r="M126" s="235">
        <v>10</v>
      </c>
      <c r="N126" s="237">
        <v>115.29013999999999</v>
      </c>
    </row>
    <row r="127" spans="13:49" ht="13.8" thickBot="1">
      <c r="M127" s="235">
        <v>11</v>
      </c>
      <c r="N127" s="236">
        <v>198.14718999999999</v>
      </c>
    </row>
    <row r="128" spans="13:49" ht="13.8" thickBot="1">
      <c r="M128" s="235">
        <v>12</v>
      </c>
      <c r="N128" s="237">
        <v>58.857230000000001</v>
      </c>
    </row>
    <row r="129" spans="13:14" ht="13.8" thickBot="1">
      <c r="M129" s="235">
        <v>13</v>
      </c>
      <c r="N129" s="236">
        <v>244.64127999999999</v>
      </c>
    </row>
    <row r="130" spans="13:14" ht="13.8" thickBot="1">
      <c r="M130" s="235">
        <v>14</v>
      </c>
      <c r="N130" s="237">
        <v>111.83781</v>
      </c>
    </row>
    <row r="131" spans="13:14" ht="13.8" thickBot="1">
      <c r="M131" s="235">
        <v>15</v>
      </c>
      <c r="N131" s="236">
        <v>65.535889999999995</v>
      </c>
    </row>
    <row r="132" spans="13:14" ht="13.8" thickBot="1">
      <c r="M132" s="235">
        <v>16</v>
      </c>
      <c r="N132" s="237">
        <v>60.215060000000001</v>
      </c>
    </row>
    <row r="133" spans="13:14" ht="13.8" thickBot="1">
      <c r="M133" s="235">
        <v>17</v>
      </c>
      <c r="N133" s="236">
        <v>68.688079999999999</v>
      </c>
    </row>
    <row r="134" spans="13:14" ht="13.8" thickBot="1">
      <c r="M134" s="235">
        <v>18</v>
      </c>
      <c r="N134" s="237">
        <v>669.90070000000003</v>
      </c>
    </row>
    <row r="135" spans="13:14" ht="13.8" thickBot="1">
      <c r="M135" s="235">
        <v>19</v>
      </c>
      <c r="N135" s="236">
        <v>302.64161999999999</v>
      </c>
    </row>
    <row r="136" spans="13:14" ht="13.8" thickBot="1">
      <c r="M136" s="235">
        <v>20</v>
      </c>
      <c r="N136" s="237">
        <v>194.71681000000001</v>
      </c>
    </row>
  </sheetData>
  <dataConsolidate/>
  <mergeCells count="1">
    <mergeCell ref="AI3:AL3"/>
  </mergeCells>
  <phoneticPr fontId="35" type="noConversion"/>
  <pageMargins left="0.75" right="0.75" top="1" bottom="1" header="0.5" footer="0.5"/>
  <pageSetup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I1:K10"/>
  <sheetViews>
    <sheetView workbookViewId="0">
      <selection activeCell="E31" sqref="E31"/>
    </sheetView>
  </sheetViews>
  <sheetFormatPr defaultRowHeight="13.2"/>
  <cols>
    <col min="9" max="9" width="4.33203125" customWidth="1"/>
    <col min="10" max="10" width="10.5546875" bestFit="1" customWidth="1"/>
  </cols>
  <sheetData>
    <row r="1" spans="9:11">
      <c r="J1" t="s">
        <v>146</v>
      </c>
      <c r="K1" s="4">
        <f>STDEV(SUM!$AI$5:$AI$24)/STDEV(SUM!$AR$5:$AR$24)</f>
        <v>8.2571241886225053</v>
      </c>
    </row>
    <row r="2" spans="9:11" ht="12" customHeight="1">
      <c r="J2" t="s">
        <v>147</v>
      </c>
      <c r="K2" s="161">
        <f>AVERAGE(SUM!$AI$5:$AI$24)-K1*AVERAGE(SUM!$AR$5:$AR$24)</f>
        <v>27.375494871423484</v>
      </c>
    </row>
    <row r="3" spans="9:11">
      <c r="J3" t="s">
        <v>173</v>
      </c>
      <c r="K3" s="4">
        <f>RSQ(SUM!$AI$5:$AI$24, SUM!$AR$5:$AR$24)</f>
        <v>2.2254506657142775E-2</v>
      </c>
    </row>
    <row r="5" spans="9:11">
      <c r="J5" t="s">
        <v>148</v>
      </c>
      <c r="K5" t="s">
        <v>149</v>
      </c>
    </row>
    <row r="6" spans="9:11">
      <c r="I6" s="166" t="s">
        <v>55</v>
      </c>
      <c r="J6" s="166" t="s">
        <v>30</v>
      </c>
      <c r="K6" s="166" t="s">
        <v>30</v>
      </c>
    </row>
    <row r="7" spans="9:11">
      <c r="I7">
        <v>0</v>
      </c>
      <c r="J7">
        <f>0.801*I7</f>
        <v>0</v>
      </c>
      <c r="K7" s="163">
        <f>$K$1*I7+$K$2</f>
        <v>27.375494871423484</v>
      </c>
    </row>
    <row r="8" spans="9:11">
      <c r="I8" s="161">
        <v>10</v>
      </c>
      <c r="J8" s="161">
        <f>0.801*I8</f>
        <v>8.01</v>
      </c>
      <c r="K8" s="163">
        <f>$K$1*I8+$K$2</f>
        <v>109.94673675764854</v>
      </c>
    </row>
    <row r="9" spans="9:11">
      <c r="I9" s="161">
        <v>20</v>
      </c>
      <c r="J9" s="161">
        <f>0.801*I9</f>
        <v>16.02</v>
      </c>
      <c r="K9" s="163">
        <f>$K$1*I9+$K$2</f>
        <v>192.51797864387359</v>
      </c>
    </row>
    <row r="10" spans="9:11">
      <c r="I10" s="161">
        <v>65</v>
      </c>
      <c r="J10" s="161"/>
      <c r="K10" s="163">
        <f>$K$1*I10+$K$2</f>
        <v>564.08856713188629</v>
      </c>
    </row>
  </sheetData>
  <phoneticPr fontId="35" type="noConversion"/>
  <pageMargins left="0.75" right="0.75" top="1" bottom="1" header="0.5" footer="0.5"/>
  <pageSetup orientation="portrait" r:id="rId1"/>
  <headerFooter alignWithMargins="0">
    <oddFooter>&amp;L&amp;F, &amp;D&amp;R&amp;A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zoomScale="70" zoomScaleNormal="70" workbookViewId="0">
      <pane xSplit="1" ySplit="3" topLeftCell="B4" activePane="bottomRight" state="frozen"/>
      <selection pane="topRight" activeCell="B1" sqref="B1"/>
      <selection pane="bottomLeft" activeCell="A4" sqref="A4"/>
      <selection pane="bottomRight" activeCell="G38" sqref="G38"/>
    </sheetView>
  </sheetViews>
  <sheetFormatPr defaultColWidth="8.6640625" defaultRowHeight="13.2"/>
  <cols>
    <col min="1" max="1" width="17.44140625" style="87" bestFit="1" customWidth="1"/>
    <col min="2" max="4" width="8.6640625" style="87" customWidth="1"/>
    <col min="5" max="5" width="8.33203125" style="87" customWidth="1"/>
    <col min="6" max="6" width="9.44140625" style="87" bestFit="1" customWidth="1"/>
    <col min="7" max="7" width="3.6640625" style="87" customWidth="1"/>
    <col min="8" max="10" width="8.6640625" style="87" customWidth="1"/>
    <col min="11" max="11" width="9.109375" style="87" customWidth="1"/>
    <col min="12" max="13" width="9.44140625" style="87" bestFit="1" customWidth="1"/>
    <col min="14" max="15" width="6" style="87" bestFit="1" customWidth="1"/>
    <col min="16" max="16" width="5.88671875" style="87" bestFit="1" customWidth="1"/>
    <col min="17" max="17" width="8.5546875" style="87" bestFit="1" customWidth="1"/>
    <col min="18" max="18" width="9.44140625" style="87" bestFit="1" customWidth="1"/>
    <col min="19" max="19" width="5.88671875" style="87" bestFit="1" customWidth="1"/>
    <col min="20" max="20" width="9.44140625" style="87" bestFit="1" customWidth="1"/>
    <col min="21" max="16384" width="8.6640625" style="87"/>
  </cols>
  <sheetData>
    <row r="1" spans="1:22" ht="48" customHeight="1">
      <c r="A1" s="323" t="s">
        <v>11</v>
      </c>
      <c r="B1" s="96"/>
      <c r="C1" s="96"/>
      <c r="D1" s="96"/>
      <c r="E1" s="96"/>
      <c r="F1" s="96"/>
      <c r="G1" s="96"/>
      <c r="H1" s="96"/>
      <c r="I1" s="96"/>
      <c r="J1" s="96"/>
    </row>
    <row r="2" spans="1:22" ht="15.6">
      <c r="B2" s="323"/>
      <c r="C2" s="323"/>
      <c r="D2" s="323"/>
      <c r="E2" s="323"/>
      <c r="R2" s="91"/>
    </row>
    <row r="3" spans="1:22" ht="15.6" customHeight="1">
      <c r="A3" s="323" t="s">
        <v>120</v>
      </c>
      <c r="B3" s="74" t="s">
        <v>200</v>
      </c>
      <c r="C3" s="74" t="s">
        <v>48</v>
      </c>
      <c r="D3" s="74" t="s">
        <v>49</v>
      </c>
      <c r="E3" s="74" t="s">
        <v>234</v>
      </c>
      <c r="F3" s="74" t="s">
        <v>250</v>
      </c>
      <c r="M3" s="74"/>
      <c r="N3" s="74"/>
      <c r="O3" s="74"/>
      <c r="P3" s="74"/>
      <c r="R3" s="74"/>
      <c r="S3" s="74"/>
      <c r="T3" s="74"/>
      <c r="U3" s="74"/>
    </row>
    <row r="4" spans="1:22" ht="15.6">
      <c r="A4" s="183" t="s">
        <v>32</v>
      </c>
      <c r="B4" s="234">
        <f>CORREL(Pg.P,wc.temp.ctd)</f>
        <v>0.6108084798545087</v>
      </c>
      <c r="C4" s="233">
        <f>CORREL(Pg.P,wc.sal.ctd)</f>
        <v>-0.5479630160809944</v>
      </c>
      <c r="D4" s="233">
        <f>CORREL(Pg.P,wc.chl.a)</f>
        <v>0.549683616841663</v>
      </c>
      <c r="E4" s="72">
        <f>CORREL(Pg.P,I.avg)</f>
        <v>-0.25501886125604695</v>
      </c>
      <c r="F4" s="72">
        <f>CORREL(Pg.P,dSal)</f>
        <v>0.23010586909146802</v>
      </c>
      <c r="G4" s="73"/>
      <c r="M4" s="89"/>
      <c r="N4" s="89"/>
      <c r="O4" s="89"/>
      <c r="P4" s="89"/>
      <c r="R4" s="89"/>
      <c r="S4" s="89"/>
      <c r="T4" s="89"/>
      <c r="U4" s="89"/>
      <c r="V4" s="89"/>
    </row>
    <row r="5" spans="1:22" ht="15.6">
      <c r="A5" s="183" t="s">
        <v>51</v>
      </c>
      <c r="B5" s="72">
        <f>CORREL(Pg.E,wc.temp.ctd)</f>
        <v>0.22378942130352644</v>
      </c>
      <c r="C5" s="72">
        <f>CORREL(Pg.E,wc.sal.ctd)</f>
        <v>-2.4458252043269863E-2</v>
      </c>
      <c r="D5" s="72">
        <f>CORREL(Pg.E,wc.chl.a)</f>
        <v>0.16670596225938375</v>
      </c>
      <c r="E5" s="234">
        <f>CORREL(Pg.E,I.avg)</f>
        <v>0.76949513819518234</v>
      </c>
      <c r="F5" s="72">
        <f>CORREL(Pg.E,dSal)</f>
        <v>-0.16351350881412538</v>
      </c>
      <c r="G5" s="73"/>
      <c r="M5" s="89"/>
      <c r="N5" s="89"/>
      <c r="O5" s="89"/>
      <c r="P5" s="89"/>
      <c r="R5" s="89"/>
      <c r="S5" s="89"/>
      <c r="T5" s="89"/>
      <c r="U5" s="89"/>
      <c r="V5" s="89"/>
    </row>
    <row r="6" spans="1:22" ht="15.6">
      <c r="A6" s="183" t="s">
        <v>165</v>
      </c>
      <c r="B6" s="72">
        <f>CORREL(Pg.R,wc.temp.ctd)</f>
        <v>9.6707959783686501E-2</v>
      </c>
      <c r="C6" s="234">
        <f>CORREL(Pg.R,wc.sal.ctd)</f>
        <v>9.220022358211423E-2</v>
      </c>
      <c r="D6" s="72">
        <f>CORREL(Pg.R,wc.chl.a)</f>
        <v>3.0945289353347911E-2</v>
      </c>
      <c r="E6" s="234">
        <f>CORREL(Pg.R,I.avg)</f>
        <v>0.80886696083864551</v>
      </c>
      <c r="F6" s="72">
        <f>CORREL(Pg.R,dSal)</f>
        <v>-0.21408029326335351</v>
      </c>
      <c r="G6" s="73"/>
      <c r="M6" s="89"/>
      <c r="N6" s="89"/>
      <c r="O6" s="89"/>
      <c r="P6" s="89"/>
      <c r="R6" s="89"/>
      <c r="S6" s="89"/>
      <c r="T6" s="89"/>
      <c r="U6" s="89"/>
      <c r="V6" s="89"/>
    </row>
    <row r="7" spans="1:22" ht="15.6">
      <c r="A7" s="323" t="s">
        <v>69</v>
      </c>
      <c r="B7" s="72"/>
      <c r="C7" s="72"/>
      <c r="D7" s="72"/>
      <c r="E7" s="72"/>
      <c r="F7" s="72"/>
      <c r="G7" s="73"/>
      <c r="M7" s="73"/>
      <c r="N7" s="73"/>
      <c r="O7" s="73"/>
      <c r="P7" s="73"/>
      <c r="R7" s="73"/>
      <c r="S7" s="73"/>
      <c r="T7" s="73"/>
      <c r="U7" s="73"/>
      <c r="V7" s="73"/>
    </row>
    <row r="8" spans="1:22" ht="15.6">
      <c r="A8" s="183" t="s">
        <v>32</v>
      </c>
      <c r="B8" s="72">
        <f>CORREL(Rt.P,wc.temp.ctd)</f>
        <v>0.35306307292973738</v>
      </c>
      <c r="C8" s="72">
        <f>CORREL(Rt.P,wc.sal.ctd)</f>
        <v>-0.24476089423368158</v>
      </c>
      <c r="D8" s="72">
        <f>CORREL(Rt.P,wc.chl.a)</f>
        <v>1.0866773466871354E-2</v>
      </c>
      <c r="E8" s="72">
        <f>CORREL(Rt.P,I.avg)</f>
        <v>-0.17769950350284028</v>
      </c>
      <c r="F8" s="72">
        <f>CORREL(Rt.P,dSal)</f>
        <v>0.38760185440992395</v>
      </c>
      <c r="G8" s="73"/>
      <c r="M8" s="89"/>
      <c r="N8" s="89"/>
      <c r="O8" s="89"/>
      <c r="P8" s="89"/>
      <c r="R8" s="89"/>
      <c r="S8" s="89"/>
      <c r="T8" s="89"/>
      <c r="U8" s="89"/>
      <c r="V8" s="89"/>
    </row>
    <row r="9" spans="1:22" ht="15.6">
      <c r="A9" s="183" t="s">
        <v>51</v>
      </c>
      <c r="B9" s="72">
        <f>CORREL(Rt.E,wc.temp.ctd)</f>
        <v>-3.9590880969475967E-2</v>
      </c>
      <c r="C9" s="72">
        <f>CORREL(Rt.E,wc.sal.ctd)</f>
        <v>-1.8510678269844379E-2</v>
      </c>
      <c r="D9" s="72">
        <f>CORREL(Rt.E,wc.chl.a)</f>
        <v>-0.47914247021594003</v>
      </c>
      <c r="E9" s="233">
        <f>CORREL(Rt.E,I.avg)</f>
        <v>-5.593433154411228E-2</v>
      </c>
      <c r="F9" s="72">
        <f>CORREL(Rt.E,dSal)</f>
        <v>0.14009647660610436</v>
      </c>
      <c r="G9" s="73"/>
      <c r="M9" s="89"/>
      <c r="N9" s="89"/>
      <c r="O9" s="89"/>
      <c r="P9" s="89"/>
      <c r="R9" s="89"/>
      <c r="S9" s="89"/>
      <c r="T9" s="89"/>
      <c r="U9" s="89"/>
      <c r="V9" s="89"/>
    </row>
    <row r="10" spans="1:22" ht="15.6">
      <c r="A10" s="183" t="s">
        <v>165</v>
      </c>
      <c r="B10" s="72">
        <f>CORREL(Rt.R,wc.temp.ctd)</f>
        <v>-0.35599018867247484</v>
      </c>
      <c r="C10" s="72">
        <f>CORREL(Rt.R,wc.sal.ctd)</f>
        <v>0.24588337502244531</v>
      </c>
      <c r="D10" s="72">
        <f>CORREL(Rt.R,wc.chl.a)</f>
        <v>-2.0253535221765557E-2</v>
      </c>
      <c r="E10" s="234">
        <f>CORREL(Rt.R,I.avg)</f>
        <v>0.17769028071227247</v>
      </c>
      <c r="F10" s="72">
        <f>CORREL(Rt.R,dSal)</f>
        <v>-0.38738446795025649</v>
      </c>
      <c r="G10" s="73"/>
      <c r="M10" s="89"/>
      <c r="N10" s="89"/>
      <c r="O10" s="89"/>
      <c r="P10" s="89"/>
      <c r="R10" s="89"/>
      <c r="S10" s="89"/>
      <c r="T10" s="89"/>
      <c r="U10" s="89"/>
      <c r="V10" s="89"/>
    </row>
    <row r="11" spans="1:22" ht="15.6">
      <c r="A11" s="323" t="s">
        <v>70</v>
      </c>
      <c r="B11" s="72"/>
      <c r="C11" s="72"/>
      <c r="D11" s="72"/>
      <c r="E11" s="72"/>
      <c r="F11" s="72"/>
      <c r="G11" s="73"/>
      <c r="M11" s="73"/>
      <c r="N11" s="73"/>
      <c r="O11" s="73"/>
      <c r="P11" s="73"/>
      <c r="R11" s="73"/>
      <c r="S11" s="73"/>
      <c r="T11" s="73"/>
      <c r="U11" s="73"/>
      <c r="V11" s="73"/>
    </row>
    <row r="12" spans="1:22" ht="15.6">
      <c r="A12" s="183" t="s">
        <v>32</v>
      </c>
      <c r="B12" s="233">
        <f>CORREL(NEM.P,wc.temp.ctd)</f>
        <v>0.47601932236051947</v>
      </c>
      <c r="C12" s="233">
        <f>CORREL(NEM.P,wc.sal.ctd)</f>
        <v>-0.46379877153399007</v>
      </c>
      <c r="D12" s="234">
        <f>CORREL(NEM.P,wc.chl.a)</f>
        <v>0.59698243766740855</v>
      </c>
      <c r="E12" s="72">
        <f>CORREL(NEM.P,I.avg)</f>
        <v>-0.20113556344380656</v>
      </c>
      <c r="F12" s="72">
        <f>CORREL(NEM.P,dSal)</f>
        <v>4.9407877075613033E-2</v>
      </c>
      <c r="G12" s="73"/>
      <c r="M12" s="89"/>
      <c r="N12" s="89"/>
      <c r="O12" s="89"/>
      <c r="P12" s="89"/>
      <c r="R12" s="89"/>
      <c r="S12" s="89"/>
      <c r="T12" s="89"/>
      <c r="U12" s="89"/>
      <c r="V12" s="89"/>
    </row>
    <row r="13" spans="1:22" ht="15.6">
      <c r="A13" s="183" t="s">
        <v>51</v>
      </c>
      <c r="B13" s="72">
        <f>CORREL(NEM.E,wc.temp.ctd)</f>
        <v>0.22382431910919692</v>
      </c>
      <c r="C13" s="72">
        <f>CORREL(NEM.E,wc.sal.ctd)</f>
        <v>-2.4417289349350512E-2</v>
      </c>
      <c r="D13" s="72">
        <f>CORREL(NEM.E,wc.chl.a)</f>
        <v>0.1675837077790184</v>
      </c>
      <c r="E13" s="72">
        <f>CORREL(NEM.E,I.avg)</f>
        <v>0.76944459330518189</v>
      </c>
      <c r="F13" s="72">
        <f>CORREL(NEM.E,dSal)</f>
        <v>-0.16378577107019421</v>
      </c>
      <c r="G13" s="73"/>
      <c r="M13" s="89"/>
      <c r="N13" s="89"/>
      <c r="O13" s="89"/>
      <c r="P13" s="89"/>
      <c r="R13" s="89"/>
      <c r="S13" s="89"/>
      <c r="T13" s="89"/>
      <c r="U13" s="89"/>
      <c r="V13" s="89"/>
    </row>
    <row r="14" spans="1:22" ht="15.6">
      <c r="A14" s="183" t="s">
        <v>165</v>
      </c>
      <c r="B14" s="72">
        <f>CORREL(NEM.R,wc.temp.ctd)</f>
        <v>0.13313771313783035</v>
      </c>
      <c r="C14" s="233">
        <f>CORREL(NEM.R,wc.sal.ctd)</f>
        <v>6.7655222274410232E-2</v>
      </c>
      <c r="D14" s="234">
        <f>CORREL(NEM.R,wc.chl.a)</f>
        <v>3.3184210311185798E-2</v>
      </c>
      <c r="E14" s="72">
        <f>CORREL(NEM.R,I.avg)</f>
        <v>0.79949748953112143</v>
      </c>
      <c r="F14" s="72">
        <f>CORREL(NEM.R,dSal)</f>
        <v>-0.17511386067976492</v>
      </c>
      <c r="G14" s="73"/>
      <c r="M14" s="89"/>
      <c r="N14" s="89"/>
      <c r="O14" s="89"/>
      <c r="P14" s="89"/>
      <c r="R14" s="89"/>
      <c r="S14" s="89"/>
      <c r="T14" s="89"/>
      <c r="U14" s="89"/>
      <c r="V14" s="89"/>
    </row>
    <row r="15" spans="1:22" ht="15.6">
      <c r="A15" s="184"/>
    </row>
    <row r="16" spans="1:22" ht="15.6">
      <c r="A16" s="323" t="s">
        <v>12</v>
      </c>
      <c r="B16" s="323"/>
      <c r="C16" s="323"/>
      <c r="D16" s="323"/>
      <c r="E16" s="323"/>
    </row>
    <row r="17" spans="1:6" ht="15.6">
      <c r="A17" s="183"/>
    </row>
    <row r="18" spans="1:6" ht="15.6">
      <c r="A18" s="323" t="s">
        <v>120</v>
      </c>
      <c r="B18" s="74" t="s">
        <v>200</v>
      </c>
      <c r="C18" s="74" t="s">
        <v>48</v>
      </c>
      <c r="D18" s="74" t="s">
        <v>49</v>
      </c>
      <c r="E18" s="74" t="s">
        <v>234</v>
      </c>
      <c r="F18" s="74" t="s">
        <v>250</v>
      </c>
    </row>
    <row r="19" spans="1:6" ht="15.6">
      <c r="A19" s="183" t="s">
        <v>32</v>
      </c>
      <c r="B19" s="72">
        <f>CORREL(Pg.P.C,wc.temp.ctd.C)</f>
        <v>0.34350835213152536</v>
      </c>
      <c r="C19" s="72">
        <f>CORREL(Pg.P.C,wc.sal.ctd.C)</f>
        <v>-0.19402345994806375</v>
      </c>
      <c r="D19" s="234">
        <f>CORREL(Pg.P.C,wc.chl.a.C)</f>
        <v>0.92380255751993112</v>
      </c>
      <c r="E19" s="72">
        <f>CORREL(Pg.P.C,I.avg.C)</f>
        <v>-2.1816892899525361E-2</v>
      </c>
      <c r="F19" s="72">
        <f>CORREL(Pg.P.C,dSal.C)</f>
        <v>7.5314937101271823E-2</v>
      </c>
    </row>
    <row r="20" spans="1:6" ht="15.6">
      <c r="A20" s="183" t="s">
        <v>51</v>
      </c>
      <c r="B20" s="234">
        <f>CORREL(Pg.E.C,wc.temp.ctd.C)</f>
        <v>-6.8691626473153619E-2</v>
      </c>
      <c r="C20" s="72">
        <f>CORREL(Pg.E.C,wc.sal.ctd.C)</f>
        <v>-0.19266026083823573</v>
      </c>
      <c r="D20" s="234">
        <f>CORREL(Pg.E.C,wc.chl.a.C)</f>
        <v>0.18958426152372956</v>
      </c>
      <c r="E20" s="72">
        <f>CORREL(Pg.E.C,I.avg.C)</f>
        <v>4.7312017733081177E-2</v>
      </c>
      <c r="F20" s="72">
        <f>CORREL(Pg.E.C,dSal.C)</f>
        <v>0.27731011757616758</v>
      </c>
    </row>
    <row r="21" spans="1:6" ht="15.6">
      <c r="A21" s="183" t="s">
        <v>165</v>
      </c>
      <c r="B21" s="72">
        <f>CORREL(Pg.R.C,wc.temp.ctd.C)</f>
        <v>-0.26646850981466774</v>
      </c>
      <c r="C21" s="72">
        <f>CORREL(Pg.R.C,wc.sal.ctd.C)</f>
        <v>-4.3914557647902155E-2</v>
      </c>
      <c r="D21" s="72">
        <f>CORREL(Pg.R.C,wc.chl.a)</f>
        <v>-8.3864650090729811E-2</v>
      </c>
      <c r="E21" s="72">
        <f>CORREL(Pg.R.C,I.avg.C)</f>
        <v>5.3000941750572107E-2</v>
      </c>
      <c r="F21" s="72">
        <f>CORREL(Pg.R.C,dSal.C)</f>
        <v>0.18660703628969472</v>
      </c>
    </row>
    <row r="22" spans="1:6" ht="15.6">
      <c r="A22" s="323" t="s">
        <v>69</v>
      </c>
      <c r="B22" s="72"/>
      <c r="C22" s="72"/>
      <c r="D22" s="72"/>
      <c r="E22" s="72"/>
      <c r="F22" s="73"/>
    </row>
    <row r="23" spans="1:6" ht="15.6">
      <c r="A23" s="183" t="s">
        <v>32</v>
      </c>
      <c r="B23" s="72">
        <f>CORREL(Rt.P.C,wc.temp.ctd.C)</f>
        <v>0.22704251425193644</v>
      </c>
      <c r="C23" s="72">
        <f>CORREL(Rt.P.C,wc.sal.ctd.C)</f>
        <v>-0.2423556813646934</v>
      </c>
      <c r="D23" s="72">
        <f>CORREL(Rt.P.C,wc.chl.a.C)</f>
        <v>0.30012957016101338</v>
      </c>
      <c r="E23" s="72">
        <f>CORREL(Rt.P.C,I.avg.C)</f>
        <v>-0.13647743797340101</v>
      </c>
      <c r="F23" s="72">
        <f>CORREL(Rt.P.C,dSal.C)</f>
        <v>9.6039967180178279E-2</v>
      </c>
    </row>
    <row r="24" spans="1:6" ht="15.6">
      <c r="A24" s="183" t="s">
        <v>51</v>
      </c>
      <c r="B24" s="234">
        <f>CORREL(Rt.E.C,wc.temp.ctd.C)</f>
        <v>-9.1811486677369047E-2</v>
      </c>
      <c r="C24" s="72">
        <f>CORREL(Rt.E.C,wc.sal.ctd.C)</f>
        <v>9.4835344590068441E-2</v>
      </c>
      <c r="D24" s="234">
        <f>CORREL(Rt.E.C,wc.chl.a.C)</f>
        <v>4.0467490527153357E-2</v>
      </c>
      <c r="E24" s="72">
        <f>CORREL(Rt.E.C,I.avg.C)</f>
        <v>-3.5013474519668582E-2</v>
      </c>
      <c r="F24" s="72">
        <f>CORREL(Rt.E.C,dSal.C)</f>
        <v>7.660859305361109E-2</v>
      </c>
    </row>
    <row r="25" spans="1:6" ht="15.6">
      <c r="A25" s="183" t="s">
        <v>165</v>
      </c>
      <c r="B25" s="234">
        <f>CORREL(Rt.R.C,wc.temp.ctd.C)</f>
        <v>-0.22785428087553442</v>
      </c>
      <c r="C25" s="72">
        <f>CORREL(Rt.R.C,wc.sal.ctd.C)</f>
        <v>0.24320484925140914</v>
      </c>
      <c r="D25" s="234">
        <f>CORREL(Rt.R.C,wc.chl.a.C)</f>
        <v>-0.30031651349362515</v>
      </c>
      <c r="E25" s="72">
        <f>CORREL(Rt.R.C,I.avg.C)</f>
        <v>0.13647148702545978</v>
      </c>
      <c r="F25" s="72">
        <f>CORREL(Rt.R.C,dSal.C)</f>
        <v>-9.5755745567248085E-2</v>
      </c>
    </row>
    <row r="26" spans="1:6" ht="15.6">
      <c r="A26" s="323" t="s">
        <v>70</v>
      </c>
      <c r="B26" s="72"/>
      <c r="C26" s="72"/>
      <c r="D26" s="72"/>
      <c r="E26" s="72"/>
      <c r="F26" s="73"/>
    </row>
    <row r="27" spans="1:6" ht="15.6">
      <c r="A27" s="183" t="s">
        <v>32</v>
      </c>
      <c r="B27" s="72">
        <f>CORREL(NEM.P.C,wc.temp.ctd.C)</f>
        <v>0.28524455110273028</v>
      </c>
      <c r="C27" s="72">
        <f>CORREL(NEM.P.C,wc.sal.ctd.C)</f>
        <v>-0.12777934729959176</v>
      </c>
      <c r="D27" s="234">
        <f>CORREL(NEM.P.C,wc.chl.a.C)</f>
        <v>0.85780315940148377</v>
      </c>
      <c r="E27" s="72">
        <f>CORREL(NEM.P.C,I.avg.C)</f>
        <v>1.7538584029151906E-2</v>
      </c>
      <c r="F27" s="72">
        <f>CORREL(NEM.P.C,dSal.C)</f>
        <v>4.9229548697737706E-2</v>
      </c>
    </row>
    <row r="28" spans="1:6" ht="15.6">
      <c r="A28" s="183" t="s">
        <v>51</v>
      </c>
      <c r="B28" s="72">
        <f>CORREL(NEM.E.C,wc.temp.ctd.C)</f>
        <v>-6.8576819358989696E-2</v>
      </c>
      <c r="C28" s="72">
        <f>CORREL(NEM.E.C,wc.sal.ctd.C)</f>
        <v>-0.19273606484026254</v>
      </c>
      <c r="D28" s="72">
        <f>CORREL(NEM.E.C,wc.chl.a.C)</f>
        <v>0.18950780290321867</v>
      </c>
      <c r="E28" s="72">
        <f>CORREL(NEM.E.C,I.avg.C)</f>
        <v>4.7343870532950041E-2</v>
      </c>
      <c r="F28" s="72">
        <f>CORREL(NEM.E.C,dSal.C)</f>
        <v>0.27717948399044368</v>
      </c>
    </row>
    <row r="29" spans="1:6" ht="15.6">
      <c r="A29" s="183" t="s">
        <v>165</v>
      </c>
      <c r="B29" s="72">
        <f>CORREL(NEM.R.C,wc.temp.ctd.C)</f>
        <v>-0.23320482935345077</v>
      </c>
      <c r="C29" s="72">
        <f>CORREL(NEM.R.C,wc.sal.ctd.C)</f>
        <v>-8.8397670204578269E-2</v>
      </c>
      <c r="D29" s="234">
        <f>CORREL(NEM.R.C,wc.chl.a.C)</f>
        <v>-0.35974653047304456</v>
      </c>
      <c r="E29" s="72">
        <f>CORREL(NEM.R.C,I.avg.C)</f>
        <v>3.0162956965603567E-2</v>
      </c>
      <c r="F29" s="72">
        <f>CORREL(NEM.R.C,dSal.C)</f>
        <v>0.20783915737839306</v>
      </c>
    </row>
  </sheetData>
  <pageMargins left="0.75" right="0.75" top="1" bottom="1" header="0.5" footer="0.5"/>
  <pageSetup orientation="portrait" r:id="rId1"/>
  <headerFooter alignWithMargins="0">
    <oddFooter>&amp;L&amp;F, &amp;D&amp;R&amp;A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8:I20"/>
  <sheetViews>
    <sheetView zoomScale="85" zoomScaleNormal="85" workbookViewId="0">
      <selection activeCell="L12" sqref="L12"/>
    </sheetView>
  </sheetViews>
  <sheetFormatPr defaultRowHeight="13.2"/>
  <cols>
    <col min="7" max="7" width="14.109375" customWidth="1"/>
    <col min="8" max="8" width="6" customWidth="1"/>
  </cols>
  <sheetData>
    <row r="18" spans="9:9">
      <c r="I18" s="81"/>
    </row>
    <row r="19" spans="9:9">
      <c r="I19" s="81"/>
    </row>
    <row r="20" spans="9:9">
      <c r="I20" s="81"/>
    </row>
  </sheetData>
  <phoneticPr fontId="57" type="noConversion"/>
  <pageMargins left="0.75" right="0.75" top="1" bottom="1" header="0.5" footer="0.5"/>
  <pageSetup orientation="portrait" r:id="rId1"/>
  <headerFooter alignWithMargins="0">
    <oddFooter>&amp;L&amp;F, &amp;D&amp;R&amp;A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zoomScale="115" zoomScaleNormal="115" workbookViewId="0">
      <selection activeCell="C24" sqref="C24"/>
    </sheetView>
  </sheetViews>
  <sheetFormatPr defaultColWidth="8.88671875" defaultRowHeight="14.4"/>
  <cols>
    <col min="1" max="1" width="20" style="335" customWidth="1"/>
    <col min="2" max="2" width="13.33203125" style="335" customWidth="1"/>
    <col min="3" max="4" width="10.6640625" style="335" customWidth="1"/>
    <col min="5" max="5" width="12.5546875" style="335" customWidth="1"/>
    <col min="6" max="16384" width="8.88671875" style="335"/>
  </cols>
  <sheetData>
    <row r="1" spans="1:6" s="336" customFormat="1" ht="98.25" customHeight="1">
      <c r="A1" s="374"/>
      <c r="B1" s="374"/>
      <c r="C1" s="374"/>
      <c r="D1" s="374"/>
      <c r="E1" s="374"/>
    </row>
    <row r="2" spans="1:6" s="336" customFormat="1" ht="15.6">
      <c r="A2" s="338"/>
      <c r="B2" s="375" t="s">
        <v>267</v>
      </c>
      <c r="C2" s="375"/>
      <c r="D2" s="375" t="s">
        <v>51</v>
      </c>
      <c r="E2" s="375"/>
      <c r="F2" s="337"/>
    </row>
    <row r="3" spans="1:6" s="336" customFormat="1" ht="15.6">
      <c r="A3" s="339"/>
      <c r="B3" s="340" t="s">
        <v>30</v>
      </c>
      <c r="C3" s="340" t="s">
        <v>31</v>
      </c>
      <c r="D3" s="340" t="s">
        <v>30</v>
      </c>
      <c r="E3" s="340" t="s">
        <v>31</v>
      </c>
      <c r="F3" s="337"/>
    </row>
    <row r="4" spans="1:6" s="336" customFormat="1" ht="15.6">
      <c r="A4" s="341" t="s">
        <v>280</v>
      </c>
      <c r="B4" s="342" t="s">
        <v>291</v>
      </c>
      <c r="C4" s="342" t="s">
        <v>299</v>
      </c>
      <c r="D4" s="342" t="s">
        <v>294</v>
      </c>
      <c r="E4" s="342" t="s">
        <v>300</v>
      </c>
      <c r="F4" s="337"/>
    </row>
    <row r="5" spans="1:6" s="336" customFormat="1" ht="15.6">
      <c r="A5" s="341"/>
      <c r="B5" s="350">
        <v>26</v>
      </c>
      <c r="C5" s="342">
        <v>6.7</v>
      </c>
      <c r="D5" s="342">
        <v>13.02</v>
      </c>
      <c r="E5" s="342">
        <v>13.4</v>
      </c>
      <c r="F5" s="337"/>
    </row>
    <row r="6" spans="1:6" s="336" customFormat="1" ht="15.6">
      <c r="A6" s="341" t="s">
        <v>277</v>
      </c>
      <c r="B6" s="343" t="s">
        <v>292</v>
      </c>
      <c r="C6" s="343" t="s">
        <v>298</v>
      </c>
      <c r="D6" s="342" t="s">
        <v>295</v>
      </c>
      <c r="E6" s="342" t="s">
        <v>301</v>
      </c>
      <c r="F6" s="337"/>
    </row>
    <row r="7" spans="1:6" s="336" customFormat="1" ht="15.6">
      <c r="A7" s="341"/>
      <c r="B7" s="342">
        <v>30.9</v>
      </c>
      <c r="C7" s="342">
        <v>9.5</v>
      </c>
      <c r="D7" s="342">
        <v>18.5</v>
      </c>
      <c r="E7" s="352">
        <v>19</v>
      </c>
      <c r="F7" s="337"/>
    </row>
    <row r="8" spans="1:6" s="336" customFormat="1" ht="15.6">
      <c r="A8" s="341" t="s">
        <v>275</v>
      </c>
      <c r="B8" s="342" t="s">
        <v>293</v>
      </c>
      <c r="C8" s="342" t="s">
        <v>289</v>
      </c>
      <c r="D8" s="342" t="s">
        <v>296</v>
      </c>
      <c r="E8" s="342" t="s">
        <v>302</v>
      </c>
      <c r="F8" s="337"/>
    </row>
    <row r="9" spans="1:6" s="336" customFormat="1" ht="15.6">
      <c r="A9" s="341"/>
      <c r="B9" s="342">
        <v>31.1</v>
      </c>
      <c r="C9" s="342" t="s">
        <v>289</v>
      </c>
      <c r="D9" s="342">
        <v>18.3</v>
      </c>
      <c r="E9" s="342">
        <v>18.8</v>
      </c>
      <c r="F9" s="337"/>
    </row>
    <row r="10" spans="1:6" s="336" customFormat="1" ht="15.6">
      <c r="A10" s="341" t="s">
        <v>273</v>
      </c>
      <c r="B10" s="342" t="s">
        <v>289</v>
      </c>
      <c r="C10" s="342" t="s">
        <v>289</v>
      </c>
      <c r="D10" s="343" t="s">
        <v>297</v>
      </c>
      <c r="E10" s="343" t="s">
        <v>303</v>
      </c>
      <c r="F10" s="337"/>
    </row>
    <row r="11" spans="1:6" s="336" customFormat="1" ht="15.6">
      <c r="A11" s="341"/>
      <c r="B11" s="342" t="s">
        <v>289</v>
      </c>
      <c r="C11" s="342" t="s">
        <v>289</v>
      </c>
      <c r="D11" s="342">
        <v>25.9</v>
      </c>
      <c r="E11" s="342">
        <v>26.6</v>
      </c>
      <c r="F11" s="337"/>
    </row>
    <row r="12" spans="1:6" s="336" customFormat="1" ht="15.6">
      <c r="A12" s="344" t="s">
        <v>271</v>
      </c>
      <c r="B12" s="345">
        <v>0.26</v>
      </c>
      <c r="C12" s="351">
        <v>0.48</v>
      </c>
      <c r="D12" s="345">
        <v>0.22</v>
      </c>
      <c r="E12" s="345">
        <v>0.2</v>
      </c>
      <c r="F12" s="337"/>
    </row>
    <row r="13" spans="1:6" s="336" customFormat="1" ht="15.6">
      <c r="A13" s="346" t="s">
        <v>270</v>
      </c>
      <c r="B13" s="342">
        <v>7.73</v>
      </c>
      <c r="C13" s="343">
        <v>37.4</v>
      </c>
      <c r="D13" s="342">
        <v>31.4</v>
      </c>
      <c r="E13" s="342">
        <v>28.6</v>
      </c>
      <c r="F13" s="337"/>
    </row>
    <row r="14" spans="1:6" s="336" customFormat="1" ht="16.2">
      <c r="A14" s="347" t="s">
        <v>269</v>
      </c>
      <c r="B14" s="348">
        <v>40</v>
      </c>
      <c r="C14" s="348">
        <v>40</v>
      </c>
      <c r="D14" s="348">
        <v>328</v>
      </c>
      <c r="E14" s="348">
        <v>328</v>
      </c>
      <c r="F14" s="337"/>
    </row>
    <row r="15" spans="1:6" s="336" customFormat="1" ht="15.6">
      <c r="A15" s="337" t="s">
        <v>290</v>
      </c>
      <c r="B15" s="337"/>
      <c r="C15" s="337"/>
      <c r="D15" s="337"/>
      <c r="E15" s="337"/>
      <c r="F15" s="337"/>
    </row>
    <row r="16" spans="1:6" s="336" customFormat="1" ht="15.6">
      <c r="A16" s="337"/>
      <c r="B16" s="337"/>
      <c r="C16" s="337"/>
      <c r="D16" s="337"/>
      <c r="E16" s="337"/>
      <c r="F16" s="337"/>
    </row>
    <row r="17" spans="1:6" s="336" customFormat="1" ht="15.6">
      <c r="A17" s="337"/>
      <c r="B17" s="337"/>
      <c r="C17" s="337"/>
      <c r="D17" s="337"/>
      <c r="E17" s="337"/>
      <c r="F17" s="337"/>
    </row>
    <row r="18" spans="1:6" s="336" customFormat="1" ht="15.6">
      <c r="A18" s="337"/>
      <c r="B18" s="337"/>
      <c r="C18" s="337"/>
      <c r="D18" s="337"/>
      <c r="E18" s="337"/>
      <c r="F18" s="337"/>
    </row>
    <row r="19" spans="1:6" s="336" customFormat="1" ht="15.6"/>
    <row r="20" spans="1:6" s="336" customFormat="1" ht="15.6"/>
  </sheetData>
  <mergeCells count="3">
    <mergeCell ref="A1:E1"/>
    <mergeCell ref="B2:C2"/>
    <mergeCell ref="D2:E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topLeftCell="A5" workbookViewId="0">
      <selection activeCell="B18" sqref="B18"/>
    </sheetView>
  </sheetViews>
  <sheetFormatPr defaultColWidth="8.6640625" defaultRowHeight="13.2"/>
  <cols>
    <col min="1" max="1" width="6.6640625" style="87" customWidth="1"/>
    <col min="2" max="2" width="14.6640625" style="87" customWidth="1"/>
    <col min="3" max="3" width="7.6640625" style="87" customWidth="1"/>
    <col min="4" max="4" width="13" style="87" customWidth="1"/>
    <col min="5" max="5" width="7.6640625" style="87" customWidth="1"/>
    <col min="6" max="6" width="12.33203125" style="87" customWidth="1"/>
    <col min="7" max="7" width="7.6640625" style="87" customWidth="1"/>
    <col min="8" max="8" width="12.6640625" style="87" customWidth="1"/>
    <col min="9" max="9" width="6.6640625" style="87" customWidth="1"/>
    <col min="10" max="10" width="13" style="87" customWidth="1"/>
    <col min="11" max="11" width="7.33203125" style="87" bestFit="1" customWidth="1"/>
    <col min="12" max="12" width="7.44140625" style="87" bestFit="1" customWidth="1"/>
    <col min="13" max="13" width="6" style="87" bestFit="1" customWidth="1"/>
    <col min="14" max="14" width="5.33203125" style="87" bestFit="1" customWidth="1"/>
    <col min="15" max="15" width="6" style="87" bestFit="1" customWidth="1"/>
    <col min="16" max="16384" width="8.6640625" style="87"/>
  </cols>
  <sheetData>
    <row r="1" spans="1:19" ht="15.75" customHeight="1">
      <c r="B1" s="73"/>
      <c r="C1" s="370" t="s">
        <v>11</v>
      </c>
      <c r="D1" s="370"/>
      <c r="E1" s="370"/>
      <c r="F1" s="370"/>
      <c r="G1" s="370" t="s">
        <v>12</v>
      </c>
      <c r="H1" s="370"/>
      <c r="I1" s="370"/>
      <c r="J1" s="370"/>
      <c r="M1" s="83"/>
      <c r="N1" s="86"/>
      <c r="O1" s="85"/>
      <c r="P1" s="84"/>
      <c r="Q1" s="85"/>
      <c r="R1" s="84"/>
      <c r="S1" s="82"/>
    </row>
    <row r="2" spans="1:19" ht="15.6">
      <c r="B2" s="73"/>
      <c r="C2" s="371" t="s">
        <v>130</v>
      </c>
      <c r="D2" s="371"/>
      <c r="E2" s="371" t="s">
        <v>131</v>
      </c>
      <c r="F2" s="371"/>
      <c r="G2" s="371" t="s">
        <v>130</v>
      </c>
      <c r="H2" s="371"/>
      <c r="I2" s="371" t="s">
        <v>131</v>
      </c>
      <c r="J2" s="371"/>
      <c r="M2" s="83"/>
      <c r="N2" s="86"/>
      <c r="O2" s="85"/>
      <c r="P2" s="84"/>
      <c r="Q2" s="85"/>
      <c r="R2" s="84"/>
      <c r="S2" s="82"/>
    </row>
    <row r="3" spans="1:19" s="209" customFormat="1" ht="30" customHeight="1">
      <c r="B3" s="206" t="s">
        <v>47</v>
      </c>
      <c r="C3" s="207">
        <f>MEDIAN(Raw!$AA$5:$AA$15)</f>
        <v>26.792171592514126</v>
      </c>
      <c r="D3" s="208" t="str">
        <f>TEXT(MIN(Raw!$AA$5:$AA$15),"0.0")&amp;"-"&amp;TEXT(MAX(Raw!$AA$5:$AA$15),"0.0")</f>
        <v>21.6-30.1</v>
      </c>
      <c r="E3" s="207">
        <f>MEDIAN(Raw!$AA$16:$AA$24)</f>
        <v>30.087987344540903</v>
      </c>
      <c r="F3" s="208" t="str">
        <f>TEXT(MIN(Raw!$AA$16:$AA$24),"0.0")&amp;"-"&amp;TEXT(MAX(Raw!$AA$16:$AA$24),"0.0")</f>
        <v>28.2-31.9</v>
      </c>
      <c r="G3" s="207">
        <f>MEDIAN(Raw!$AA$25:$AA$35)</f>
        <v>26.497540960451971</v>
      </c>
      <c r="H3" s="208" t="str">
        <f>TEXT(MIN(Raw!$AA$25:$AA$35),"0.0")&amp;"-"&amp;TEXT(MAX(Raw!$AA$25:$AA$35),"0.0")</f>
        <v>21.6-30.1</v>
      </c>
      <c r="I3" s="207">
        <f>MEDIAN(Raw!$AA$36:$AA$44)</f>
        <v>29.773425017655367</v>
      </c>
      <c r="J3" s="208" t="str">
        <f>TEXT(MIN(Raw!$AA$36:$AA$44),"0.0")&amp;"-"&amp;TEXT(MAX(Raw!$AA$36:$AA$44),"0.0")</f>
        <v>28.0-31.5</v>
      </c>
      <c r="S3" s="210"/>
    </row>
    <row r="4" spans="1:19" s="209" customFormat="1" ht="30" customHeight="1">
      <c r="B4" s="206" t="s">
        <v>48</v>
      </c>
      <c r="C4" s="207">
        <f>MEDIAN(Raw!$AB$5:$AB$15)</f>
        <v>24.083331997309738</v>
      </c>
      <c r="D4" s="208" t="str">
        <f>TEXT(MIN(Raw!$AB$5:$AB$15),"0.0")&amp;"-"&amp;TEXT(MAX(Raw!$AB$5:$AB$15),"0.0")</f>
        <v>19.7-27.5</v>
      </c>
      <c r="E4" s="207">
        <f>MEDIAN(Raw!$AB$16:$AB$24)</f>
        <v>15.369906491585203</v>
      </c>
      <c r="F4" s="208" t="str">
        <f>TEXT(MIN(Raw!$AB$16:$AB$24),"0.0")&amp;"-"&amp;TEXT(MAX(Raw!$AB$16:$AB$24),"0.0")</f>
        <v>12.0-20.4</v>
      </c>
      <c r="G4" s="207">
        <f>MEDIAN(Raw!$AB$25:$AB$35)</f>
        <v>24.227572740112986</v>
      </c>
      <c r="H4" s="208" t="str">
        <f>TEXT(MIN(Raw!$AB$25:$AB$35),"0.0")&amp;"-"&amp;TEXT(MAX(Raw!$AB$25:$AB$35),"0.0")</f>
        <v>19.6-28.0</v>
      </c>
      <c r="I4" s="207">
        <f>MEDIAN(Raw!$AB$36:$AB$44)</f>
        <v>14.606302789548026</v>
      </c>
      <c r="J4" s="208" t="str">
        <f>TEXT(MIN(Raw!$AB$36:$AB$44),"0.0")&amp;"-"&amp;TEXT(MAX(Raw!$AB$36:$AB$44),"0.0")</f>
        <v>10.8-19.7</v>
      </c>
      <c r="S4" s="210"/>
    </row>
    <row r="5" spans="1:19" s="209" customFormat="1" ht="30" customHeight="1">
      <c r="B5" s="206" t="s">
        <v>285</v>
      </c>
      <c r="C5" s="207">
        <f>MEDIAN(Raw!$AY$5:$AY$15)</f>
        <v>237.24496681738057</v>
      </c>
      <c r="D5" s="208" t="str">
        <f>TEXT(MIN(Raw!$AY$5:$AY$15),"0.0")&amp;"-"&amp;TEXT(MAX(Raw!$AY$5:$AY$15),"0.0")</f>
        <v>217.1-261.4</v>
      </c>
      <c r="E5" s="207">
        <f>MEDIAN(Raw!$AY$16:$AY$24)</f>
        <v>223.73260813381776</v>
      </c>
      <c r="F5" s="208" t="str">
        <f>TEXT(MIN(Raw!$AY$16:$AY$24),"0.0")&amp;"-"&amp;TEXT(MAX(Raw!$AY$16:$AY$24),"0.0")</f>
        <v>194.9-279.8</v>
      </c>
      <c r="G5" s="207">
        <f>MEDIAN(Raw!$AY$25:$AY$35)</f>
        <v>215.95679952330514</v>
      </c>
      <c r="H5" s="208" t="str">
        <f>TEXT(MIN(Raw!$AY$25:$AY$35),"0.0")&amp;"-"&amp;TEXT(MAX(Raw!$AY$25:$AY$35),"0.0")</f>
        <v>200.2-248.4</v>
      </c>
      <c r="I5" s="207">
        <f>MEDIAN(Raw!$AY$36:$AY$44)</f>
        <v>233.06203654661024</v>
      </c>
      <c r="J5" s="208" t="str">
        <f>TEXT(MIN(Raw!$AY$36:$AY$44),"0.0")&amp;"-"&amp;TEXT(MAX(Raw!$AY$36:$AY$44),"0.0")</f>
        <v>213.5-281.8</v>
      </c>
      <c r="S5" s="210"/>
    </row>
    <row r="6" spans="1:19" s="209" customFormat="1" ht="30" customHeight="1">
      <c r="B6" s="206" t="s">
        <v>286</v>
      </c>
      <c r="C6" s="207">
        <f>MEDIAN(Raw!$AE$5:$AE$15)</f>
        <v>107.52391338791986</v>
      </c>
      <c r="D6" s="208" t="str">
        <f>TEXT(MIN(Raw!$AE$5:$AE$15),"0.0")&amp;"-"&amp;TEXT(MAX(Raw!$AE$5:$AE$15),"0.0")</f>
        <v>96.6-114.3</v>
      </c>
      <c r="E6" s="207">
        <f>MEDIAN(Raw!$AE$16:$AE$24)</f>
        <v>102.92404979674316</v>
      </c>
      <c r="F6" s="208" t="str">
        <f>TEXT(MIN(Raw!$AE$16:$AE$24),"0.0")&amp;"-"&amp;TEXT(MAX(Raw!$AE$16:$AE$24),"0.0")</f>
        <v>89.0-129.4</v>
      </c>
      <c r="G6" s="207">
        <f>MEDIAN(Raw!$AE$25:$AE$35)</f>
        <v>100.04798802654167</v>
      </c>
      <c r="H6" s="208" t="str">
        <f>TEXT(MIN(Raw!$AE$25:$AE$35),"0.0")&amp;"-"&amp;TEXT(MAX(Raw!$AE$25:$AE$35),"0.0")</f>
        <v>95.7-102.2</v>
      </c>
      <c r="I6" s="207">
        <f>MEDIAN(Raw!$AE$36:$AE$44)</f>
        <v>105.50649152049274</v>
      </c>
      <c r="J6" s="208" t="str">
        <f>TEXT(MIN(Raw!$AE$36:$AE$44),"0.0")&amp;"-"&amp;TEXT(MAX(Raw!$AE$36:$AE$44),"0.0")</f>
        <v>97.5-128.9</v>
      </c>
      <c r="S6" s="210"/>
    </row>
    <row r="7" spans="1:19" s="209" customFormat="1" ht="30" customHeight="1">
      <c r="B7" s="206" t="s">
        <v>256</v>
      </c>
      <c r="C7" s="211">
        <f>MEDIAN(Raw!$AR$5:$AR$15)</f>
        <v>0.18304526663481313</v>
      </c>
      <c r="D7" s="208" t="str">
        <f>TEXT(MIN(Raw!$AR$5:$AR$15),"0.00")&amp;"-"&amp;TEXT(MAX(Raw!$AR$5:$AR$15),"0.00")</f>
        <v>0.13-0.69</v>
      </c>
      <c r="E7" s="211">
        <f>MEDIAN(Raw!$AR$16:$AR$24)</f>
        <v>0.38257687403160168</v>
      </c>
      <c r="F7" s="208" t="str">
        <f>TEXT(MIN(Raw!$AR$16:$AR$24),"0.00")&amp;"-"&amp;TEXT(MAX(Raw!$AR$16:$AR$24),"0.00")</f>
        <v>0.18-1.39</v>
      </c>
      <c r="G7" s="211">
        <f>MEDIAN(Raw!$AR$25:$AR$35)</f>
        <v>0.18706556234648325</v>
      </c>
      <c r="H7" s="208" t="str">
        <f>TEXT(MIN(Raw!$AR$25:$AR$35),"0.00")&amp;"-"&amp;TEXT(MAX(Raw!$AR$25:$AR$35),"0.00")</f>
        <v>0.08-0.34</v>
      </c>
      <c r="I7" s="211">
        <f>MEDIAN(Raw!$AR$36:$AR$44)</f>
        <v>0.26587824288364365</v>
      </c>
      <c r="J7" s="208" t="str">
        <f>TEXT(MIN(Raw!$AR$36:$AR$44),"0.00")&amp;"-"&amp;TEXT(MAX(Raw!$AR$36:$AR$44),"0.00")</f>
        <v>0.22-1.03</v>
      </c>
    </row>
    <row r="8" spans="1:19" s="209" customFormat="1" ht="30" customHeight="1">
      <c r="B8" s="206" t="s">
        <v>259</v>
      </c>
      <c r="C8" s="207" t="s">
        <v>71</v>
      </c>
      <c r="D8" s="208" t="str">
        <f>"nd"&amp;"-"&amp;TEXT(MAX(Raw!$AT$5:$AT$15),"0.00")</f>
        <v>nd-0.77</v>
      </c>
      <c r="E8" s="207" t="s">
        <v>71</v>
      </c>
      <c r="F8" s="208" t="str">
        <f>"nd"&amp;"-"&amp;TEXT(MAX(Raw!$AT$16:$AT$24),"0.00")</f>
        <v>nd-0.77</v>
      </c>
      <c r="G8" s="207" t="s">
        <v>71</v>
      </c>
      <c r="H8" s="208" t="s">
        <v>71</v>
      </c>
      <c r="I8" s="207" t="s">
        <v>71</v>
      </c>
      <c r="J8" s="208" t="s">
        <v>71</v>
      </c>
    </row>
    <row r="9" spans="1:19" s="209" customFormat="1" ht="30" customHeight="1">
      <c r="B9" s="206" t="s">
        <v>257</v>
      </c>
      <c r="C9" s="211">
        <f>MEDIAN(Raw!$AU$5:$AU$15)</f>
        <v>8.8999999999999996E-2</v>
      </c>
      <c r="D9" s="208" t="str">
        <f>TEXT(MIN(Raw!$AU$5:$AU$15),"0.00")&amp;"-"&amp;TEXT(MAX(Raw!$AU$5:$AU$15),"0.00")</f>
        <v>0.07-0.16</v>
      </c>
      <c r="E9" s="211">
        <f>MEDIAN(Raw!$AU$16:$AU$24)</f>
        <v>0.14099999999999999</v>
      </c>
      <c r="F9" s="208" t="str">
        <f>TEXT(MIN(Raw!$AU$16:$AU$24),"0.00")&amp;"-"&amp;TEXT(MAX(Raw!$AU$16:$AU$24),"0.00")</f>
        <v>0.12-0.50</v>
      </c>
      <c r="G9" s="211">
        <f>MEDIAN(Raw!$AU$25:$AU$35)</f>
        <v>8.0500000000000002E-2</v>
      </c>
      <c r="H9" s="208" t="str">
        <f>TEXT(MIN(Raw!$AU$25:$AU$35),"0.00")&amp;"-"&amp;TEXT(MAX(Raw!$AU$25:$AU$35),"0.00")</f>
        <v>0.06-0.13</v>
      </c>
      <c r="I9" s="211">
        <f>MEDIAN(Raw!$AU$36:$AU$44)</f>
        <v>0.14399999999999999</v>
      </c>
      <c r="J9" s="208" t="str">
        <f>TEXT(MIN(Raw!$AU$36:$AU$44),"0.00")&amp;"-"&amp;TEXT(MAX(Raw!$AU$36:$AU$44),"0.00")</f>
        <v>0.12-0.20</v>
      </c>
    </row>
    <row r="10" spans="1:19" s="209" customFormat="1" ht="30" customHeight="1">
      <c r="B10" s="206" t="s">
        <v>258</v>
      </c>
      <c r="C10" s="207">
        <f>MEDIAN(Raw!$AV$5:$AV$15)</f>
        <v>24.35</v>
      </c>
      <c r="D10" s="208" t="str">
        <f>TEXT(MIN(Raw!$AV$5:$AV$15),"0.0")&amp;"-"&amp;TEXT(MAX(Raw!$AV$5:$AV$15),"0.0")</f>
        <v>6.9-33.1</v>
      </c>
      <c r="E10" s="207">
        <f>MEDIAN(Raw!$AV$16:$AV$24)</f>
        <v>42.668999999999997</v>
      </c>
      <c r="F10" s="208" t="str">
        <f>TEXT(MIN(Raw!$AV$16:$AV$24),"0.0")&amp;"-"&amp;TEXT(MAX(Raw!$AV$16:$AV$24),"0.0")</f>
        <v>29.2-67.0</v>
      </c>
      <c r="G10" s="207">
        <f>MEDIAN(Raw!$AV$25:$AV$35)</f>
        <v>23.565000000000001</v>
      </c>
      <c r="H10" s="208" t="str">
        <f>TEXT(MIN(Raw!$AV$25:$AV$35),"0.0")&amp;"-"&amp;TEXT(MAX(Raw!$AV$25:$AV$35),"0.0")</f>
        <v>8.0-37.6</v>
      </c>
      <c r="I10" s="207">
        <f>MEDIAN(Raw!$AV$36:$AV$44)</f>
        <v>46.851999999999997</v>
      </c>
      <c r="J10" s="208" t="str">
        <f>TEXT(MIN(Raw!$AV$36:$AV$44),"0.0")&amp;"-"&amp;TEXT(MAX(Raw!$AV$36:$AV$44),"0.0")</f>
        <v>35.5-64.2</v>
      </c>
    </row>
    <row r="11" spans="1:19" s="209" customFormat="1" ht="30" customHeight="1">
      <c r="B11" s="206" t="s">
        <v>49</v>
      </c>
      <c r="C11" s="207">
        <f>MEDIAN(Raw!$F$5:$F$15)</f>
        <v>2.9717647058823529</v>
      </c>
      <c r="D11" s="208" t="str">
        <f>TEXT(MIN(Raw!$F$5:$F$15),"0.0")&amp;"-"&amp;TEXT(MAX(Raw!$F$5:$F$15),"0.0")</f>
        <v>1.9-4.6</v>
      </c>
      <c r="E11" s="207">
        <f>MEDIAN(Raw!$F$16:$F$24)</f>
        <v>8.2940000000000005</v>
      </c>
      <c r="F11" s="208" t="str">
        <f>TEXT(MIN(Raw!$F$16:$F$24),"0.0")&amp;"-"&amp;TEXT(MAX(Raw!$F$16:$F$24),"0.0")</f>
        <v>5.3-14.3</v>
      </c>
      <c r="G11" s="207">
        <f>MEDIAN(Raw!$F$25:$F$35)</f>
        <v>2.8456470588235296</v>
      </c>
      <c r="H11" s="208" t="str">
        <f>TEXT(MIN(Raw!$F$25:$F$35),"0.0")&amp;"-"&amp;TEXT(MAX(Raw!$F$25:$F$35),"0.0")</f>
        <v>1.6-4.6</v>
      </c>
      <c r="I11" s="207">
        <f>MEDIAN(Raw!$F$36:$F$44)</f>
        <v>7.9857142857142858</v>
      </c>
      <c r="J11" s="208" t="str">
        <f>TEXT(MIN(Raw!$F$36:$F$44),"0.0")&amp;"-"&amp;TEXT(MAX(Raw!$F$36:$F$44),"0.0")</f>
        <v>4.7-11.0</v>
      </c>
    </row>
    <row r="12" spans="1:19" s="209" customFormat="1" ht="30" customHeight="1">
      <c r="B12" s="206" t="s">
        <v>248</v>
      </c>
      <c r="C12" s="211">
        <f>MEDIAN(SUM!$AQ$5:$AQ$15)</f>
        <v>0.40267858616538338</v>
      </c>
      <c r="D12" s="208" t="str">
        <f>TEXT(MIN(SUM!$AQ$5:$AQ$15),"0.00")&amp;"-"&amp;TEXT(MAX(SUM!$AQ$5:$AQ$15),"0.00")</f>
        <v>0.13-0.51</v>
      </c>
      <c r="E12" s="211">
        <f>MEDIAN(SUM!$AQ$16:$AQ$24)</f>
        <v>0.28932774414135443</v>
      </c>
      <c r="F12" s="208" t="str">
        <f>TEXT(MIN(SUM!$AQ$16:$AQ$24),"0.00")&amp;"-"&amp;TEXT(MAX(SUM!$AQ$16:$AQ$24),"0.00")</f>
        <v>0.17-0.38</v>
      </c>
      <c r="G12" s="211">
        <f>MEDIAN(SUM!$AQ$25:$AQ$35)</f>
        <v>0.20217361910645426</v>
      </c>
      <c r="H12" s="208" t="str">
        <f>TEXT(MIN(SUM!$AQ$25:$AQ$35),"0.00")&amp;"-"&amp;TEXT(MAX(SUM!$AQ$25:$AQ$35),"0.00")</f>
        <v>0.07-0.28</v>
      </c>
      <c r="I12" s="211">
        <f>MEDIAN(SUM!$AQ$36:$AQ$44)</f>
        <v>9.8985950185157601E-2</v>
      </c>
      <c r="J12" s="208" t="str">
        <f>TEXT(MIN(SUM!$AQ$36:$AQ$44),"0.00")&amp;"-"&amp;TEXT(MAX(SUM!$AQ$36:$AQ$44),"0.00")</f>
        <v>0.06-0.17</v>
      </c>
    </row>
    <row r="13" spans="1:19" s="209" customFormat="1" ht="30" customHeight="1">
      <c r="A13" s="184" t="s">
        <v>308</v>
      </c>
      <c r="C13" s="211"/>
      <c r="D13" s="208"/>
      <c r="E13" s="211"/>
      <c r="F13" s="208"/>
      <c r="G13" s="211"/>
      <c r="H13" s="208"/>
      <c r="I13" s="211"/>
      <c r="J13" s="208"/>
    </row>
    <row r="14" spans="1:19" s="209" customFormat="1" ht="30" customHeight="1">
      <c r="B14" s="206" t="s">
        <v>306</v>
      </c>
      <c r="C14" s="211">
        <f>MEDIAN(SUM!$G$5:$G$15)</f>
        <v>1.2079472955102137</v>
      </c>
      <c r="D14" s="208" t="str">
        <f>TEXT(MIN(SUM!$G$5:$G$15),"0.00")&amp;"-"&amp;TEXT(MAX(SUM!$G$5:$G$15),"0.00")</f>
        <v>0.70-1.93</v>
      </c>
      <c r="E14" s="211">
        <f>MEDIAN(SUM!$G$16:$G$24)</f>
        <v>3.5308119318781275</v>
      </c>
      <c r="F14" s="208" t="str">
        <f>TEXT(MIN(SUM!$G$16:$G$24),"0.00")&amp;"-"&amp;TEXT(MAX(SUM!$G$16:$G$24),"0.00")</f>
        <v>1.57-5.98</v>
      </c>
      <c r="G14" s="211">
        <f>MEDIAN(SUM!$G$25:$G$35)</f>
        <v>1.1089537808178034</v>
      </c>
      <c r="H14" s="208" t="str">
        <f>TEXT(MIN(SUM!$G$25:$G$35),"0.00")&amp;"-"&amp;TEXT(MAX(SUM!$G$25:$G$35),"0.00")</f>
        <v>0.81-1.61</v>
      </c>
      <c r="I14" s="211">
        <f>MEDIAN(SUM!$G$36:$G$44)</f>
        <v>2.7776765893591238</v>
      </c>
      <c r="J14" s="208" t="str">
        <f>TEXT(MIN(SUM!$G$36:$G$44),"0.00")&amp;"-"&amp;TEXT(MAX(SUM!$G$36:$G$44),"0.00")</f>
        <v>0.85-5.95</v>
      </c>
    </row>
    <row r="15" spans="1:19" ht="30" customHeight="1">
      <c r="B15" s="206" t="s">
        <v>304</v>
      </c>
      <c r="C15" s="211">
        <f>MEDIAN(SUM!$I$5:$I$15)</f>
        <v>0.53729691236994748</v>
      </c>
      <c r="D15" s="208" t="str">
        <f>TEXT(MIN(SUM!$I$5:$I$15),"0.00")&amp;"-"&amp;TEXT(MAX(SUM!$I$5:$I$15),"0.00")</f>
        <v>0.33-1.02</v>
      </c>
      <c r="E15" s="211">
        <f>MEDIAN(SUM!$I$16:$I$24)</f>
        <v>0.80987199153548883</v>
      </c>
      <c r="F15" s="208" t="str">
        <f>TEXT(MIN(SUM!$I$16:$I$24),"0.00")&amp;"-"&amp;TEXT(MAX(SUM!$I$16:$I$24),"0.00")</f>
        <v>0.05-1.24</v>
      </c>
      <c r="G15" s="211">
        <f>MEDIAN(SUM!$I$25:$I$35)</f>
        <v>0.55198122197279786</v>
      </c>
      <c r="H15" s="208" t="str">
        <f>TEXT(MIN(SUM!$I$25:$I$35),"0.00")&amp;"-"&amp;TEXT(MAX(SUM!$I$25:$I$35),"0.00")</f>
        <v>0.27-0.76</v>
      </c>
      <c r="I15" s="211">
        <f>MEDIAN(SUM!$I$36:$I$44)</f>
        <v>0.55098451897337364</v>
      </c>
      <c r="J15" s="208" t="str">
        <f>TEXT(MIN(SUM!$I$36:$I$44),"0.00")&amp;"-"&amp;TEXT(MAX(SUM!$I$36:$I$44),"0.00")</f>
        <v>0.26-1.48</v>
      </c>
    </row>
    <row r="16" spans="1:19" ht="30" customHeight="1">
      <c r="B16" s="206" t="s">
        <v>161</v>
      </c>
      <c r="C16" s="207">
        <f>MEDIAN(SUM!$L$5:$L$15)</f>
        <v>4.250398968514391</v>
      </c>
      <c r="D16" s="208" t="str">
        <f>TEXT(MIN(SUM!$L$5:$L$15),"0.0")&amp;"-"&amp;TEXT(MAX(SUM!$L$5:$L$15),"0.0")</f>
        <v>1.1-7.4</v>
      </c>
      <c r="E16" s="207">
        <f>MEDIAN(SUM!$L$16:$L$24)</f>
        <v>8.2647101545908939</v>
      </c>
      <c r="F16" s="208" t="str">
        <f>TEXT(MIN(SUM!$L$16:$L$24),"0.0")&amp;"-"&amp;TEXT(MAX(SUM!$L$16:$L$24),"0.0")</f>
        <v>3.3-14.6</v>
      </c>
      <c r="G16" s="207">
        <f>MEDIAN(SUM!$L$25:$L$35)</f>
        <v>4.8027073180438293</v>
      </c>
      <c r="H16" s="208" t="str">
        <f>TEXT(MIN(SUM!$L$25:$L$35),"0.0")&amp;"-"&amp;TEXT(MAX(SUM!$L$25:$L$35),"0.0")</f>
        <v>2.1-9.9</v>
      </c>
      <c r="I16" s="207">
        <f>MEDIAN(SUM!$L$36:$L$44)</f>
        <v>8.7182201472268019</v>
      </c>
      <c r="J16" s="208" t="str">
        <f>TEXT(MIN(SUM!$L$36:$L$44),"0.0")&amp;"-"&amp;TEXT(MAX(SUM!$L$36:$L$44),"0.0")</f>
        <v>3.7-15.9</v>
      </c>
    </row>
    <row r="17" spans="1:10" ht="30" customHeight="1">
      <c r="B17" s="206" t="s">
        <v>162</v>
      </c>
      <c r="C17" s="211">
        <f>MEDIAN(SUM!$N$5:$N$15)</f>
        <v>0.44377547391236344</v>
      </c>
      <c r="D17" s="208" t="str">
        <f>TEXT(MIN(SUM!$N$5:$N$15),"0.00")&amp;"-"&amp;TEXT(MAX(SUM!$N$5:$N$15),"0.00")</f>
        <v>0.23-0.65</v>
      </c>
      <c r="E17" s="211">
        <f>MEDIAN(SUM!$N$16:$N$24)</f>
        <v>0.41725196065539732</v>
      </c>
      <c r="F17" s="208" t="str">
        <f>TEXT(MIN(SUM!$N$16:$N$24),"0.00")&amp;"-"&amp;TEXT(MAX(SUM!$N$16:$N$24),"0.00")</f>
        <v>0.18-0.60</v>
      </c>
      <c r="G17" s="211">
        <f>MEDIAN(SUM!$N$25:$N$35)</f>
        <v>0.37958602840793204</v>
      </c>
      <c r="H17" s="208" t="str">
        <f>TEXT(MIN(SUM!$N$25:$N$35),"0.00")&amp;"-"&amp;TEXT(MAX(SUM!$N$25:$N$35),"0.00")</f>
        <v>0.25-0.69</v>
      </c>
      <c r="I17" s="211">
        <f>MEDIAN(SUM!$N$36:$N$44)</f>
        <v>0.36183368510974245</v>
      </c>
      <c r="J17" s="208" t="str">
        <f>TEXT(MIN(SUM!$N$36:$N$44),"0.00")&amp;"-"&amp;TEXT(MAX(SUM!$N$36:$N$44),"0.00")</f>
        <v>0.10-0.74</v>
      </c>
    </row>
    <row r="18" spans="1:10" ht="30" customHeight="1">
      <c r="A18" s="184" t="s">
        <v>307</v>
      </c>
    </row>
    <row r="19" spans="1:10" ht="30" customHeight="1">
      <c r="B19" s="206" t="s">
        <v>306</v>
      </c>
    </row>
    <row r="20" spans="1:10" ht="30" customHeight="1">
      <c r="B20" s="206" t="s">
        <v>304</v>
      </c>
    </row>
    <row r="21" spans="1:10" ht="30" customHeight="1">
      <c r="B21" s="206" t="s">
        <v>309</v>
      </c>
      <c r="D21" s="212"/>
    </row>
  </sheetData>
  <mergeCells count="6">
    <mergeCell ref="C1:F1"/>
    <mergeCell ref="G1:J1"/>
    <mergeCell ref="C2:D2"/>
    <mergeCell ref="E2:F2"/>
    <mergeCell ref="G2:H2"/>
    <mergeCell ref="I2:J2"/>
  </mergeCells>
  <pageMargins left="0.75" right="0.75" top="1" bottom="1" header="0.5" footer="0.5"/>
  <pageSetup orientation="portrait" r:id="rId1"/>
  <headerFooter alignWithMargins="0">
    <oddFooter>&amp;L&amp;F, &amp;D&amp;R&amp;A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sqref="A1:F1"/>
    </sheetView>
  </sheetViews>
  <sheetFormatPr defaultColWidth="9.109375" defaultRowHeight="15.6"/>
  <cols>
    <col min="1" max="1" width="23.5546875" style="190" bestFit="1" customWidth="1"/>
    <col min="2" max="2" width="5.109375" style="190" bestFit="1" customWidth="1"/>
    <col min="3" max="3" width="5.33203125" style="190" customWidth="1"/>
    <col min="4" max="4" width="4.33203125" style="190" customWidth="1"/>
    <col min="5" max="5" width="5.109375" style="190" bestFit="1" customWidth="1"/>
    <col min="6" max="6" width="6.33203125" style="190" customWidth="1"/>
    <col min="7" max="7" width="11.6640625" style="190" customWidth="1"/>
    <col min="8" max="16384" width="9.109375" style="190"/>
  </cols>
  <sheetData>
    <row r="1" spans="1:6" ht="41.4" customHeight="1">
      <c r="A1" s="372"/>
      <c r="B1" s="372"/>
      <c r="C1" s="372"/>
      <c r="D1" s="372"/>
      <c r="E1" s="372"/>
      <c r="F1" s="372"/>
    </row>
    <row r="2" spans="1:6">
      <c r="A2" s="192"/>
      <c r="B2" s="373" t="s">
        <v>130</v>
      </c>
      <c r="C2" s="373"/>
      <c r="D2" s="254"/>
      <c r="E2" s="373" t="s">
        <v>131</v>
      </c>
      <c r="F2" s="373"/>
    </row>
    <row r="3" spans="1:6">
      <c r="A3" s="255" t="s">
        <v>151</v>
      </c>
      <c r="B3" s="256" t="s">
        <v>153</v>
      </c>
      <c r="C3" s="256" t="s">
        <v>152</v>
      </c>
      <c r="D3" s="256"/>
      <c r="E3" s="256" t="s">
        <v>153</v>
      </c>
      <c r="F3" s="256" t="s">
        <v>152</v>
      </c>
    </row>
    <row r="4" spans="1:6">
      <c r="A4" s="193" t="s">
        <v>47</v>
      </c>
      <c r="B4" s="194">
        <v>0.99011740000000004</v>
      </c>
      <c r="C4" s="191">
        <v>0</v>
      </c>
      <c r="D4" s="194"/>
      <c r="E4" s="194">
        <v>0.9657637</v>
      </c>
      <c r="F4" s="191">
        <v>1</v>
      </c>
    </row>
    <row r="5" spans="1:6">
      <c r="A5" s="193" t="s">
        <v>48</v>
      </c>
      <c r="B5" s="194">
        <v>0.88917880000000005</v>
      </c>
      <c r="C5" s="191">
        <v>1</v>
      </c>
      <c r="D5" s="194"/>
      <c r="E5" s="194">
        <v>0.88444929999999999</v>
      </c>
      <c r="F5" s="191">
        <v>-4</v>
      </c>
    </row>
    <row r="6" spans="1:6">
      <c r="A6" s="193" t="s">
        <v>154</v>
      </c>
      <c r="B6" s="194">
        <v>0.49814229999999998</v>
      </c>
      <c r="C6" s="191">
        <v>-5</v>
      </c>
      <c r="D6" s="194"/>
      <c r="E6" s="194">
        <v>0.72814849999999998</v>
      </c>
      <c r="F6" s="191">
        <v>-3</v>
      </c>
    </row>
    <row r="7" spans="1:6">
      <c r="A7" s="193" t="s">
        <v>155</v>
      </c>
      <c r="B7" s="194">
        <v>0.39601019999999998</v>
      </c>
      <c r="C7" s="191">
        <v>-7</v>
      </c>
      <c r="D7" s="194"/>
      <c r="E7" s="194">
        <v>0.35095320000000002</v>
      </c>
      <c r="F7" s="191">
        <v>5</v>
      </c>
    </row>
    <row r="8" spans="1:6">
      <c r="A8" s="193" t="s">
        <v>228</v>
      </c>
      <c r="B8" s="194">
        <v>0.76081920000000003</v>
      </c>
      <c r="C8" s="191">
        <v>0</v>
      </c>
      <c r="D8" s="194"/>
      <c r="E8" s="194">
        <v>0.5493249</v>
      </c>
      <c r="F8" s="191">
        <v>5</v>
      </c>
    </row>
    <row r="9" spans="1:6">
      <c r="A9" s="193" t="s">
        <v>42</v>
      </c>
      <c r="B9" s="194">
        <v>0.94568589999999997</v>
      </c>
      <c r="C9" s="191">
        <v>0</v>
      </c>
      <c r="D9" s="194"/>
      <c r="E9" s="194">
        <v>0.90644279999999999</v>
      </c>
      <c r="F9" s="191">
        <v>0</v>
      </c>
    </row>
  </sheetData>
  <mergeCells count="3">
    <mergeCell ref="A1:F1"/>
    <mergeCell ref="B2:C2"/>
    <mergeCell ref="E2:F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zoomScale="115" zoomScaleNormal="115" workbookViewId="0">
      <selection activeCell="H1" sqref="H1"/>
    </sheetView>
  </sheetViews>
  <sheetFormatPr defaultColWidth="8.88671875" defaultRowHeight="14.4"/>
  <cols>
    <col min="1" max="1" width="28.5546875" style="335" customWidth="1"/>
    <col min="2" max="2" width="13.33203125" style="335" customWidth="1"/>
    <col min="3" max="4" width="10.6640625" style="335" customWidth="1"/>
    <col min="5" max="5" width="12.5546875" style="335" customWidth="1"/>
    <col min="6" max="16384" width="8.88671875" style="335"/>
  </cols>
  <sheetData>
    <row r="1" spans="1:6" s="336" customFormat="1" ht="98.25" customHeight="1">
      <c r="A1" s="374"/>
      <c r="B1" s="374"/>
      <c r="C1" s="374"/>
      <c r="D1" s="374"/>
      <c r="E1" s="374"/>
    </row>
    <row r="2" spans="1:6" s="336" customFormat="1" ht="15.6">
      <c r="A2" s="338"/>
      <c r="B2" s="375" t="s">
        <v>284</v>
      </c>
      <c r="C2" s="375"/>
      <c r="D2" s="375" t="s">
        <v>281</v>
      </c>
      <c r="E2" s="375"/>
      <c r="F2" s="337"/>
    </row>
    <row r="3" spans="1:6" s="336" customFormat="1" ht="15.6">
      <c r="A3" s="339"/>
      <c r="B3" s="340" t="s">
        <v>30</v>
      </c>
      <c r="C3" s="340" t="s">
        <v>31</v>
      </c>
      <c r="D3" s="340" t="s">
        <v>30</v>
      </c>
      <c r="E3" s="340" t="s">
        <v>31</v>
      </c>
      <c r="F3" s="337"/>
    </row>
    <row r="4" spans="1:6" s="336" customFormat="1" ht="15.6">
      <c r="A4" s="341" t="s">
        <v>328</v>
      </c>
      <c r="B4" s="342">
        <v>0.59</v>
      </c>
      <c r="C4" s="342" t="s">
        <v>287</v>
      </c>
      <c r="D4" s="342" t="s">
        <v>279</v>
      </c>
      <c r="E4" s="350" t="s">
        <v>278</v>
      </c>
      <c r="F4" s="337"/>
    </row>
    <row r="5" spans="1:6" s="336" customFormat="1" ht="15.6">
      <c r="A5" s="341"/>
      <c r="B5" s="364">
        <v>0.3</v>
      </c>
      <c r="C5" s="364">
        <v>0.09</v>
      </c>
      <c r="D5" s="364">
        <v>0.22</v>
      </c>
      <c r="E5" s="364">
        <v>0.26</v>
      </c>
      <c r="F5" s="337"/>
    </row>
    <row r="6" spans="1:6" s="336" customFormat="1" ht="15.6">
      <c r="A6" s="341" t="s">
        <v>277</v>
      </c>
      <c r="B6" s="342">
        <v>0.06</v>
      </c>
      <c r="C6" s="343">
        <v>0.05</v>
      </c>
      <c r="D6" s="342" t="s">
        <v>329</v>
      </c>
      <c r="E6" s="342" t="s">
        <v>276</v>
      </c>
      <c r="F6" s="337"/>
    </row>
    <row r="7" spans="1:6" s="336" customFormat="1" ht="15.6">
      <c r="A7" s="341"/>
      <c r="B7" s="364">
        <v>0.42</v>
      </c>
      <c r="C7" s="364">
        <v>0.13</v>
      </c>
      <c r="D7" s="364">
        <v>0.32</v>
      </c>
      <c r="E7" s="364">
        <v>0.37</v>
      </c>
      <c r="F7" s="337"/>
    </row>
    <row r="8" spans="1:6" s="336" customFormat="1" ht="15.6">
      <c r="A8" s="341" t="s">
        <v>275</v>
      </c>
      <c r="B8" s="342" t="s">
        <v>288</v>
      </c>
      <c r="C8" s="342">
        <v>0.08</v>
      </c>
      <c r="D8" s="342" t="s">
        <v>282</v>
      </c>
      <c r="E8" s="342" t="s">
        <v>274</v>
      </c>
      <c r="F8" s="337"/>
    </row>
    <row r="9" spans="1:6" s="336" customFormat="1" ht="15.6">
      <c r="A9" s="341"/>
      <c r="B9" s="364">
        <v>0.44</v>
      </c>
      <c r="C9" s="364">
        <v>0.14000000000000001</v>
      </c>
      <c r="D9" s="364">
        <v>0.31</v>
      </c>
      <c r="E9" s="364">
        <v>0.37</v>
      </c>
      <c r="F9" s="337"/>
    </row>
    <row r="10" spans="1:6" s="336" customFormat="1" ht="15.6">
      <c r="A10" s="341" t="s">
        <v>273</v>
      </c>
      <c r="B10" s="342">
        <v>0.28000000000000003</v>
      </c>
      <c r="C10" s="342">
        <v>7.0000000000000007E-2</v>
      </c>
      <c r="D10" s="343" t="s">
        <v>283</v>
      </c>
      <c r="E10" s="343" t="s">
        <v>272</v>
      </c>
      <c r="F10" s="337"/>
    </row>
    <row r="11" spans="1:6" s="336" customFormat="1" ht="15.6">
      <c r="A11" s="341"/>
      <c r="B11" s="364">
        <v>0.63</v>
      </c>
      <c r="C11" s="364">
        <v>0.2</v>
      </c>
      <c r="D11" s="364">
        <v>0.44</v>
      </c>
      <c r="E11" s="364">
        <v>0.52</v>
      </c>
      <c r="F11" s="337"/>
    </row>
    <row r="12" spans="1:6" s="336" customFormat="1" ht="20.399999999999999">
      <c r="A12" s="344" t="s">
        <v>337</v>
      </c>
      <c r="B12" s="345">
        <v>0.51</v>
      </c>
      <c r="C12" s="351">
        <v>0.06</v>
      </c>
      <c r="D12" s="345">
        <v>0.36</v>
      </c>
      <c r="E12" s="345">
        <v>0.35</v>
      </c>
      <c r="F12" s="337"/>
    </row>
    <row r="13" spans="1:6" s="336" customFormat="1" ht="15.6">
      <c r="A13" s="346" t="s">
        <v>270</v>
      </c>
      <c r="B13" s="342">
        <v>12.55</v>
      </c>
      <c r="C13" s="343">
        <v>0.74</v>
      </c>
      <c r="D13" s="342">
        <v>60.6</v>
      </c>
      <c r="E13" s="342">
        <v>57.2</v>
      </c>
      <c r="F13" s="337"/>
    </row>
    <row r="14" spans="1:6" s="336" customFormat="1" ht="16.2">
      <c r="A14" s="347" t="s">
        <v>269</v>
      </c>
      <c r="B14" s="348">
        <v>40</v>
      </c>
      <c r="C14" s="348">
        <v>40</v>
      </c>
      <c r="D14" s="348">
        <v>328</v>
      </c>
      <c r="E14" s="348">
        <v>328</v>
      </c>
      <c r="F14" s="337"/>
    </row>
    <row r="15" spans="1:6" s="336" customFormat="1" ht="15.6">
      <c r="A15" s="337" t="s">
        <v>290</v>
      </c>
      <c r="B15" s="337"/>
      <c r="C15" s="337"/>
      <c r="D15" s="337"/>
      <c r="E15" s="337"/>
      <c r="F15" s="337"/>
    </row>
    <row r="16" spans="1:6" s="336" customFormat="1" ht="15.6">
      <c r="A16" s="337"/>
      <c r="B16" s="337"/>
      <c r="C16" s="337"/>
      <c r="D16" s="337"/>
      <c r="E16" s="337"/>
      <c r="F16" s="337"/>
    </row>
    <row r="17" spans="1:6" s="336" customFormat="1" ht="15.6">
      <c r="A17" s="337"/>
      <c r="B17" s="337"/>
      <c r="C17" s="337"/>
      <c r="D17" s="337"/>
      <c r="E17" s="337"/>
      <c r="F17" s="337"/>
    </row>
    <row r="18" spans="1:6" s="336" customFormat="1" ht="15.6">
      <c r="A18" s="337"/>
      <c r="B18" s="337"/>
      <c r="C18" s="337"/>
      <c r="D18" s="337"/>
      <c r="E18" s="337"/>
      <c r="F18" s="337"/>
    </row>
    <row r="19" spans="1:6" s="336" customFormat="1" ht="15.6"/>
    <row r="20" spans="1:6" s="336" customFormat="1" ht="15.6"/>
  </sheetData>
  <mergeCells count="3">
    <mergeCell ref="A1:E1"/>
    <mergeCell ref="B2:C2"/>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
  <sheetViews>
    <sheetView workbookViewId="0">
      <selection activeCell="B18" sqref="B18"/>
    </sheetView>
  </sheetViews>
  <sheetFormatPr defaultColWidth="8.6640625" defaultRowHeight="13.2"/>
  <cols>
    <col min="1" max="1" width="17.88671875" style="87" customWidth="1"/>
    <col min="2" max="9" width="7.6640625" style="87" customWidth="1"/>
    <col min="10" max="10" width="7.33203125" style="87" bestFit="1" customWidth="1"/>
    <col min="11" max="11" width="7.44140625" style="87" bestFit="1" customWidth="1"/>
    <col min="12" max="12" width="6" style="87" bestFit="1" customWidth="1"/>
    <col min="13" max="13" width="5.33203125" style="87" bestFit="1" customWidth="1"/>
    <col min="14" max="14" width="6" style="87" bestFit="1" customWidth="1"/>
    <col min="15" max="16384" width="8.6640625" style="87"/>
  </cols>
  <sheetData>
    <row r="1" spans="1:27" ht="49.5" customHeight="1">
      <c r="A1" s="376"/>
      <c r="B1" s="376"/>
      <c r="C1" s="376"/>
      <c r="D1" s="376"/>
      <c r="E1" s="376"/>
      <c r="F1" s="376"/>
      <c r="G1" s="376"/>
      <c r="H1" s="376"/>
      <c r="I1" s="376"/>
      <c r="J1" s="96"/>
      <c r="K1" s="96"/>
      <c r="L1" s="96"/>
      <c r="M1" s="96"/>
      <c r="N1" s="96"/>
      <c r="O1" s="96"/>
    </row>
    <row r="2" spans="1:27" ht="15.75" customHeight="1">
      <c r="B2" s="370" t="s">
        <v>11</v>
      </c>
      <c r="C2" s="370"/>
      <c r="D2" s="370"/>
      <c r="E2" s="370"/>
      <c r="F2" s="370" t="s">
        <v>12</v>
      </c>
      <c r="G2" s="370"/>
      <c r="H2" s="370"/>
      <c r="I2" s="370"/>
      <c r="L2" s="83"/>
      <c r="M2" s="86"/>
      <c r="N2" s="85"/>
      <c r="O2" s="84"/>
      <c r="P2" s="85"/>
      <c r="Q2" s="84"/>
      <c r="R2" s="82"/>
      <c r="S2" s="376"/>
      <c r="T2" s="376"/>
      <c r="U2" s="376"/>
      <c r="V2" s="376"/>
      <c r="W2" s="376"/>
      <c r="X2" s="376"/>
      <c r="Y2" s="376"/>
      <c r="Z2" s="376"/>
      <c r="AA2" s="376"/>
    </row>
    <row r="3" spans="1:27" ht="15.75" customHeight="1">
      <c r="B3" s="371" t="s">
        <v>130</v>
      </c>
      <c r="C3" s="371"/>
      <c r="D3" s="371" t="s">
        <v>131</v>
      </c>
      <c r="E3" s="371"/>
      <c r="F3" s="371" t="s">
        <v>130</v>
      </c>
      <c r="G3" s="371"/>
      <c r="H3" s="371" t="s">
        <v>131</v>
      </c>
      <c r="I3" s="371"/>
      <c r="L3" s="83"/>
      <c r="M3" s="86"/>
      <c r="N3" s="85"/>
      <c r="O3" s="84"/>
      <c r="P3" s="85"/>
      <c r="Q3" s="84"/>
      <c r="R3" s="82"/>
      <c r="T3" s="370"/>
      <c r="U3" s="370"/>
      <c r="V3" s="370"/>
      <c r="W3" s="370"/>
      <c r="X3" s="370"/>
      <c r="Y3" s="370"/>
      <c r="Z3" s="370"/>
      <c r="AA3" s="370"/>
    </row>
    <row r="4" spans="1:27" ht="15.75" customHeight="1">
      <c r="A4" s="184" t="s">
        <v>120</v>
      </c>
      <c r="R4" s="71"/>
      <c r="T4" s="371"/>
      <c r="U4" s="371"/>
      <c r="V4" s="371"/>
      <c r="W4" s="371"/>
      <c r="X4" s="371"/>
      <c r="Y4" s="371"/>
      <c r="Z4" s="371"/>
      <c r="AA4" s="371"/>
    </row>
    <row r="5" spans="1:27" ht="15.6">
      <c r="A5" s="183" t="s">
        <v>267</v>
      </c>
      <c r="B5" s="85">
        <f>SUM!S49</f>
        <v>23.877718773984881</v>
      </c>
      <c r="C5" s="176">
        <f>SUM!$S$50</f>
        <v>2.4143206753861763</v>
      </c>
      <c r="D5" s="85">
        <f>SUM!$S$56</f>
        <v>64.43581585491502</v>
      </c>
      <c r="E5" s="176">
        <f>SUM!$S$57</f>
        <v>9.8635887749939197</v>
      </c>
      <c r="F5" s="85">
        <f>SUM!$S$71</f>
        <v>93.393097385065218</v>
      </c>
      <c r="G5" s="176">
        <f>SUM!$S$72</f>
        <v>13.667760580408775</v>
      </c>
      <c r="H5" s="85">
        <f>SUM!$S$78</f>
        <v>197.44827555555554</v>
      </c>
      <c r="I5" s="176">
        <f>SUM!$S$79</f>
        <v>66.234141104621415</v>
      </c>
      <c r="J5" s="232">
        <f>AVERAGE(B5,F5)</f>
        <v>58.63540807952505</v>
      </c>
      <c r="R5" s="82"/>
      <c r="S5" s="184"/>
    </row>
    <row r="6" spans="1:27" ht="15.6">
      <c r="A6" s="183" t="s">
        <v>51</v>
      </c>
      <c r="B6" s="85">
        <f>'SP01'!$P$180</f>
        <v>196.60674641757404</v>
      </c>
      <c r="C6" s="176">
        <f>'SP01'!$P$181</f>
        <v>13.279891848732218</v>
      </c>
      <c r="D6" s="85">
        <f>'SP01'!$P$187</f>
        <v>167.57882965738068</v>
      </c>
      <c r="E6" s="176">
        <f>'SP01'!$P$188</f>
        <v>10.689471169889517</v>
      </c>
      <c r="F6" s="85">
        <f>'SP02'!$P$180</f>
        <v>110.20409044807832</v>
      </c>
      <c r="G6" s="176">
        <f>'SP02'!$P$181</f>
        <v>10.089596461001836</v>
      </c>
      <c r="H6" s="85">
        <f>'SP02'!$P$187</f>
        <v>283.40614825070816</v>
      </c>
      <c r="I6" s="176">
        <f>'SP02'!$P$188</f>
        <v>16.469162302461207</v>
      </c>
      <c r="J6" s="232">
        <f>AVERAGE(F6,H6)</f>
        <v>196.80511934939324</v>
      </c>
      <c r="K6" s="232"/>
      <c r="R6" s="82"/>
      <c r="S6" s="183"/>
      <c r="T6" s="85"/>
      <c r="U6" s="176"/>
      <c r="V6" s="85"/>
      <c r="W6" s="176"/>
      <c r="X6" s="85"/>
      <c r="Y6" s="176"/>
      <c r="Z6" s="85"/>
      <c r="AA6" s="176"/>
    </row>
    <row r="7" spans="1:27" ht="15.6">
      <c r="A7" s="183" t="s">
        <v>165</v>
      </c>
      <c r="B7" s="85">
        <f>SUM!$AI$49</f>
        <v>405.06013457636851</v>
      </c>
      <c r="C7" s="176">
        <f>SUM!$AI$50</f>
        <v>40.294972309802439</v>
      </c>
      <c r="D7" s="85">
        <f>SUM!$AI$56</f>
        <v>393.12439835166032</v>
      </c>
      <c r="E7" s="176">
        <f>SUM!$AI$57</f>
        <v>36.931306595213393</v>
      </c>
      <c r="F7" s="85">
        <f>SUM!$AI$71</f>
        <v>212.94913908217129</v>
      </c>
      <c r="G7" s="176">
        <f>SUM!$AI$72</f>
        <v>79.843765834855446</v>
      </c>
      <c r="H7" s="85">
        <f>SUM!$AI$78</f>
        <v>260.11193865101973</v>
      </c>
      <c r="I7" s="176">
        <f>SUM!$AI$79</f>
        <v>69.083641976806149</v>
      </c>
      <c r="J7" s="232"/>
      <c r="R7" s="82"/>
      <c r="S7" s="183"/>
      <c r="T7" s="85"/>
      <c r="U7" s="176"/>
      <c r="V7" s="85"/>
      <c r="W7" s="176"/>
      <c r="X7" s="85"/>
      <c r="Y7" s="176"/>
      <c r="Z7" s="85"/>
      <c r="AA7" s="176"/>
    </row>
    <row r="8" spans="1:27" ht="15.6">
      <c r="A8" s="184" t="s">
        <v>69</v>
      </c>
      <c r="B8" s="214"/>
      <c r="C8" s="158"/>
      <c r="D8" s="214"/>
      <c r="E8" s="158"/>
      <c r="G8" s="160"/>
      <c r="I8" s="160"/>
      <c r="R8" s="82"/>
      <c r="S8" s="183"/>
      <c r="T8" s="155"/>
      <c r="U8" s="213"/>
      <c r="V8" s="155"/>
      <c r="W8" s="213"/>
      <c r="X8" s="155"/>
      <c r="Y8" s="213"/>
      <c r="Z8" s="155"/>
      <c r="AA8" s="213"/>
    </row>
    <row r="9" spans="1:27" ht="15.6">
      <c r="A9" s="183" t="s">
        <v>267</v>
      </c>
      <c r="B9" s="85">
        <f>SUM!$U$49</f>
        <v>21.080783940042721</v>
      </c>
      <c r="C9" s="176">
        <f>SUM!$U$50</f>
        <v>2.4171525478251823</v>
      </c>
      <c r="D9" s="85">
        <f>SUM!$U$56</f>
        <v>26.607630409286404</v>
      </c>
      <c r="E9" s="176">
        <f>SUM!$U$57</f>
        <v>4.925997547282198</v>
      </c>
      <c r="F9" s="85">
        <f>SUM!$U$71</f>
        <v>76.532660576728773</v>
      </c>
      <c r="G9" s="176">
        <f>SUM!$U$72</f>
        <v>6.8241703069401272</v>
      </c>
      <c r="H9" s="85">
        <f>SUM!$U$78</f>
        <v>87.947418740561332</v>
      </c>
      <c r="I9" s="176">
        <f>SUM!$U$79</f>
        <v>19.004444629111919</v>
      </c>
      <c r="S9" s="184"/>
      <c r="T9" s="214"/>
      <c r="U9" s="158"/>
      <c r="V9" s="214"/>
      <c r="W9" s="158"/>
      <c r="Y9" s="160"/>
      <c r="AA9" s="160"/>
    </row>
    <row r="10" spans="1:27" ht="15.6">
      <c r="A10" s="183" t="s">
        <v>51</v>
      </c>
      <c r="B10" s="85">
        <f>'SP01'!$Q$180</f>
        <v>181.93127143913267</v>
      </c>
      <c r="C10" s="176">
        <f>'SP01'!$Q$181</f>
        <v>13.265869529112516</v>
      </c>
      <c r="D10" s="85">
        <f>'SP01'!$Q$187</f>
        <v>168.11195185099578</v>
      </c>
      <c r="E10" s="176">
        <f>'SP01'!$Q$188</f>
        <v>12.169711349464528</v>
      </c>
      <c r="F10" s="85">
        <f>'SP02'!$Q$180</f>
        <v>113.47959557552964</v>
      </c>
      <c r="G10" s="176">
        <f>'SP02'!$Q$181</f>
        <v>9.3921595827421864</v>
      </c>
      <c r="H10" s="85">
        <f>'SP02'!$Q$187</f>
        <v>283.1372976140957</v>
      </c>
      <c r="I10" s="176">
        <f>'SP02'!$Q$188</f>
        <v>16.87201283710262</v>
      </c>
      <c r="J10" s="232">
        <f>AVERAGE(F10,H10)</f>
        <v>198.30844659481266</v>
      </c>
      <c r="K10" s="232"/>
      <c r="S10" s="183"/>
      <c r="T10" s="85"/>
      <c r="U10" s="176"/>
      <c r="V10" s="85"/>
      <c r="W10" s="176"/>
      <c r="X10" s="85"/>
      <c r="Y10" s="176"/>
      <c r="Z10" s="85"/>
      <c r="AA10" s="176"/>
    </row>
    <row r="11" spans="1:27" ht="15.6">
      <c r="A11" s="183" t="s">
        <v>165</v>
      </c>
      <c r="B11" s="85">
        <f>SUM!$AJ$49</f>
        <v>-69.080783940042735</v>
      </c>
      <c r="C11" s="176">
        <f>SUM!$AJ$50</f>
        <v>2.4171525478251343</v>
      </c>
      <c r="D11" s="85">
        <f>SUM!$AJ$56</f>
        <v>-74.718741520397515</v>
      </c>
      <c r="E11" s="176">
        <f>SUM!$AJ$57</f>
        <v>4.8739615862229266</v>
      </c>
      <c r="F11" s="85">
        <f>SUM!$AJ$71</f>
        <v>-124.53266057672877</v>
      </c>
      <c r="G11" s="176">
        <f>SUM!$AJ$72</f>
        <v>6.8241703069401218</v>
      </c>
      <c r="H11" s="85">
        <f>SUM!$AJ$78</f>
        <v>-136.05852985167246</v>
      </c>
      <c r="I11" s="176">
        <f>SUM!$AJ$79</f>
        <v>18.968258343665777</v>
      </c>
      <c r="S11" s="183"/>
      <c r="T11" s="85"/>
      <c r="U11" s="176"/>
      <c r="V11" s="85"/>
      <c r="W11" s="176"/>
      <c r="X11" s="85"/>
      <c r="Y11" s="176"/>
      <c r="Z11" s="85"/>
      <c r="AA11" s="176"/>
    </row>
    <row r="12" spans="1:27" ht="15.6">
      <c r="A12" s="184" t="s">
        <v>70</v>
      </c>
      <c r="B12" s="214"/>
      <c r="C12" s="159"/>
      <c r="D12" s="214"/>
      <c r="E12" s="159"/>
      <c r="G12" s="160"/>
      <c r="I12" s="160"/>
      <c r="S12" s="183"/>
      <c r="T12" s="155"/>
      <c r="U12" s="213"/>
      <c r="V12" s="155"/>
      <c r="W12" s="213"/>
      <c r="X12" s="155"/>
      <c r="Y12" s="213"/>
      <c r="Z12" s="155"/>
      <c r="AA12" s="213"/>
    </row>
    <row r="13" spans="1:27" ht="15.6">
      <c r="A13" s="183" t="s">
        <v>267</v>
      </c>
      <c r="B13" s="85">
        <f>SUM!$V$49</f>
        <v>2.7969348339421556</v>
      </c>
      <c r="C13" s="176">
        <f>SUM!$V$50</f>
        <v>3.1058379082433789</v>
      </c>
      <c r="D13" s="85">
        <f>SUM!$V$56</f>
        <v>37.828185445628606</v>
      </c>
      <c r="E13" s="176">
        <f>SUM!$V$57</f>
        <v>9.1581320294507051</v>
      </c>
      <c r="F13" s="85">
        <f>SUM!$V$71</f>
        <v>16.860436808336477</v>
      </c>
      <c r="G13" s="176">
        <f>SUM!$V$72</f>
        <v>11.999950033416063</v>
      </c>
      <c r="H13" s="85">
        <f>SUM!$V$78</f>
        <v>109.50085681499422</v>
      </c>
      <c r="I13" s="176">
        <f>SUM!$V$79</f>
        <v>66.039612150572722</v>
      </c>
      <c r="S13" s="184"/>
      <c r="T13" s="214"/>
      <c r="U13" s="159"/>
      <c r="V13" s="214"/>
      <c r="W13" s="159"/>
      <c r="Y13" s="160"/>
      <c r="AA13" s="160"/>
    </row>
    <row r="14" spans="1:27" ht="15.6">
      <c r="A14" s="183" t="s">
        <v>51</v>
      </c>
      <c r="B14" s="85">
        <f>'SP01'!$R$180</f>
        <v>11.543477365249771</v>
      </c>
      <c r="C14" s="176">
        <f>'SP01'!$R$181</f>
        <v>4.9291280165703286</v>
      </c>
      <c r="D14" s="85">
        <f>'SP01'!$R$187</f>
        <v>-0.53312219361503632</v>
      </c>
      <c r="E14" s="176">
        <f>'SP01'!$R$188</f>
        <v>5.2885897668520974</v>
      </c>
      <c r="F14" s="85">
        <f>'SP02'!$R$180</f>
        <v>-3.2755051274513067</v>
      </c>
      <c r="G14" s="176">
        <f>'SP02'!$R$181</f>
        <v>4.4928037012806863</v>
      </c>
      <c r="H14" s="85">
        <f>'SP02'!$R$187</f>
        <v>0.26885063661247849</v>
      </c>
      <c r="I14" s="176">
        <f>'SP02'!$R$188</f>
        <v>7.6521594025508994</v>
      </c>
      <c r="S14" s="183"/>
      <c r="T14" s="85"/>
      <c r="U14" s="176"/>
      <c r="V14" s="85"/>
      <c r="W14" s="176"/>
      <c r="X14" s="85"/>
      <c r="Y14" s="176"/>
      <c r="Z14" s="85"/>
      <c r="AA14" s="176"/>
    </row>
    <row r="15" spans="1:27" ht="15.6">
      <c r="A15" s="183" t="s">
        <v>165</v>
      </c>
      <c r="B15" s="85">
        <f>SUM!$AL$49</f>
        <v>474.1409185164112</v>
      </c>
      <c r="C15" s="176">
        <f>SUM!$AL$50</f>
        <v>40.835940439005959</v>
      </c>
      <c r="D15" s="85">
        <f>SUM!$AL$56</f>
        <v>467.8431398720578</v>
      </c>
      <c r="E15" s="176">
        <f>SUM!$AL$57</f>
        <v>35.095093930820106</v>
      </c>
      <c r="F15" s="85">
        <f>SUM!$AL$71</f>
        <v>337.48179965890006</v>
      </c>
      <c r="G15" s="176">
        <f>SUM!$AL$72</f>
        <v>76.528667752588149</v>
      </c>
      <c r="H15" s="85">
        <f>SUM!$AL$78</f>
        <v>396.17046850269219</v>
      </c>
      <c r="I15" s="176">
        <f>SUM!$AL$79</f>
        <v>68.63198879554588</v>
      </c>
      <c r="S15" s="183"/>
      <c r="T15" s="85"/>
      <c r="U15" s="176"/>
      <c r="V15" s="85"/>
      <c r="W15" s="176"/>
      <c r="X15" s="85"/>
      <c r="Y15" s="176"/>
      <c r="Z15" s="85"/>
      <c r="AA15" s="176"/>
    </row>
    <row r="16" spans="1:27" ht="15.6">
      <c r="A16" s="184" t="s">
        <v>163</v>
      </c>
      <c r="B16" s="73"/>
      <c r="C16" s="73"/>
      <c r="D16" s="73"/>
      <c r="E16" s="73"/>
      <c r="F16" s="73"/>
      <c r="G16" s="73"/>
      <c r="H16" s="73"/>
      <c r="S16" s="184"/>
      <c r="T16" s="73"/>
      <c r="U16" s="73"/>
      <c r="V16" s="73"/>
      <c r="W16" s="73"/>
      <c r="X16" s="73"/>
      <c r="Y16" s="73"/>
      <c r="Z16" s="73"/>
    </row>
    <row r="17" spans="1:27" ht="15.6">
      <c r="A17" s="183" t="s">
        <v>267</v>
      </c>
      <c r="B17" s="89">
        <f>SUM!$W$49</f>
        <v>1.275494279703806</v>
      </c>
      <c r="C17" s="215">
        <f>SUM!$W$50</f>
        <v>0.18801716221918127</v>
      </c>
      <c r="D17" s="89">
        <f>SUM!$W$56</f>
        <v>6.8500727517894431</v>
      </c>
      <c r="E17" s="215">
        <f>SUM!$W$57</f>
        <v>4.3657286432292253</v>
      </c>
      <c r="F17" s="89">
        <f>SUM!$W$71</f>
        <v>1.2788453895924621</v>
      </c>
      <c r="G17" s="215">
        <f>SUM!$W$72</f>
        <v>0.16663752995354678</v>
      </c>
      <c r="H17" s="89">
        <f>SUM!$W$78</f>
        <v>2.8664893770641968</v>
      </c>
      <c r="I17" s="215">
        <f>SUM!$W$79</f>
        <v>0.8931466236102823</v>
      </c>
      <c r="K17" s="242">
        <f>AVERAGE(H17,D17)</f>
        <v>4.8582810644268202</v>
      </c>
      <c r="S17" s="74"/>
      <c r="T17" s="89"/>
      <c r="U17" s="215"/>
      <c r="V17" s="89"/>
      <c r="W17" s="215"/>
      <c r="X17" s="89"/>
      <c r="Y17" s="215"/>
      <c r="Z17" s="89"/>
      <c r="AA17" s="215"/>
    </row>
    <row r="18" spans="1:27" ht="15.6">
      <c r="A18" s="183" t="s">
        <v>51</v>
      </c>
      <c r="B18" s="90">
        <f>'SP01'!$S$180</f>
        <v>1.1560146393515596</v>
      </c>
      <c r="C18" s="215">
        <f>'SP01'!$S$181</f>
        <v>4.6866231423252941E-2</v>
      </c>
      <c r="D18" s="90">
        <f>'SP01'!$S$187</f>
        <v>1.0956564135935711</v>
      </c>
      <c r="E18" s="215">
        <f>'SP01'!$S$188</f>
        <v>5.1366122632431926E-2</v>
      </c>
      <c r="F18" s="90">
        <f>'SP02'!$S$180</f>
        <v>0.8388735444765627</v>
      </c>
      <c r="G18" s="215">
        <f>'SP02'!$S$181</f>
        <v>0.29990068326416275</v>
      </c>
      <c r="H18" s="90">
        <f>'SP02'!$S$187</f>
        <v>0.9701294873288947</v>
      </c>
      <c r="I18" s="215">
        <f>'SP02'!$S$188</f>
        <v>0.10426014923069254</v>
      </c>
      <c r="S18" s="74"/>
      <c r="T18" s="89"/>
      <c r="U18" s="215"/>
      <c r="V18" s="89"/>
      <c r="W18" s="215"/>
      <c r="X18" s="89"/>
      <c r="Y18" s="215"/>
      <c r="Z18" s="89"/>
      <c r="AA18" s="215"/>
    </row>
    <row r="19" spans="1:27" ht="15.6">
      <c r="A19" s="183" t="s">
        <v>165</v>
      </c>
      <c r="B19" s="89">
        <f>SUM!$AM$49</f>
        <v>-5.892301636331144</v>
      </c>
      <c r="C19" s="215">
        <f>SUM!$AM$50</f>
        <v>0.59926116026066401</v>
      </c>
      <c r="D19" s="89">
        <f>SUM!$AM$56</f>
        <v>-5.5986654619251448</v>
      </c>
      <c r="E19" s="215">
        <f>SUM!$AM$57</f>
        <v>0.76591317102524981</v>
      </c>
      <c r="F19" s="89">
        <f>SUM!$AM$71</f>
        <v>-1.9387566292283018</v>
      </c>
      <c r="G19" s="215">
        <f>SUM!$AM$72</f>
        <v>0.65471346514353002</v>
      </c>
      <c r="H19" s="89">
        <f>SUM!$AM$78</f>
        <v>-2.3149117417275207</v>
      </c>
      <c r="I19" s="215">
        <f>SUM!$AM$79</f>
        <v>0.60554037432112062</v>
      </c>
    </row>
    <row r="21" spans="1:27">
      <c r="D21" s="242">
        <f>AVERAGE(D17,H17)</f>
        <v>4.8582810644268202</v>
      </c>
    </row>
    <row r="22" spans="1:27">
      <c r="B22" s="232">
        <f>AVERAGE(B9,D9,F9,H9)</f>
        <v>53.042123416654803</v>
      </c>
      <c r="C22" s="242"/>
      <c r="D22" s="243"/>
      <c r="E22" s="242"/>
      <c r="F22" s="243"/>
      <c r="H22" s="243"/>
    </row>
    <row r="23" spans="1:27">
      <c r="B23" s="243"/>
      <c r="D23" s="243"/>
      <c r="F23" s="243"/>
      <c r="H23" s="243"/>
    </row>
    <row r="24" spans="1:27">
      <c r="B24" s="243"/>
      <c r="C24" s="242">
        <f>AVERAGE(B18,F18)</f>
        <v>0.99744409191406114</v>
      </c>
      <c r="D24" s="242">
        <f>AVERAGE(C18,G18)</f>
        <v>0.17338345734370786</v>
      </c>
      <c r="E24" s="242">
        <f>AVERAGE(D18,H18)</f>
        <v>1.032892950461233</v>
      </c>
      <c r="F24" s="243"/>
      <c r="H24" s="243"/>
    </row>
    <row r="26" spans="1:27">
      <c r="B26" s="232"/>
      <c r="D26" s="232"/>
      <c r="F26" s="232"/>
      <c r="H26" s="232"/>
    </row>
    <row r="29" spans="1:27">
      <c r="C29" s="232"/>
      <c r="D29" s="232"/>
      <c r="E29" s="232"/>
      <c r="F29" s="232"/>
    </row>
    <row r="31" spans="1:27">
      <c r="F31" s="243"/>
      <c r="H31" s="243"/>
    </row>
  </sheetData>
  <mergeCells count="14">
    <mergeCell ref="T4:U4"/>
    <mergeCell ref="V4:W4"/>
    <mergeCell ref="X4:Y4"/>
    <mergeCell ref="Z4:AA4"/>
    <mergeCell ref="A1:I1"/>
    <mergeCell ref="B2:E2"/>
    <mergeCell ref="F2:I2"/>
    <mergeCell ref="S2:AA2"/>
    <mergeCell ref="B3:C3"/>
    <mergeCell ref="D3:E3"/>
    <mergeCell ref="F3:G3"/>
    <mergeCell ref="H3:I3"/>
    <mergeCell ref="T3:W3"/>
    <mergeCell ref="X3:AA3"/>
  </mergeCells>
  <pageMargins left="0.75" right="0.75" top="1" bottom="1" header="0.5" footer="0.5"/>
  <pageSetup orientation="portrait" r:id="rId1"/>
  <headerFooter alignWithMargins="0">
    <oddFooter>&amp;L&amp;F, &amp;D&amp;R&amp;A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zoomScale="70" zoomScaleNormal="70" workbookViewId="0">
      <pane xSplit="1" ySplit="3" topLeftCell="B4" activePane="bottomRight" state="frozen"/>
      <selection pane="topRight" activeCell="B1" sqref="B1"/>
      <selection pane="bottomLeft" activeCell="A4" sqref="A4"/>
      <selection pane="bottomRight" activeCell="E5" sqref="E5"/>
    </sheetView>
  </sheetViews>
  <sheetFormatPr defaultColWidth="8.6640625" defaultRowHeight="13.2"/>
  <cols>
    <col min="1" max="1" width="17.44140625" style="87" bestFit="1" customWidth="1"/>
    <col min="2" max="4" width="8.6640625" style="87" customWidth="1"/>
    <col min="5" max="5" width="8.33203125" style="87" customWidth="1"/>
    <col min="6" max="6" width="9.44140625" style="87" bestFit="1" customWidth="1"/>
    <col min="7" max="7" width="3.6640625" style="87" customWidth="1"/>
    <col min="8" max="10" width="8.6640625" style="87" customWidth="1"/>
    <col min="11" max="11" width="9.109375" style="87" customWidth="1"/>
    <col min="12" max="13" width="9.44140625" style="87" bestFit="1" customWidth="1"/>
    <col min="14" max="15" width="6" style="87" bestFit="1" customWidth="1"/>
    <col min="16" max="16" width="5.88671875" style="87" bestFit="1" customWidth="1"/>
    <col min="17" max="17" width="8.5546875" style="87" bestFit="1" customWidth="1"/>
    <col min="18" max="18" width="9.44140625" style="87" bestFit="1" customWidth="1"/>
    <col min="19" max="19" width="5.88671875" style="87" bestFit="1" customWidth="1"/>
    <col min="20" max="20" width="9.44140625" style="87" bestFit="1" customWidth="1"/>
    <col min="21" max="16384" width="8.6640625" style="87"/>
  </cols>
  <sheetData>
    <row r="1" spans="1:22" ht="48" customHeight="1">
      <c r="A1" s="96"/>
      <c r="B1" s="96"/>
      <c r="C1" s="96"/>
      <c r="D1" s="96"/>
      <c r="E1" s="96"/>
      <c r="F1" s="96"/>
      <c r="G1" s="96"/>
      <c r="H1" s="96"/>
      <c r="I1" s="96"/>
      <c r="J1" s="96"/>
    </row>
    <row r="2" spans="1:22" ht="15.6">
      <c r="B2" s="377" t="s">
        <v>11</v>
      </c>
      <c r="C2" s="377"/>
      <c r="D2" s="377"/>
      <c r="E2" s="377"/>
      <c r="F2" s="377"/>
      <c r="H2" s="377" t="s">
        <v>12</v>
      </c>
      <c r="I2" s="377"/>
      <c r="J2" s="377"/>
      <c r="K2" s="377"/>
      <c r="L2" s="377"/>
      <c r="R2" s="91"/>
    </row>
    <row r="3" spans="1:22" ht="15.6" customHeight="1">
      <c r="A3" s="175" t="s">
        <v>120</v>
      </c>
      <c r="B3" s="74" t="s">
        <v>200</v>
      </c>
      <c r="C3" s="74" t="s">
        <v>48</v>
      </c>
      <c r="D3" s="74" t="s">
        <v>49</v>
      </c>
      <c r="E3" s="74" t="s">
        <v>234</v>
      </c>
      <c r="F3" s="74" t="s">
        <v>250</v>
      </c>
      <c r="H3" s="74" t="s">
        <v>200</v>
      </c>
      <c r="I3" s="74" t="s">
        <v>48</v>
      </c>
      <c r="J3" s="74" t="s">
        <v>49</v>
      </c>
      <c r="K3" s="74" t="s">
        <v>234</v>
      </c>
      <c r="L3" s="74" t="s">
        <v>250</v>
      </c>
      <c r="M3" s="74"/>
      <c r="N3" s="74"/>
      <c r="O3" s="74"/>
      <c r="P3" s="74"/>
      <c r="R3" s="74"/>
      <c r="S3" s="74"/>
      <c r="T3" s="74"/>
      <c r="U3" s="74"/>
    </row>
    <row r="4" spans="1:22" ht="15.6">
      <c r="A4" s="183" t="s">
        <v>267</v>
      </c>
      <c r="B4" s="234">
        <f>CORREL(Pg.P,wc.temp.ctd)</f>
        <v>0.6108084798545087</v>
      </c>
      <c r="C4" s="233">
        <f>CORREL(Pg.P,wc.sal.ctd)</f>
        <v>-0.5479630160809944</v>
      </c>
      <c r="D4" s="233">
        <f>CORREL(Pg.P,wc.chl.a)</f>
        <v>0.549683616841663</v>
      </c>
      <c r="E4" s="72">
        <f>CORREL(Pg.P,I.avg)</f>
        <v>-0.25501886125604695</v>
      </c>
      <c r="F4" s="72">
        <f>CORREL(Pg.P,dSal)</f>
        <v>0.23010586909146802</v>
      </c>
      <c r="G4" s="73"/>
      <c r="H4" s="72">
        <f>CORREL(Pg.P.C,wc.temp.ctd.C)</f>
        <v>0.34350835213152536</v>
      </c>
      <c r="I4" s="72">
        <f>CORREL(Pg.P.C,wc.sal.ctd.C)</f>
        <v>-0.19402345994806375</v>
      </c>
      <c r="J4" s="234">
        <f>CORREL(Pg.P.C,wc.chl.a.C)</f>
        <v>0.92380255751993112</v>
      </c>
      <c r="K4" s="72">
        <f>CORREL(Pg.P.C,I.avg.C)</f>
        <v>-2.1816892899525361E-2</v>
      </c>
      <c r="L4" s="72">
        <f>CORREL(Pg.P.C,dSal.C)</f>
        <v>7.5314937101271823E-2</v>
      </c>
      <c r="M4" s="89"/>
      <c r="N4" s="89"/>
      <c r="O4" s="89"/>
      <c r="P4" s="89"/>
      <c r="R4" s="89"/>
      <c r="S4" s="89"/>
      <c r="T4" s="89"/>
      <c r="U4" s="89"/>
      <c r="V4" s="89"/>
    </row>
    <row r="5" spans="1:22" ht="15.6">
      <c r="A5" s="183" t="s">
        <v>51</v>
      </c>
      <c r="B5" s="72">
        <f>CORREL(Pg.E,wc.temp.ctd)</f>
        <v>0.22378942130352644</v>
      </c>
      <c r="C5" s="72">
        <f>CORREL(Pg.E,wc.sal.ctd)</f>
        <v>-2.4458252043269863E-2</v>
      </c>
      <c r="D5" s="72">
        <f>CORREL(Pg.E,wc.chl.a)</f>
        <v>0.16670596225938375</v>
      </c>
      <c r="E5" s="234">
        <f>CORREL(Pg.E,I.avg)</f>
        <v>0.76949513819518234</v>
      </c>
      <c r="F5" s="72">
        <f>CORREL(Pg.E,dSal)</f>
        <v>-0.16351350881412538</v>
      </c>
      <c r="G5" s="73"/>
      <c r="H5" s="234">
        <f>CORREL(Pg.E.C,wc.temp.ctd.C)</f>
        <v>-6.8691626473153619E-2</v>
      </c>
      <c r="I5" s="72">
        <f>CORREL(Pg.E.C,wc.sal.ctd.C)</f>
        <v>-0.19266026083823573</v>
      </c>
      <c r="J5" s="234">
        <f>CORREL(Pg.E.C,wc.chl.a.C)</f>
        <v>0.18958426152372956</v>
      </c>
      <c r="K5" s="72">
        <f>CORREL(Pg.E.C,I.avg.C)</f>
        <v>4.7312017733081177E-2</v>
      </c>
      <c r="L5" s="72">
        <f>CORREL(Pg.E.C,dSal.C)</f>
        <v>0.27731011757616758</v>
      </c>
      <c r="M5" s="89"/>
      <c r="N5" s="89"/>
      <c r="O5" s="89"/>
      <c r="P5" s="89"/>
      <c r="R5" s="89"/>
      <c r="S5" s="89"/>
      <c r="T5" s="89"/>
      <c r="U5" s="89"/>
      <c r="V5" s="89"/>
    </row>
    <row r="6" spans="1:22" ht="15.6">
      <c r="A6" s="183" t="s">
        <v>165</v>
      </c>
      <c r="B6" s="72">
        <f>CORREL(Pg.R,wc.temp.ctd)</f>
        <v>9.6707959783686501E-2</v>
      </c>
      <c r="C6" s="234">
        <f>CORREL(Pg.R,wc.sal.ctd)</f>
        <v>9.220022358211423E-2</v>
      </c>
      <c r="D6" s="72">
        <f>CORREL(Pg.R,wc.chl.a)</f>
        <v>3.0945289353347911E-2</v>
      </c>
      <c r="E6" s="234">
        <f>CORREL(Pg.R,I.avg)</f>
        <v>0.80886696083864551</v>
      </c>
      <c r="F6" s="72">
        <f>CORREL(Pg.R,dSal)</f>
        <v>-0.21408029326335351</v>
      </c>
      <c r="G6" s="73"/>
      <c r="H6" s="72">
        <f>CORREL(Pg.R.C,wc.temp.ctd.C)</f>
        <v>-0.26646850981466774</v>
      </c>
      <c r="I6" s="72">
        <f>CORREL(Pg.R.C,wc.sal.ctd.C)</f>
        <v>-4.3914557647902155E-2</v>
      </c>
      <c r="J6" s="72">
        <f>CORREL(Pg.R.C,wc.chl.a)</f>
        <v>-8.3864650090729811E-2</v>
      </c>
      <c r="K6" s="72">
        <f>CORREL(Pg.R.C,I.avg.C)</f>
        <v>5.3000941750572107E-2</v>
      </c>
      <c r="L6" s="72">
        <f>CORREL(Pg.R.C,dSal.C)</f>
        <v>0.18660703628969472</v>
      </c>
      <c r="M6" s="89"/>
      <c r="N6" s="89"/>
      <c r="O6" s="89"/>
      <c r="P6" s="89"/>
      <c r="R6" s="89"/>
      <c r="S6" s="89"/>
      <c r="T6" s="89"/>
      <c r="U6" s="89"/>
      <c r="V6" s="89"/>
    </row>
    <row r="7" spans="1:22" ht="15.6">
      <c r="A7" s="175" t="s">
        <v>69</v>
      </c>
      <c r="B7" s="72"/>
      <c r="C7" s="72"/>
      <c r="D7" s="72"/>
      <c r="E7" s="72"/>
      <c r="F7" s="72"/>
      <c r="G7" s="73"/>
      <c r="H7" s="72"/>
      <c r="I7" s="72"/>
      <c r="J7" s="72"/>
      <c r="K7" s="72"/>
      <c r="L7" s="73"/>
      <c r="M7" s="73"/>
      <c r="N7" s="73"/>
      <c r="O7" s="73"/>
      <c r="P7" s="73"/>
      <c r="R7" s="73"/>
      <c r="S7" s="73"/>
      <c r="T7" s="73"/>
      <c r="U7" s="73"/>
      <c r="V7" s="73"/>
    </row>
    <row r="8" spans="1:22" ht="15.6">
      <c r="A8" s="183" t="s">
        <v>267</v>
      </c>
      <c r="B8" s="72">
        <f>CORREL(Rt.P,wc.temp.ctd)</f>
        <v>0.35306307292973738</v>
      </c>
      <c r="C8" s="72">
        <f>CORREL(Rt.P,wc.sal.ctd)</f>
        <v>-0.24476089423368158</v>
      </c>
      <c r="D8" s="72">
        <f>CORREL(Rt.P,wc.chl.a)</f>
        <v>1.0866773466871354E-2</v>
      </c>
      <c r="E8" s="72">
        <f>CORREL(Rt.P,I.avg)</f>
        <v>-0.17769950350284028</v>
      </c>
      <c r="F8" s="72">
        <f>CORREL(Rt.P,dSal)</f>
        <v>0.38760185440992395</v>
      </c>
      <c r="G8" s="73"/>
      <c r="H8" s="72">
        <f>CORREL(Rt.P.C,wc.temp.ctd.C)</f>
        <v>0.22704251425193644</v>
      </c>
      <c r="I8" s="72">
        <f>CORREL(Rt.P.C,wc.sal.ctd.C)</f>
        <v>-0.2423556813646934</v>
      </c>
      <c r="J8" s="72">
        <f>CORREL(Rt.P.C,wc.chl.a.C)</f>
        <v>0.30012957016101338</v>
      </c>
      <c r="K8" s="72">
        <f>CORREL(Rt.P.C,I.avg.C)</f>
        <v>-0.13647743797340101</v>
      </c>
      <c r="L8" s="72">
        <f>CORREL(Rt.P.C,dSal.C)</f>
        <v>9.6039967180178279E-2</v>
      </c>
      <c r="M8" s="89"/>
      <c r="N8" s="89"/>
      <c r="O8" s="89"/>
      <c r="P8" s="89"/>
      <c r="R8" s="89"/>
      <c r="S8" s="89"/>
      <c r="T8" s="89"/>
      <c r="U8" s="89"/>
      <c r="V8" s="89"/>
    </row>
    <row r="9" spans="1:22" ht="15.6">
      <c r="A9" s="183" t="s">
        <v>51</v>
      </c>
      <c r="B9" s="72">
        <f>CORREL(Rt.E,wc.temp.ctd)</f>
        <v>-3.9590880969475967E-2</v>
      </c>
      <c r="C9" s="72">
        <f>CORREL(Rt.E,wc.sal.ctd)</f>
        <v>-1.8510678269844379E-2</v>
      </c>
      <c r="D9" s="72">
        <f>CORREL(Rt.E,wc.chl.a)</f>
        <v>-0.47914247021594003</v>
      </c>
      <c r="E9" s="233">
        <f>CORREL(Rt.E,I.avg)</f>
        <v>-5.593433154411228E-2</v>
      </c>
      <c r="F9" s="72">
        <f>CORREL(Rt.E,dSal)</f>
        <v>0.14009647660610436</v>
      </c>
      <c r="G9" s="73"/>
      <c r="H9" s="234">
        <f>CORREL(Rt.E.C,wc.temp.ctd.C)</f>
        <v>-9.1811486677369047E-2</v>
      </c>
      <c r="I9" s="72">
        <f>CORREL(Rt.E.C,wc.sal.ctd.C)</f>
        <v>9.4835344590068441E-2</v>
      </c>
      <c r="J9" s="234">
        <f>CORREL(Rt.E.C,wc.chl.a.C)</f>
        <v>4.0467490527153357E-2</v>
      </c>
      <c r="K9" s="72">
        <f>CORREL(Rt.E.C,I.avg.C)</f>
        <v>-3.5013474519668582E-2</v>
      </c>
      <c r="L9" s="72">
        <f>CORREL(Rt.E.C,dSal.C)</f>
        <v>7.660859305361109E-2</v>
      </c>
      <c r="M9" s="89"/>
      <c r="N9" s="89"/>
      <c r="O9" s="89"/>
      <c r="P9" s="89"/>
      <c r="R9" s="89"/>
      <c r="S9" s="89"/>
      <c r="T9" s="89"/>
      <c r="U9" s="89"/>
      <c r="V9" s="89"/>
    </row>
    <row r="10" spans="1:22" ht="15.6">
      <c r="A10" s="183" t="s">
        <v>165</v>
      </c>
      <c r="B10" s="72">
        <f>CORREL(Rt.R,wc.temp.ctd)</f>
        <v>-0.35599018867247484</v>
      </c>
      <c r="C10" s="72">
        <f>CORREL(Rt.R,wc.sal.ctd)</f>
        <v>0.24588337502244531</v>
      </c>
      <c r="D10" s="72">
        <f>CORREL(Rt.R,wc.chl.a)</f>
        <v>-2.0253535221765557E-2</v>
      </c>
      <c r="E10" s="234">
        <f>CORREL(Rt.R,I.avg)</f>
        <v>0.17769028071227247</v>
      </c>
      <c r="F10" s="72">
        <f>CORREL(Rt.R,dSal)</f>
        <v>-0.38738446795025649</v>
      </c>
      <c r="G10" s="73"/>
      <c r="H10" s="234">
        <f>CORREL(Rt.R.C,wc.temp.ctd.C)</f>
        <v>-0.22785428087553442</v>
      </c>
      <c r="I10" s="72">
        <f>CORREL(Rt.R.C,wc.sal.ctd.C)</f>
        <v>0.24320484925140914</v>
      </c>
      <c r="J10" s="234">
        <f>CORREL(Rt.R.C,wc.chl.a.C)</f>
        <v>-0.30031651349362515</v>
      </c>
      <c r="K10" s="72">
        <f>CORREL(Rt.R.C,I.avg.C)</f>
        <v>0.13647148702545978</v>
      </c>
      <c r="L10" s="72">
        <f>CORREL(Rt.R.C,dSal.C)</f>
        <v>-9.5755745567248085E-2</v>
      </c>
      <c r="M10" s="89"/>
      <c r="N10" s="89"/>
      <c r="O10" s="89"/>
      <c r="P10" s="89"/>
      <c r="R10" s="89"/>
      <c r="S10" s="89"/>
      <c r="T10" s="89"/>
      <c r="U10" s="89"/>
      <c r="V10" s="89"/>
    </row>
    <row r="11" spans="1:22" ht="15.6">
      <c r="A11" s="175" t="s">
        <v>70</v>
      </c>
      <c r="B11" s="72"/>
      <c r="C11" s="72"/>
      <c r="D11" s="72"/>
      <c r="E11" s="72"/>
      <c r="F11" s="72"/>
      <c r="G11" s="73"/>
      <c r="H11" s="72"/>
      <c r="I11" s="72"/>
      <c r="J11" s="72"/>
      <c r="K11" s="72"/>
      <c r="L11" s="73"/>
      <c r="M11" s="73"/>
      <c r="N11" s="73"/>
      <c r="O11" s="73"/>
      <c r="P11" s="73"/>
      <c r="R11" s="73"/>
      <c r="S11" s="73"/>
      <c r="T11" s="73"/>
      <c r="U11" s="73"/>
      <c r="V11" s="73"/>
    </row>
    <row r="12" spans="1:22" ht="15.6">
      <c r="A12" s="183" t="s">
        <v>267</v>
      </c>
      <c r="B12" s="233">
        <f>CORREL(NEM.P,wc.temp.ctd)</f>
        <v>0.47601932236051947</v>
      </c>
      <c r="C12" s="233">
        <f>CORREL(NEM.P,wc.sal.ctd)</f>
        <v>-0.46379877153399007</v>
      </c>
      <c r="D12" s="234">
        <f>CORREL(NEM.P,wc.chl.a)</f>
        <v>0.59698243766740855</v>
      </c>
      <c r="E12" s="72">
        <f>CORREL(NEM.P,I.avg)</f>
        <v>-0.20113556344380656</v>
      </c>
      <c r="F12" s="72">
        <f>CORREL(NEM.P,dSal)</f>
        <v>4.9407877075613033E-2</v>
      </c>
      <c r="G12" s="73"/>
      <c r="H12" s="72">
        <f>CORREL(NEM.P.C,wc.temp.ctd.C)</f>
        <v>0.28524455110273028</v>
      </c>
      <c r="I12" s="72">
        <f>CORREL(NEM.P.C,wc.sal.ctd.C)</f>
        <v>-0.12777934729959176</v>
      </c>
      <c r="J12" s="234">
        <f>CORREL(NEM.P.C,wc.chl.a.C)</f>
        <v>0.85780315940148377</v>
      </c>
      <c r="K12" s="72">
        <f>CORREL(NEM.P.C,I.avg.C)</f>
        <v>1.7538584029151906E-2</v>
      </c>
      <c r="L12" s="72">
        <f>CORREL(NEM.P.C,dSal.C)</f>
        <v>4.9229548697737706E-2</v>
      </c>
      <c r="M12" s="89"/>
      <c r="N12" s="89"/>
      <c r="O12" s="89"/>
      <c r="P12" s="89"/>
      <c r="R12" s="89"/>
      <c r="S12" s="89"/>
      <c r="T12" s="89"/>
      <c r="U12" s="89"/>
      <c r="V12" s="89"/>
    </row>
    <row r="13" spans="1:22" ht="15.6">
      <c r="A13" s="183" t="s">
        <v>51</v>
      </c>
      <c r="B13" s="72">
        <f>CORREL(NEM.E,wc.temp.ctd)</f>
        <v>0.22382431910919692</v>
      </c>
      <c r="C13" s="72">
        <f>CORREL(NEM.E,wc.sal.ctd)</f>
        <v>-2.4417289349350512E-2</v>
      </c>
      <c r="D13" s="72">
        <f>CORREL(NEM.E,wc.chl.a)</f>
        <v>0.1675837077790184</v>
      </c>
      <c r="E13" s="72">
        <f>CORREL(NEM.E,I.avg)</f>
        <v>0.76944459330518189</v>
      </c>
      <c r="F13" s="72">
        <f>CORREL(NEM.E,dSal)</f>
        <v>-0.16378577107019421</v>
      </c>
      <c r="G13" s="73"/>
      <c r="H13" s="72">
        <f>CORREL(NEM.E.C,wc.temp.ctd.C)</f>
        <v>-6.8576819358989696E-2</v>
      </c>
      <c r="I13" s="72">
        <f>CORREL(NEM.E.C,wc.sal.ctd.C)</f>
        <v>-0.19273606484026254</v>
      </c>
      <c r="J13" s="72">
        <f>CORREL(NEM.E.C,wc.chl.a.C)</f>
        <v>0.18950780290321867</v>
      </c>
      <c r="K13" s="72">
        <f>CORREL(NEM.E.C,I.avg.C)</f>
        <v>4.7343870532950041E-2</v>
      </c>
      <c r="L13" s="72">
        <f>CORREL(NEM.E.C,dSal.C)</f>
        <v>0.27717948399044368</v>
      </c>
      <c r="M13" s="89"/>
      <c r="N13" s="89"/>
      <c r="O13" s="89"/>
      <c r="P13" s="89"/>
      <c r="R13" s="89"/>
      <c r="S13" s="89"/>
      <c r="T13" s="89"/>
      <c r="U13" s="89"/>
      <c r="V13" s="89"/>
    </row>
    <row r="14" spans="1:22" ht="15.6">
      <c r="A14" s="183" t="s">
        <v>165</v>
      </c>
      <c r="B14" s="72">
        <f>CORREL(NEM.R,wc.temp.ctd)</f>
        <v>0.13313771313783035</v>
      </c>
      <c r="C14" s="233">
        <f>CORREL(NEM.R,wc.sal.ctd)</f>
        <v>6.7655222274410232E-2</v>
      </c>
      <c r="D14" s="234">
        <f>CORREL(NEM.R,wc.chl.a)</f>
        <v>3.3184210311185798E-2</v>
      </c>
      <c r="E14" s="72">
        <f>CORREL(NEM.R,I.avg)</f>
        <v>0.79949748953112143</v>
      </c>
      <c r="F14" s="72">
        <f>CORREL(NEM.R,dSal)</f>
        <v>-0.17511386067976492</v>
      </c>
      <c r="G14" s="73"/>
      <c r="H14" s="72">
        <f>CORREL(NEM.R.C,wc.temp.ctd.C)</f>
        <v>-0.23320482935345077</v>
      </c>
      <c r="I14" s="72">
        <f>CORREL(NEM.R.C,wc.sal.ctd.C)</f>
        <v>-8.8397670204578269E-2</v>
      </c>
      <c r="J14" s="234">
        <f>CORREL(NEM.R.C,wc.chl.a.C)</f>
        <v>-0.35974653047304456</v>
      </c>
      <c r="K14" s="72">
        <f>CORREL(NEM.R.C,I.avg.C)</f>
        <v>3.0162956965603567E-2</v>
      </c>
      <c r="L14" s="72">
        <f>CORREL(NEM.R.C,dSal.C)</f>
        <v>0.20783915737839306</v>
      </c>
      <c r="M14" s="89"/>
      <c r="N14" s="89"/>
      <c r="O14" s="89"/>
      <c r="P14" s="89"/>
      <c r="R14" s="89"/>
      <c r="S14" s="89"/>
      <c r="T14" s="89"/>
      <c r="U14" s="89"/>
      <c r="V14" s="89"/>
    </row>
    <row r="15" spans="1:22" ht="15.6">
      <c r="A15" s="184"/>
    </row>
    <row r="16" spans="1:22" ht="15.6">
      <c r="A16" s="83" t="s">
        <v>229</v>
      </c>
      <c r="B16" s="87">
        <v>17</v>
      </c>
      <c r="C16" s="87">
        <v>17</v>
      </c>
      <c r="D16" s="87">
        <v>17</v>
      </c>
      <c r="E16" s="87">
        <v>20</v>
      </c>
      <c r="H16" s="87">
        <v>18</v>
      </c>
      <c r="I16" s="87">
        <v>18</v>
      </c>
      <c r="J16" s="87">
        <v>18</v>
      </c>
      <c r="K16" s="87">
        <v>20</v>
      </c>
      <c r="L16" s="87">
        <v>18</v>
      </c>
    </row>
    <row r="17" spans="1:1" ht="15.6">
      <c r="A17" s="83"/>
    </row>
    <row r="18" spans="1:1" ht="15.6">
      <c r="A18" s="183"/>
    </row>
  </sheetData>
  <mergeCells count="2">
    <mergeCell ref="B2:F2"/>
    <mergeCell ref="H2:L2"/>
  </mergeCells>
  <pageMargins left="0.75" right="0.75" top="1" bottom="1" header="0.5" footer="0.5"/>
  <pageSetup orientation="portrait" r:id="rId1"/>
  <headerFooter alignWithMargins="0">
    <oddFooter>&amp;L&amp;F, &amp;D&amp;R&amp;A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zoomScale="70" zoomScaleNormal="70" workbookViewId="0">
      <selection activeCell="B1" sqref="B1"/>
    </sheetView>
  </sheetViews>
  <sheetFormatPr defaultRowHeight="13.2"/>
  <cols>
    <col min="1" max="1" width="8.88671875" style="161"/>
    <col min="2" max="2" width="8.44140625" bestFit="1" customWidth="1"/>
    <col min="3" max="3" width="15.5546875" style="161" bestFit="1" customWidth="1"/>
    <col min="4" max="4" width="8.5546875" style="161" bestFit="1" customWidth="1"/>
    <col min="5" max="5" width="7.33203125" style="161" bestFit="1" customWidth="1"/>
    <col min="6" max="6" width="8.88671875" bestFit="1" customWidth="1"/>
    <col min="7" max="7" width="13.44140625" bestFit="1" customWidth="1"/>
    <col min="8" max="8" width="12.44140625" bestFit="1" customWidth="1"/>
    <col min="9" max="9" width="4.44140625" customWidth="1"/>
    <col min="10" max="10" width="11.5546875" style="161" bestFit="1" customWidth="1"/>
    <col min="11" max="11" width="9.5546875" style="161" customWidth="1"/>
    <col min="12" max="12" width="4.44140625" style="161" customWidth="1"/>
    <col min="13" max="13" width="11.109375" bestFit="1" customWidth="1"/>
    <col min="14" max="14" width="10.88671875" bestFit="1" customWidth="1"/>
    <col min="15" max="15" width="8.33203125" customWidth="1"/>
    <col min="16" max="16" width="8.88671875" customWidth="1"/>
    <col min="17" max="17" width="6.33203125" customWidth="1"/>
    <col min="18" max="18" width="6" bestFit="1" customWidth="1"/>
    <col min="19" max="19" width="8.109375" customWidth="1"/>
    <col min="20" max="20" width="5.6640625" bestFit="1" customWidth="1"/>
    <col min="21" max="21" width="7.44140625" bestFit="1" customWidth="1"/>
  </cols>
  <sheetData>
    <row r="1" spans="1:27" s="161" customFormat="1">
      <c r="A1" s="161" t="s">
        <v>203</v>
      </c>
    </row>
    <row r="2" spans="1:27" s="161" customFormat="1">
      <c r="A2" s="257"/>
      <c r="B2" s="258"/>
      <c r="C2" s="273"/>
      <c r="D2" s="258"/>
      <c r="E2" s="258"/>
      <c r="F2" s="258"/>
      <c r="G2" s="258"/>
      <c r="H2" s="258"/>
      <c r="I2" s="258"/>
      <c r="J2" s="273"/>
      <c r="K2" s="273"/>
      <c r="L2" s="273"/>
      <c r="M2" s="258"/>
      <c r="N2" s="258"/>
      <c r="O2" s="259"/>
    </row>
    <row r="3" spans="1:27" ht="15.6">
      <c r="A3" s="355"/>
      <c r="B3" s="378" t="s">
        <v>120</v>
      </c>
      <c r="C3" s="378"/>
      <c r="D3" s="378"/>
      <c r="E3" s="378"/>
      <c r="F3" s="378"/>
      <c r="G3" s="378"/>
      <c r="H3" s="378"/>
      <c r="I3" s="264"/>
      <c r="J3" s="264"/>
      <c r="K3" s="264"/>
      <c r="L3" s="264"/>
      <c r="M3" s="264"/>
      <c r="N3" s="264"/>
      <c r="O3" s="261"/>
      <c r="W3" s="1"/>
    </row>
    <row r="4" spans="1:27" ht="39" customHeight="1">
      <c r="A4" s="355"/>
      <c r="B4" s="356" t="s">
        <v>2</v>
      </c>
      <c r="C4" s="356" t="s">
        <v>268</v>
      </c>
      <c r="D4" s="357" t="s">
        <v>207</v>
      </c>
      <c r="E4" s="357" t="s">
        <v>208</v>
      </c>
      <c r="F4" s="356" t="s">
        <v>124</v>
      </c>
      <c r="G4" s="357" t="s">
        <v>209</v>
      </c>
      <c r="H4" s="357" t="s">
        <v>210</v>
      </c>
      <c r="I4" s="264"/>
      <c r="J4" s="262" t="s">
        <v>233</v>
      </c>
      <c r="K4" s="262" t="s">
        <v>165</v>
      </c>
      <c r="L4" s="264"/>
      <c r="M4" s="270" t="s">
        <v>230</v>
      </c>
      <c r="N4" s="270" t="s">
        <v>231</v>
      </c>
      <c r="O4" s="261"/>
      <c r="P4" t="s">
        <v>220</v>
      </c>
      <c r="Q4" s="161"/>
      <c r="R4" s="161"/>
      <c r="Z4" s="161"/>
    </row>
    <row r="5" spans="1:27" ht="15.6">
      <c r="A5" s="355"/>
      <c r="B5" s="358">
        <f>SUM!A36</f>
        <v>41472</v>
      </c>
      <c r="C5" s="359">
        <v>4.0999999999999996</v>
      </c>
      <c r="D5" s="359">
        <f t="shared" ref="D5:D11" si="0">H5*$AA6/5.9</f>
        <v>375.94930387409204</v>
      </c>
      <c r="E5" s="359">
        <v>3.9273821144105319</v>
      </c>
      <c r="F5" s="359">
        <v>0.37405642316142113</v>
      </c>
      <c r="G5" s="359">
        <f t="shared" ref="G5:G11" si="1">SUM(D5+E5+F5)</f>
        <v>380.25074241166402</v>
      </c>
      <c r="H5" s="359">
        <f>SUM!AC36</f>
        <v>537.72142857142865</v>
      </c>
      <c r="I5" s="264"/>
      <c r="J5" s="263">
        <f>H5-G5</f>
        <v>157.47068615976463</v>
      </c>
      <c r="K5" s="265">
        <f>SUM!AI36</f>
        <v>478.86419857142863</v>
      </c>
      <c r="L5" s="264"/>
      <c r="M5" s="271">
        <f t="shared" ref="M5:N11" si="2">G5/G17</f>
        <v>313.5782197364494</v>
      </c>
      <c r="N5" s="271">
        <f t="shared" si="2"/>
        <v>-11.202529761904763</v>
      </c>
      <c r="O5" s="261"/>
      <c r="P5" s="239" t="s">
        <v>205</v>
      </c>
      <c r="Q5" s="241">
        <v>41472</v>
      </c>
      <c r="R5" s="241">
        <v>41486</v>
      </c>
      <c r="S5" s="241">
        <v>41493</v>
      </c>
      <c r="T5" s="241">
        <v>41500</v>
      </c>
      <c r="U5" s="241">
        <v>41507</v>
      </c>
      <c r="V5" s="241">
        <v>41521</v>
      </c>
      <c r="W5" s="241">
        <v>41528</v>
      </c>
      <c r="Y5" s="177" t="s">
        <v>2</v>
      </c>
      <c r="Z5" s="1" t="str">
        <f>Raw!W4</f>
        <v>dSal</v>
      </c>
      <c r="AA5" s="1" t="str">
        <f>Raw!X4</f>
        <v>Pycno</v>
      </c>
    </row>
    <row r="6" spans="1:27" ht="15.6">
      <c r="A6" s="355"/>
      <c r="B6" s="358">
        <f>SUM!A38</f>
        <v>41486</v>
      </c>
      <c r="C6" s="359">
        <v>1.9</v>
      </c>
      <c r="D6" s="359">
        <f t="shared" si="0"/>
        <v>94.815207156308858</v>
      </c>
      <c r="E6" s="359">
        <v>23.990105275738951</v>
      </c>
      <c r="F6" s="359">
        <v>0.37997877590295537</v>
      </c>
      <c r="G6" s="359">
        <f t="shared" si="1"/>
        <v>119.18529120795077</v>
      </c>
      <c r="H6" s="359">
        <f>SUM!AC38</f>
        <v>298.3518518518519</v>
      </c>
      <c r="I6" s="264"/>
      <c r="J6" s="263">
        <f t="shared" ref="J6:J11" si="3">H6-G6</f>
        <v>179.16656064390114</v>
      </c>
      <c r="K6" s="265">
        <f>SUM!AI38</f>
        <v>186.51404185185191</v>
      </c>
      <c r="L6" s="264"/>
      <c r="M6" s="271">
        <f t="shared" si="2"/>
        <v>1.756521478917118</v>
      </c>
      <c r="N6" s="271">
        <f t="shared" si="2"/>
        <v>-6.2156635802469147</v>
      </c>
      <c r="O6" s="261"/>
      <c r="P6" s="239" t="s">
        <v>206</v>
      </c>
      <c r="Q6" s="240">
        <f t="shared" ref="Q6:W6" si="4">SUM(Q9:Q68)/10</f>
        <v>59.548959124545789</v>
      </c>
      <c r="R6" s="240">
        <f t="shared" si="4"/>
        <v>113.72891296989346</v>
      </c>
      <c r="S6" s="240">
        <f t="shared" si="4"/>
        <v>66.72330139903633</v>
      </c>
      <c r="T6" s="240">
        <f t="shared" si="4"/>
        <v>62.060670025602143</v>
      </c>
      <c r="U6" s="240">
        <f t="shared" si="4"/>
        <v>69.566023102975549</v>
      </c>
      <c r="V6" s="240">
        <f t="shared" si="4"/>
        <v>675.54809396680469</v>
      </c>
      <c r="W6" s="240">
        <f t="shared" si="4"/>
        <v>305.37384175815049</v>
      </c>
      <c r="Y6" s="195">
        <v>41472</v>
      </c>
      <c r="Z6" s="4">
        <f>Raw!W36</f>
        <v>13.4329</v>
      </c>
      <c r="AA6" s="26">
        <f>Raw!X36</f>
        <v>4.125</v>
      </c>
    </row>
    <row r="7" spans="1:27" ht="15.6">
      <c r="A7" s="355"/>
      <c r="B7" s="358">
        <f>SUM!A39</f>
        <v>41493</v>
      </c>
      <c r="C7" s="359">
        <v>3.1</v>
      </c>
      <c r="D7" s="359">
        <f t="shared" si="0"/>
        <v>281.15629074315513</v>
      </c>
      <c r="E7" s="359">
        <v>1.114202765440552</v>
      </c>
      <c r="F7" s="359">
        <v>0.29390197449905636</v>
      </c>
      <c r="G7" s="359">
        <f t="shared" si="1"/>
        <v>282.56439548309476</v>
      </c>
      <c r="H7" s="359">
        <f>SUM!AC39</f>
        <v>530.82307692307688</v>
      </c>
      <c r="I7" s="264"/>
      <c r="J7" s="263">
        <f t="shared" si="3"/>
        <v>248.25868143998213</v>
      </c>
      <c r="K7" s="265">
        <f>SUM!AI39</f>
        <v>465.28718692307689</v>
      </c>
      <c r="L7" s="264"/>
      <c r="M7" s="271">
        <f t="shared" si="2"/>
        <v>41.30924960900203</v>
      </c>
      <c r="N7" s="271">
        <f t="shared" si="2"/>
        <v>-11.058814102564101</v>
      </c>
      <c r="O7" s="261"/>
      <c r="P7" s="239"/>
      <c r="Q7" s="240">
        <v>4</v>
      </c>
      <c r="R7" s="240">
        <v>2.5</v>
      </c>
      <c r="S7" s="240">
        <v>4</v>
      </c>
      <c r="T7" s="240">
        <v>2</v>
      </c>
      <c r="U7" s="240">
        <v>4</v>
      </c>
      <c r="V7" s="240">
        <v>3.5</v>
      </c>
      <c r="W7" s="240">
        <v>1.5</v>
      </c>
      <c r="Y7" s="195">
        <v>41486</v>
      </c>
      <c r="Z7" s="4">
        <f>Raw!W38</f>
        <v>20.867899999999999</v>
      </c>
      <c r="AA7" s="26">
        <f>Raw!X38</f>
        <v>1.875</v>
      </c>
    </row>
    <row r="8" spans="1:27" ht="15.6">
      <c r="A8" s="355"/>
      <c r="B8" s="358">
        <f>SUM!A40</f>
        <v>41500</v>
      </c>
      <c r="C8" s="359">
        <v>1.6</v>
      </c>
      <c r="D8" s="359">
        <f t="shared" si="0"/>
        <v>105.06038135593218</v>
      </c>
      <c r="E8" s="359">
        <v>3.5664706896785843</v>
      </c>
      <c r="F8" s="359">
        <v>0.16748030896222657</v>
      </c>
      <c r="G8" s="359">
        <f t="shared" si="1"/>
        <v>108.79433235457299</v>
      </c>
      <c r="H8" s="359">
        <f>SUM!AC40</f>
        <v>381.45</v>
      </c>
      <c r="I8" s="264"/>
      <c r="J8" s="263">
        <f t="shared" si="3"/>
        <v>272.655667645427</v>
      </c>
      <c r="K8" s="265">
        <f>SUM!AI40</f>
        <v>321.23493999999999</v>
      </c>
      <c r="L8" s="264"/>
      <c r="M8" s="271">
        <f t="shared" si="2"/>
        <v>2.8524680653342545</v>
      </c>
      <c r="N8" s="271">
        <f t="shared" si="2"/>
        <v>-7.9468749999999995</v>
      </c>
      <c r="O8" s="261"/>
      <c r="P8" s="239" t="s">
        <v>204</v>
      </c>
      <c r="Q8" s="332">
        <f>SUM(Q49:Q68)/10</f>
        <v>3.9273821144105319</v>
      </c>
      <c r="R8" s="332">
        <f>SUM(R34:R68)/10</f>
        <v>23.990105275738951</v>
      </c>
      <c r="S8" s="332">
        <f>SUM(S49:S68)/10</f>
        <v>1.114202765440552</v>
      </c>
      <c r="T8" s="332">
        <f>SUM(T29:T68)/10</f>
        <v>3.5664706896785843</v>
      </c>
      <c r="U8" s="332">
        <f>SUM(U49:U68)/10</f>
        <v>4.3838842304096559</v>
      </c>
      <c r="V8" s="332">
        <f>SUM(V44:V68)/10</f>
        <v>195.9327156645715</v>
      </c>
      <c r="W8" s="332">
        <f>SUM(W24:W68)/10</f>
        <v>260.09960167190195</v>
      </c>
      <c r="Y8" s="195">
        <v>41493</v>
      </c>
      <c r="Z8" s="4">
        <f>Raw!W39</f>
        <v>19.513099999999998</v>
      </c>
      <c r="AA8" s="26">
        <f>Raw!X39</f>
        <v>3.125</v>
      </c>
    </row>
    <row r="9" spans="1:27" ht="15.6">
      <c r="A9" s="355"/>
      <c r="B9" s="358">
        <f>SUM!A41</f>
        <v>41507</v>
      </c>
      <c r="C9" s="359">
        <v>3.9</v>
      </c>
      <c r="D9" s="359">
        <f t="shared" si="0"/>
        <v>331.88465612777043</v>
      </c>
      <c r="E9" s="359">
        <v>4.3838842304096559</v>
      </c>
      <c r="F9" s="359">
        <v>0.42661753531049074</v>
      </c>
      <c r="G9" s="359">
        <f t="shared" si="1"/>
        <v>336.69515789349055</v>
      </c>
      <c r="H9" s="359">
        <f>SUM!AC41</f>
        <v>505.32115384615378</v>
      </c>
      <c r="I9" s="264"/>
      <c r="J9" s="263">
        <f t="shared" si="3"/>
        <v>168.62599595266323</v>
      </c>
      <c r="K9" s="265">
        <f>SUM!AI41</f>
        <v>436.63307384615376</v>
      </c>
      <c r="L9" s="264"/>
      <c r="M9" s="271">
        <f t="shared" si="2"/>
        <v>6.5251810786923174</v>
      </c>
      <c r="N9" s="271">
        <f t="shared" si="2"/>
        <v>-10.527524038461538</v>
      </c>
      <c r="O9" s="261"/>
      <c r="P9" s="239">
        <v>0</v>
      </c>
      <c r="Q9" s="3">
        <v>13.457277482771801</v>
      </c>
      <c r="R9" s="3">
        <v>37.159979415815997</v>
      </c>
      <c r="S9" s="3">
        <v>23.512134192723099</v>
      </c>
      <c r="T9" s="3">
        <v>36.847499950899703</v>
      </c>
      <c r="U9" s="3">
        <v>16.8677360906307</v>
      </c>
      <c r="V9" s="3">
        <v>77.424200753947204</v>
      </c>
      <c r="W9" s="3">
        <v>29.603013304780799</v>
      </c>
      <c r="Y9" s="195">
        <v>41500</v>
      </c>
      <c r="Z9" s="4">
        <f>Raw!W40</f>
        <v>19.515500000000003</v>
      </c>
      <c r="AA9" s="26">
        <f>Raw!X40</f>
        <v>1.625</v>
      </c>
    </row>
    <row r="10" spans="1:27" ht="15.6">
      <c r="A10" s="355"/>
      <c r="B10" s="358">
        <f>SUM!A42</f>
        <v>41521</v>
      </c>
      <c r="C10" s="359">
        <v>2.6</v>
      </c>
      <c r="D10" s="359">
        <f t="shared" si="0"/>
        <v>226.72970338983049</v>
      </c>
      <c r="E10" s="359">
        <v>195.9327156645715</v>
      </c>
      <c r="F10" s="359">
        <v>1.6375635436249438</v>
      </c>
      <c r="G10" s="359">
        <f t="shared" si="1"/>
        <v>424.29998259802693</v>
      </c>
      <c r="H10" s="359">
        <f>SUM!AC42</f>
        <v>509.60200000000003</v>
      </c>
      <c r="I10" s="264"/>
      <c r="J10" s="263">
        <f t="shared" si="3"/>
        <v>85.302017401973103</v>
      </c>
      <c r="K10" s="265">
        <f>SUM!AI42</f>
        <v>-160.2987</v>
      </c>
      <c r="L10" s="264"/>
      <c r="M10" s="271">
        <f t="shared" si="2"/>
        <v>6.2358941334342441</v>
      </c>
      <c r="N10" s="271">
        <f t="shared" si="2"/>
        <v>-10.616708333333333</v>
      </c>
      <c r="O10" s="261"/>
      <c r="P10" s="239">
        <f t="shared" ref="P10:P41" si="5">P9+0.1</f>
        <v>0.1</v>
      </c>
      <c r="Q10" s="3">
        <v>13.457277471676701</v>
      </c>
      <c r="R10" s="3">
        <v>37.156213154494097</v>
      </c>
      <c r="S10" s="3">
        <v>23.509437635056901</v>
      </c>
      <c r="T10" s="3">
        <v>36.833816950388602</v>
      </c>
      <c r="U10" s="3">
        <v>16.867721111723402</v>
      </c>
      <c r="V10" s="3">
        <v>77.408778063689198</v>
      </c>
      <c r="W10" s="3">
        <v>29.602698476564299</v>
      </c>
      <c r="Y10" s="195">
        <v>41507</v>
      </c>
      <c r="Z10" s="4">
        <f>Raw!W41</f>
        <v>13.4061</v>
      </c>
      <c r="AA10" s="26">
        <f>Raw!X41</f>
        <v>3.875</v>
      </c>
    </row>
    <row r="11" spans="1:27" ht="15.6">
      <c r="A11" s="355"/>
      <c r="B11" s="358">
        <f>SUM!A43</f>
        <v>41528</v>
      </c>
      <c r="C11" s="359">
        <v>2.2999999999999998</v>
      </c>
      <c r="D11" s="359">
        <f t="shared" si="0"/>
        <v>213.19540677966097</v>
      </c>
      <c r="E11" s="359">
        <v>260.09960167190195</v>
      </c>
      <c r="F11" s="359">
        <v>2.2428376334410709</v>
      </c>
      <c r="G11" s="359">
        <f t="shared" si="1"/>
        <v>475.53784608500399</v>
      </c>
      <c r="H11" s="359">
        <f>SUM!AC43</f>
        <v>541.01199999999994</v>
      </c>
      <c r="I11" s="264"/>
      <c r="J11" s="263">
        <f t="shared" si="3"/>
        <v>65.474153914995952</v>
      </c>
      <c r="K11" s="265">
        <f>SUM!AI43</f>
        <v>238.37037999999995</v>
      </c>
      <c r="L11" s="264"/>
      <c r="M11" s="271">
        <f t="shared" si="2"/>
        <v>32.83136140868384</v>
      </c>
      <c r="N11" s="271">
        <f t="shared" si="2"/>
        <v>-11.271083333333332</v>
      </c>
      <c r="O11" s="261"/>
      <c r="P11" s="239">
        <f t="shared" si="5"/>
        <v>0.2</v>
      </c>
      <c r="Q11" s="3">
        <v>13.457277406210601</v>
      </c>
      <c r="R11" s="3">
        <v>37.1487260698254</v>
      </c>
      <c r="S11" s="3">
        <v>23.503950873621601</v>
      </c>
      <c r="T11" s="3">
        <v>36.807452245288303</v>
      </c>
      <c r="U11" s="3">
        <v>16.867675697030101</v>
      </c>
      <c r="V11" s="3">
        <v>77.384943328139499</v>
      </c>
      <c r="W11" s="3">
        <v>29.602131521656698</v>
      </c>
      <c r="Y11" s="195">
        <v>41521</v>
      </c>
      <c r="Z11" s="4">
        <f>Raw!W42</f>
        <v>14.307400000000001</v>
      </c>
      <c r="AA11" s="26">
        <f>Raw!X42</f>
        <v>2.625</v>
      </c>
    </row>
    <row r="12" spans="1:27" ht="15.6">
      <c r="A12" s="355"/>
      <c r="B12" s="360"/>
      <c r="C12" s="360"/>
      <c r="D12" s="360"/>
      <c r="E12" s="360"/>
      <c r="F12" s="360"/>
      <c r="G12" s="361"/>
      <c r="H12" s="361"/>
      <c r="I12" s="264"/>
      <c r="J12" s="266"/>
      <c r="K12" s="264"/>
      <c r="L12" s="264"/>
      <c r="M12" s="264"/>
      <c r="N12" s="266"/>
      <c r="O12" s="261"/>
      <c r="P12" s="239">
        <f t="shared" si="5"/>
        <v>0.30000000000000004</v>
      </c>
      <c r="Q12" s="3">
        <v>13.4572770771777</v>
      </c>
      <c r="R12" s="3">
        <v>37.134807889686897</v>
      </c>
      <c r="S12" s="3">
        <v>23.493568702354398</v>
      </c>
      <c r="T12" s="3">
        <v>36.7603258835045</v>
      </c>
      <c r="U12" s="3">
        <v>16.867551222702801</v>
      </c>
      <c r="V12" s="3">
        <v>77.349264846233496</v>
      </c>
      <c r="W12" s="3">
        <v>29.601148634623001</v>
      </c>
      <c r="Y12" s="195">
        <v>41528</v>
      </c>
      <c r="Z12" s="4">
        <f>Raw!W43</f>
        <v>11.624099999999999</v>
      </c>
      <c r="AA12" s="26">
        <f>Raw!X43</f>
        <v>2.3250000000000002</v>
      </c>
    </row>
    <row r="13" spans="1:27" ht="15.6">
      <c r="A13" s="355"/>
      <c r="B13" s="362" t="s">
        <v>65</v>
      </c>
      <c r="C13" s="359">
        <f t="shared" ref="C13:K13" si="6">AVERAGE(C5:C11)</f>
        <v>2.7857142857142856</v>
      </c>
      <c r="D13" s="359">
        <f t="shared" si="6"/>
        <v>232.68442134667862</v>
      </c>
      <c r="E13" s="359">
        <f t="shared" si="6"/>
        <v>70.430623201735969</v>
      </c>
      <c r="F13" s="359">
        <f t="shared" si="6"/>
        <v>0.78891945641459493</v>
      </c>
      <c r="G13" s="359">
        <f t="shared" si="6"/>
        <v>303.90396400482911</v>
      </c>
      <c r="H13" s="359">
        <f t="shared" si="6"/>
        <v>472.04021588464445</v>
      </c>
      <c r="I13" s="264"/>
      <c r="J13" s="263">
        <f t="shared" si="6"/>
        <v>168.13625187981532</v>
      </c>
      <c r="K13" s="274">
        <f t="shared" si="6"/>
        <v>280.94358874178727</v>
      </c>
      <c r="L13" s="264"/>
      <c r="M13" s="271">
        <f>AVERAGE(M5:M11)</f>
        <v>57.869842215787614</v>
      </c>
      <c r="N13" s="271">
        <f>AVERAGE(N5:N11)</f>
        <v>-9.8341711642634255</v>
      </c>
      <c r="O13" s="261"/>
      <c r="P13" s="239">
        <f t="shared" si="5"/>
        <v>0.4</v>
      </c>
      <c r="Q13" s="3">
        <v>13.457275649132001</v>
      </c>
      <c r="R13" s="3">
        <v>37.110473504073497</v>
      </c>
      <c r="S13" s="3">
        <v>23.4751798453898</v>
      </c>
      <c r="T13" s="3">
        <v>36.681602129724403</v>
      </c>
      <c r="U13" s="3">
        <v>16.867240194552</v>
      </c>
      <c r="V13" s="3">
        <v>77.297429277888099</v>
      </c>
      <c r="W13" s="3">
        <v>29.599504623843899</v>
      </c>
      <c r="Z13" s="161"/>
    </row>
    <row r="14" spans="1:27" ht="15.6">
      <c r="A14" s="355"/>
      <c r="B14" s="360"/>
      <c r="C14" s="360"/>
      <c r="D14" s="360"/>
      <c r="E14" s="360"/>
      <c r="F14" s="360"/>
      <c r="G14" s="360"/>
      <c r="H14" s="360"/>
      <c r="I14" s="264"/>
      <c r="J14" s="264"/>
      <c r="K14" s="264"/>
      <c r="L14" s="264"/>
      <c r="M14" s="264"/>
      <c r="N14" s="264"/>
      <c r="O14" s="261"/>
      <c r="P14" s="239">
        <f t="shared" si="5"/>
        <v>0.5</v>
      </c>
      <c r="Q14" s="3">
        <v>13.4572702295736</v>
      </c>
      <c r="R14" s="3">
        <v>37.070246795014803</v>
      </c>
      <c r="S14" s="3">
        <v>23.4445113145512</v>
      </c>
      <c r="T14" s="3">
        <v>36.557882502753301</v>
      </c>
      <c r="U14" s="3">
        <v>16.8665261561416</v>
      </c>
      <c r="V14" s="3">
        <v>77.224197619368994</v>
      </c>
      <c r="W14" s="3">
        <v>29.596845973222202</v>
      </c>
      <c r="Z14" s="161"/>
    </row>
    <row r="15" spans="1:27" ht="15.6">
      <c r="A15" s="355"/>
      <c r="B15" s="378" t="s">
        <v>69</v>
      </c>
      <c r="C15" s="378"/>
      <c r="D15" s="378"/>
      <c r="E15" s="378"/>
      <c r="F15" s="378"/>
      <c r="G15" s="378"/>
      <c r="H15" s="378"/>
      <c r="I15" s="264"/>
      <c r="J15" s="264"/>
      <c r="K15" s="264"/>
      <c r="L15" s="264"/>
      <c r="M15" s="264"/>
      <c r="N15" s="264"/>
      <c r="O15" s="261"/>
      <c r="P15" s="239">
        <f t="shared" si="5"/>
        <v>0.6</v>
      </c>
      <c r="Q15" s="3">
        <v>13.382778543773201</v>
      </c>
      <c r="R15" s="3">
        <v>37.007069973705299</v>
      </c>
      <c r="S15" s="3">
        <v>23.396088422637401</v>
      </c>
      <c r="T15" s="3">
        <v>36.373860081972097</v>
      </c>
      <c r="U15" s="3">
        <v>16.865009344079802</v>
      </c>
      <c r="V15" s="3">
        <v>77.1234136851062</v>
      </c>
      <c r="W15" s="3">
        <v>29.7182018818092</v>
      </c>
      <c r="Z15" s="161"/>
    </row>
    <row r="16" spans="1:27" ht="41.4" customHeight="1">
      <c r="A16" s="355"/>
      <c r="B16" s="356" t="s">
        <v>2</v>
      </c>
      <c r="C16" s="356" t="s">
        <v>268</v>
      </c>
      <c r="D16" s="357" t="s">
        <v>207</v>
      </c>
      <c r="E16" s="357" t="s">
        <v>208</v>
      </c>
      <c r="F16" s="356" t="s">
        <v>124</v>
      </c>
      <c r="G16" s="357" t="s">
        <v>209</v>
      </c>
      <c r="H16" s="357" t="s">
        <v>210</v>
      </c>
      <c r="I16" s="264"/>
      <c r="J16" s="262" t="s">
        <v>233</v>
      </c>
      <c r="K16" s="262" t="s">
        <v>165</v>
      </c>
      <c r="L16" s="264"/>
      <c r="M16" s="264"/>
      <c r="N16" s="264"/>
      <c r="O16" s="261"/>
      <c r="P16" s="239">
        <f t="shared" si="5"/>
        <v>0.7</v>
      </c>
      <c r="Q16" s="3">
        <v>13.3082510708543</v>
      </c>
      <c r="R16" s="3">
        <v>36.912388604031598</v>
      </c>
      <c r="S16" s="3">
        <v>23.323349561805198</v>
      </c>
      <c r="T16" s="3">
        <v>36.113391112208198</v>
      </c>
      <c r="U16" s="3">
        <v>16.862008383113299</v>
      </c>
      <c r="V16" s="3">
        <v>76.988073035278504</v>
      </c>
      <c r="W16" s="3">
        <v>29.837336086887198</v>
      </c>
      <c r="Z16" s="161"/>
    </row>
    <row r="17" spans="1:26" ht="15.6">
      <c r="A17" s="355"/>
      <c r="B17" s="358">
        <v>41472</v>
      </c>
      <c r="C17" s="359">
        <v>4.0999999999999996</v>
      </c>
      <c r="D17" s="359">
        <f t="shared" ref="D17:D23" si="7">H17*$AA6/5.9</f>
        <v>-33.559322033898304</v>
      </c>
      <c r="E17" s="359">
        <f>SUM!U36/5.9*(5.9-AA6)</f>
        <v>23.471940508265721</v>
      </c>
      <c r="F17" s="363">
        <v>11.3</v>
      </c>
      <c r="G17" s="359">
        <f t="shared" ref="G17:G23" si="8">SUM(D17+E17+F17)</f>
        <v>1.2126184743674173</v>
      </c>
      <c r="H17" s="359">
        <f>SUM!AE36</f>
        <v>-48</v>
      </c>
      <c r="I17" s="272"/>
      <c r="J17" s="263">
        <f>H17-G17</f>
        <v>-49.212618474367417</v>
      </c>
      <c r="K17" s="263">
        <f>SUM!AJ36</f>
        <v>-126.01940788662971</v>
      </c>
      <c r="L17" s="272"/>
      <c r="M17" s="264"/>
      <c r="N17" s="264"/>
      <c r="O17" s="261"/>
      <c r="P17" s="239">
        <f t="shared" si="5"/>
        <v>0.79999999999999993</v>
      </c>
      <c r="Q17" s="3">
        <v>13.272290937889199</v>
      </c>
      <c r="R17" s="3">
        <v>36.776436617315099</v>
      </c>
      <c r="S17" s="3">
        <v>23.1975161046261</v>
      </c>
      <c r="T17" s="3">
        <v>36.301313806475001</v>
      </c>
      <c r="U17" s="3">
        <v>18.282833957607998</v>
      </c>
      <c r="V17" s="3">
        <v>78.316902792947303</v>
      </c>
      <c r="W17" s="3">
        <v>29.902932515038099</v>
      </c>
      <c r="Z17" s="161"/>
    </row>
    <row r="18" spans="1:26" ht="15.6">
      <c r="A18" s="355"/>
      <c r="B18" s="358">
        <v>41486</v>
      </c>
      <c r="C18" s="359">
        <v>1.9</v>
      </c>
      <c r="D18" s="359">
        <f t="shared" si="7"/>
        <v>-15.254237288135592</v>
      </c>
      <c r="E18" s="359">
        <f>SUM!U38/5.9*(5.9-AA7)</f>
        <v>71.807259661324892</v>
      </c>
      <c r="F18" s="363">
        <v>11.3</v>
      </c>
      <c r="G18" s="359">
        <f t="shared" si="8"/>
        <v>67.853022373189305</v>
      </c>
      <c r="H18" s="359">
        <f>SUM!AE38</f>
        <v>-48</v>
      </c>
      <c r="I18" s="272"/>
      <c r="J18" s="263">
        <f t="shared" ref="J18:J23" si="9">H18-G18</f>
        <v>-115.8530223731893</v>
      </c>
      <c r="K18" s="263">
        <f>SUM!AJ38</f>
        <v>-153.25784646007872</v>
      </c>
      <c r="L18" s="272"/>
      <c r="M18" s="264"/>
      <c r="N18" s="264"/>
      <c r="O18" s="261"/>
      <c r="P18" s="239">
        <f t="shared" si="5"/>
        <v>0.89999999999999991</v>
      </c>
      <c r="Q18" s="3">
        <v>13.274775940995299</v>
      </c>
      <c r="R18" s="3">
        <v>36.588711731506898</v>
      </c>
      <c r="S18" s="3">
        <v>23.011246281845398</v>
      </c>
      <c r="T18" s="3">
        <v>36.903150260129799</v>
      </c>
      <c r="U18" s="3">
        <v>21.123429891946</v>
      </c>
      <c r="V18" s="3">
        <v>81.088234821096293</v>
      </c>
      <c r="W18" s="3">
        <v>29.913916045434402</v>
      </c>
      <c r="Z18" s="161"/>
    </row>
    <row r="19" spans="1:26" ht="15.6">
      <c r="A19" s="355"/>
      <c r="B19" s="358">
        <v>41493</v>
      </c>
      <c r="C19" s="359">
        <v>3.1</v>
      </c>
      <c r="D19" s="359">
        <f t="shared" si="7"/>
        <v>-25.423728813559322</v>
      </c>
      <c r="E19" s="359">
        <f>SUM!U39/5.9*(5.9-AA8)</f>
        <v>20.963949784833485</v>
      </c>
      <c r="F19" s="363">
        <v>11.3</v>
      </c>
      <c r="G19" s="359">
        <f t="shared" si="8"/>
        <v>6.8402209712741637</v>
      </c>
      <c r="H19" s="359">
        <f>SUM!AE39</f>
        <v>-48</v>
      </c>
      <c r="I19" s="272"/>
      <c r="J19" s="263">
        <f t="shared" si="9"/>
        <v>-54.840220971274164</v>
      </c>
      <c r="K19" s="263">
        <f>SUM!AJ39</f>
        <v>-92.572001344330658</v>
      </c>
      <c r="L19" s="272"/>
      <c r="M19" s="264"/>
      <c r="N19" s="264"/>
      <c r="O19" s="261"/>
      <c r="P19" s="239">
        <f t="shared" si="5"/>
        <v>0.99999999999999989</v>
      </c>
      <c r="Q19" s="3">
        <v>13.276806892209301</v>
      </c>
      <c r="R19" s="3">
        <v>36.3385981409984</v>
      </c>
      <c r="S19" s="3">
        <v>22.7787208264957</v>
      </c>
      <c r="T19" s="3">
        <v>37.352242296863999</v>
      </c>
      <c r="U19" s="3">
        <v>23.951702753655699</v>
      </c>
      <c r="V19" s="3">
        <v>83.776830328080905</v>
      </c>
      <c r="W19" s="3">
        <v>29.9193599695781</v>
      </c>
      <c r="Z19" s="161"/>
    </row>
    <row r="20" spans="1:26" s="161" customFormat="1" ht="15.6">
      <c r="A20" s="355"/>
      <c r="B20" s="358">
        <v>41500</v>
      </c>
      <c r="C20" s="359">
        <v>1.6</v>
      </c>
      <c r="D20" s="359">
        <f t="shared" si="7"/>
        <v>-13.220338983050846</v>
      </c>
      <c r="E20" s="359">
        <f>SUM!U40/5.9*(5.9-AA9)</f>
        <v>40.060759791521619</v>
      </c>
      <c r="F20" s="363">
        <v>11.3</v>
      </c>
      <c r="G20" s="359">
        <f t="shared" si="8"/>
        <v>38.140420808470779</v>
      </c>
      <c r="H20" s="359">
        <f>SUM!AE40</f>
        <v>-48</v>
      </c>
      <c r="I20" s="272"/>
      <c r="J20" s="263">
        <f t="shared" si="9"/>
        <v>-86.140420808470779</v>
      </c>
      <c r="K20" s="263">
        <f>SUM!AJ40</f>
        <v>-103.28853398128129</v>
      </c>
      <c r="L20" s="272"/>
      <c r="M20" s="264"/>
      <c r="N20" s="264"/>
      <c r="O20" s="261"/>
      <c r="P20" s="239">
        <f t="shared" si="5"/>
        <v>1.0999999999999999</v>
      </c>
      <c r="Q20" s="3">
        <v>13.3674000467947</v>
      </c>
      <c r="R20" s="3">
        <v>36.246688266750397</v>
      </c>
      <c r="S20" s="3">
        <v>22.290644618175701</v>
      </c>
      <c r="T20" s="3">
        <v>35.783357709810701</v>
      </c>
      <c r="U20" s="3">
        <v>23.17881706623</v>
      </c>
      <c r="V20" s="3">
        <v>90.039197075156494</v>
      </c>
      <c r="W20" s="3">
        <v>30.0030654574546</v>
      </c>
      <c r="X20"/>
      <c r="Y20"/>
    </row>
    <row r="21" spans="1:26" ht="15.6">
      <c r="A21" s="355"/>
      <c r="B21" s="358">
        <v>41507</v>
      </c>
      <c r="C21" s="359">
        <v>3.9</v>
      </c>
      <c r="D21" s="359">
        <f t="shared" si="7"/>
        <v>-31.525423728813557</v>
      </c>
      <c r="E21" s="359">
        <f>SUM!U41/5.9*(5.9-AA10)</f>
        <v>71.824782249752275</v>
      </c>
      <c r="F21" s="363">
        <v>11.3</v>
      </c>
      <c r="G21" s="359">
        <f t="shared" si="8"/>
        <v>51.599358520938722</v>
      </c>
      <c r="H21" s="359">
        <f>SUM!AE41</f>
        <v>-48</v>
      </c>
      <c r="I21" s="272"/>
      <c r="J21" s="263">
        <f t="shared" si="9"/>
        <v>-99.599358520938722</v>
      </c>
      <c r="K21" s="263">
        <f>SUM!AJ41</f>
        <v>-257.26726680174738</v>
      </c>
      <c r="L21" s="272"/>
      <c r="M21" s="264"/>
      <c r="N21" s="264"/>
      <c r="O21" s="261"/>
      <c r="P21" s="239">
        <f t="shared" si="5"/>
        <v>1.2</v>
      </c>
      <c r="Q21" s="3">
        <v>13.456335351970701</v>
      </c>
      <c r="R21" s="3">
        <v>36.068452071565503</v>
      </c>
      <c r="S21" s="3">
        <v>21.749956637451099</v>
      </c>
      <c r="T21" s="3">
        <v>34.1205568450507</v>
      </c>
      <c r="U21" s="3">
        <v>22.391197918091802</v>
      </c>
      <c r="V21" s="3">
        <v>96.142897988079099</v>
      </c>
      <c r="W21" s="3">
        <v>30.077530252217301</v>
      </c>
      <c r="Z21" s="161"/>
    </row>
    <row r="22" spans="1:26" ht="15.6">
      <c r="A22" s="355"/>
      <c r="B22" s="358">
        <v>41521</v>
      </c>
      <c r="C22" s="359">
        <v>2.6</v>
      </c>
      <c r="D22" s="359">
        <f t="shared" si="7"/>
        <v>-21.35593220338983</v>
      </c>
      <c r="E22" s="359">
        <f>SUM!U42/5.9*(5.9-AA11)</f>
        <v>78.097495052109267</v>
      </c>
      <c r="F22" s="363">
        <v>11.3</v>
      </c>
      <c r="G22" s="359">
        <f t="shared" si="8"/>
        <v>68.041562848719437</v>
      </c>
      <c r="H22" s="359">
        <f>SUM!AE42</f>
        <v>-48</v>
      </c>
      <c r="I22" s="272"/>
      <c r="J22" s="263">
        <f t="shared" si="9"/>
        <v>-116.04156284871944</v>
      </c>
      <c r="K22" s="263">
        <f>SUM!AJ42</f>
        <v>-188.69472391067012</v>
      </c>
      <c r="L22" s="272"/>
      <c r="M22" s="264"/>
      <c r="N22" s="264"/>
      <c r="O22" s="261"/>
      <c r="P22" s="239">
        <f t="shared" si="5"/>
        <v>1.3</v>
      </c>
      <c r="Q22" s="3">
        <v>13.522545596380899</v>
      </c>
      <c r="R22" s="3">
        <v>37.431252786684198</v>
      </c>
      <c r="S22" s="3">
        <v>21.2722247842283</v>
      </c>
      <c r="T22" s="3">
        <v>30.6383386650771</v>
      </c>
      <c r="U22" s="3">
        <v>21.656129420836699</v>
      </c>
      <c r="V22" s="3">
        <v>100.28806335412899</v>
      </c>
      <c r="W22" s="3">
        <v>31.501217594625199</v>
      </c>
      <c r="Z22" s="161"/>
    </row>
    <row r="23" spans="1:26" ht="15.6">
      <c r="A23" s="355"/>
      <c r="B23" s="358">
        <v>41528</v>
      </c>
      <c r="C23" s="359">
        <v>2.2999999999999998</v>
      </c>
      <c r="D23" s="359">
        <f t="shared" si="7"/>
        <v>-18.915254237288135</v>
      </c>
      <c r="E23" s="359">
        <f>SUM!U43/5.9*(5.9-AA12)</f>
        <v>22.099510316879918</v>
      </c>
      <c r="F23" s="363">
        <v>11.3</v>
      </c>
      <c r="G23" s="359">
        <f t="shared" si="8"/>
        <v>14.484256079591784</v>
      </c>
      <c r="H23" s="359">
        <f>SUM!AE43</f>
        <v>-48</v>
      </c>
      <c r="I23" s="272"/>
      <c r="J23" s="263">
        <f t="shared" si="9"/>
        <v>-62.484256079591788</v>
      </c>
      <c r="K23" s="263">
        <f>SUM!AJ43</f>
        <v>-84.471919124361264</v>
      </c>
      <c r="L23" s="272"/>
      <c r="M23" s="264"/>
      <c r="N23" s="264"/>
      <c r="O23" s="261"/>
      <c r="P23" s="239">
        <f t="shared" si="5"/>
        <v>1.4000000000000001</v>
      </c>
      <c r="Q23" s="3">
        <v>13.564367917310401</v>
      </c>
      <c r="R23" s="3">
        <v>40.247219448862801</v>
      </c>
      <c r="S23" s="3">
        <v>20.8507326650188</v>
      </c>
      <c r="T23" s="3">
        <v>25.5235179058167</v>
      </c>
      <c r="U23" s="3">
        <v>20.969356909177201</v>
      </c>
      <c r="V23" s="3">
        <v>102.485781888757</v>
      </c>
      <c r="W23" s="3">
        <v>34.263498524750297</v>
      </c>
      <c r="Z23" s="161"/>
    </row>
    <row r="24" spans="1:26" ht="15.6">
      <c r="A24" s="355"/>
      <c r="B24" s="360"/>
      <c r="C24" s="360"/>
      <c r="D24" s="360"/>
      <c r="E24" s="360"/>
      <c r="F24" s="360"/>
      <c r="G24" s="361"/>
      <c r="H24" s="361"/>
      <c r="I24" s="264"/>
      <c r="J24" s="266"/>
      <c r="K24" s="264"/>
      <c r="L24" s="264"/>
      <c r="M24" s="264"/>
      <c r="N24" s="264"/>
      <c r="O24" s="261"/>
      <c r="P24" s="239">
        <f t="shared" si="5"/>
        <v>1.5000000000000002</v>
      </c>
      <c r="Q24" s="3">
        <v>13.599429736468201</v>
      </c>
      <c r="R24" s="3">
        <v>42.827726300691801</v>
      </c>
      <c r="S24" s="3">
        <v>20.366320272660399</v>
      </c>
      <c r="T24" s="3">
        <v>20.617268962554999</v>
      </c>
      <c r="U24" s="3">
        <v>20.256517975984199</v>
      </c>
      <c r="V24" s="3">
        <v>104.498899979161</v>
      </c>
      <c r="W24" s="3">
        <v>36.994713070779298</v>
      </c>
      <c r="Z24" s="161"/>
    </row>
    <row r="25" spans="1:26" ht="15.6">
      <c r="A25" s="355"/>
      <c r="B25" s="362" t="s">
        <v>65</v>
      </c>
      <c r="C25" s="359">
        <f t="shared" ref="C25" si="10">AVERAGE(C17:C23)</f>
        <v>2.7857142857142856</v>
      </c>
      <c r="D25" s="359">
        <f>AVERAGE(D17:D23)</f>
        <v>-22.750605326876517</v>
      </c>
      <c r="E25" s="359">
        <f>AVERAGE(E17:E23)</f>
        <v>46.903671052098161</v>
      </c>
      <c r="F25" s="359">
        <f>AVERAGE(F17:F23)</f>
        <v>11.299999999999999</v>
      </c>
      <c r="G25" s="359">
        <f>AVERAGE(G17:G23)</f>
        <v>35.453065725221656</v>
      </c>
      <c r="H25" s="359">
        <f>AVERAGE(H17:H23)</f>
        <v>-48</v>
      </c>
      <c r="I25" s="272"/>
      <c r="J25" s="263">
        <f>AVERAGE(J17:J23)</f>
        <v>-83.453065725221663</v>
      </c>
      <c r="K25" s="263">
        <f>AVERAGE(K17:K23)</f>
        <v>-143.6530999298713</v>
      </c>
      <c r="L25" s="272"/>
      <c r="M25" s="264"/>
      <c r="N25" s="264"/>
      <c r="O25" s="261"/>
      <c r="P25" s="239">
        <f t="shared" si="5"/>
        <v>1.6000000000000003</v>
      </c>
      <c r="Q25" s="3">
        <v>14.175472475472001</v>
      </c>
      <c r="R25" s="3">
        <v>45.920751307007002</v>
      </c>
      <c r="S25" s="3">
        <v>19.8594315310228</v>
      </c>
      <c r="T25" s="3">
        <v>14.733280969661299</v>
      </c>
      <c r="U25" s="3">
        <v>20.063551830700199</v>
      </c>
      <c r="V25" s="3">
        <v>105.75041410529199</v>
      </c>
      <c r="W25" s="3">
        <v>40.170976320501303</v>
      </c>
      <c r="Z25" s="161"/>
    </row>
    <row r="26" spans="1:26">
      <c r="A26" s="260"/>
      <c r="B26" s="264"/>
      <c r="C26" s="264"/>
      <c r="D26" s="264"/>
      <c r="E26" s="264"/>
      <c r="F26" s="264"/>
      <c r="G26" s="264"/>
      <c r="H26" s="264"/>
      <c r="I26" s="264"/>
      <c r="J26" s="264"/>
      <c r="K26" s="264"/>
      <c r="L26" s="264"/>
      <c r="M26" s="264"/>
      <c r="N26" s="264"/>
      <c r="O26" s="261"/>
      <c r="P26" s="239">
        <f t="shared" si="5"/>
        <v>1.7000000000000004</v>
      </c>
      <c r="Q26" s="3">
        <v>14.735171147226801</v>
      </c>
      <c r="R26" s="3">
        <v>48.688851852762397</v>
      </c>
      <c r="S26" s="3">
        <v>19.2936018999102</v>
      </c>
      <c r="T26" s="3">
        <v>9.2597892597709599</v>
      </c>
      <c r="U26" s="3">
        <v>19.8296068620459</v>
      </c>
      <c r="V26" s="3">
        <v>106.797168077796</v>
      </c>
      <c r="W26" s="3">
        <v>43.295555870084399</v>
      </c>
      <c r="Z26" s="161"/>
    </row>
    <row r="27" spans="1:26">
      <c r="A27" s="267"/>
      <c r="B27" s="268"/>
      <c r="C27" s="268"/>
      <c r="D27" s="268"/>
      <c r="E27" s="268"/>
      <c r="F27" s="268"/>
      <c r="G27" s="268"/>
      <c r="H27" s="268"/>
      <c r="I27" s="268"/>
      <c r="J27" s="268"/>
      <c r="K27" s="268"/>
      <c r="L27" s="268"/>
      <c r="M27" s="268"/>
      <c r="N27" s="268"/>
      <c r="O27" s="269"/>
      <c r="P27" s="239">
        <f t="shared" si="5"/>
        <v>1.8000000000000005</v>
      </c>
      <c r="Q27" s="3">
        <v>15.4616495241018</v>
      </c>
      <c r="R27" s="3">
        <v>45.581651159549601</v>
      </c>
      <c r="S27" s="3">
        <v>18.740045233049798</v>
      </c>
      <c r="T27" s="3">
        <v>6.0092565822464499</v>
      </c>
      <c r="U27" s="3">
        <v>19.420401041381901</v>
      </c>
      <c r="V27" s="3">
        <v>120.130280140075</v>
      </c>
      <c r="W27" s="3">
        <v>46.474566161249598</v>
      </c>
      <c r="Z27" s="161"/>
    </row>
    <row r="28" spans="1:26">
      <c r="P28" s="239">
        <f t="shared" si="5"/>
        <v>1.9000000000000006</v>
      </c>
      <c r="Q28" s="3">
        <v>16.344844216327498</v>
      </c>
      <c r="R28" s="3">
        <v>37.123222090334401</v>
      </c>
      <c r="S28" s="3">
        <v>18.197999882116001</v>
      </c>
      <c r="T28" s="3">
        <v>4.7240892390389604</v>
      </c>
      <c r="U28" s="3">
        <v>18.839256350202</v>
      </c>
      <c r="V28" s="3">
        <v>145.15382965611599</v>
      </c>
      <c r="W28" s="3">
        <v>49.694137015835302</v>
      </c>
      <c r="Z28" s="161"/>
    </row>
    <row r="29" spans="1:26">
      <c r="P29" s="239">
        <f t="shared" si="5"/>
        <v>2.0000000000000004</v>
      </c>
      <c r="Q29" s="3">
        <v>17.185430180167401</v>
      </c>
      <c r="R29" s="3">
        <v>29.069558659875899</v>
      </c>
      <c r="S29" s="3">
        <v>17.606039530253799</v>
      </c>
      <c r="T29" s="3">
        <v>3.5453497890402499</v>
      </c>
      <c r="U29" s="3">
        <v>18.219073494753601</v>
      </c>
      <c r="V29" s="3">
        <v>169.07333858281001</v>
      </c>
      <c r="W29" s="3">
        <v>52.823337480741799</v>
      </c>
      <c r="Z29" s="161"/>
    </row>
    <row r="30" spans="1:26">
      <c r="P30" s="239">
        <f t="shared" si="5"/>
        <v>2.1000000000000005</v>
      </c>
      <c r="Q30" s="3">
        <v>17.533055744475899</v>
      </c>
      <c r="R30" s="3">
        <v>26.340500199502301</v>
      </c>
      <c r="S30" s="3">
        <v>16.859231915116901</v>
      </c>
      <c r="T30" s="3">
        <v>3.3464138271308399</v>
      </c>
      <c r="U30" s="3">
        <v>17.705452987396299</v>
      </c>
      <c r="V30" s="3">
        <v>174.87612869704401</v>
      </c>
      <c r="W30" s="3">
        <v>57.239396835544198</v>
      </c>
      <c r="Z30" s="161"/>
    </row>
    <row r="31" spans="1:26">
      <c r="P31" s="239">
        <f t="shared" si="5"/>
        <v>2.2000000000000006</v>
      </c>
      <c r="Q31" s="3">
        <v>17.828188826764801</v>
      </c>
      <c r="R31" s="3">
        <v>23.703362661000799</v>
      </c>
      <c r="S31" s="3">
        <v>16.088719955371801</v>
      </c>
      <c r="T31" s="3">
        <v>3.1475653503257601</v>
      </c>
      <c r="U31" s="3">
        <v>17.151499776250301</v>
      </c>
      <c r="V31" s="3">
        <v>180.075087519383</v>
      </c>
      <c r="W31" s="3">
        <v>61.512687382985902</v>
      </c>
      <c r="Z31" s="161"/>
    </row>
    <row r="32" spans="1:26">
      <c r="P32" s="239">
        <f t="shared" si="5"/>
        <v>2.3000000000000007</v>
      </c>
      <c r="Q32" s="3">
        <v>17.663871043344301</v>
      </c>
      <c r="R32" s="3">
        <v>21.639351773586998</v>
      </c>
      <c r="S32" s="3">
        <v>16.1660895372301</v>
      </c>
      <c r="T32" s="3">
        <v>2.9600196105209702</v>
      </c>
      <c r="U32" s="3">
        <v>16.554190561846099</v>
      </c>
      <c r="V32" s="3">
        <v>213.31422239950101</v>
      </c>
      <c r="W32" s="3">
        <v>71.190534500801903</v>
      </c>
      <c r="Z32" s="161"/>
    </row>
    <row r="33" spans="16:26">
      <c r="P33" s="239">
        <f t="shared" si="5"/>
        <v>2.4000000000000008</v>
      </c>
      <c r="Q33" s="3">
        <v>17.0556584474879</v>
      </c>
      <c r="R33" s="3">
        <v>20.095836466902501</v>
      </c>
      <c r="S33" s="3">
        <v>16.960249502465601</v>
      </c>
      <c r="T33" s="3">
        <v>2.7835819491689802</v>
      </c>
      <c r="U33" s="3">
        <v>15.9186149275037</v>
      </c>
      <c r="V33" s="3">
        <v>272.49021915208499</v>
      </c>
      <c r="W33" s="3">
        <v>86.064842077913198</v>
      </c>
      <c r="Z33" s="161"/>
    </row>
    <row r="34" spans="16:26">
      <c r="P34" s="239">
        <f t="shared" si="5"/>
        <v>2.5000000000000009</v>
      </c>
      <c r="Q34" s="3">
        <v>16.411819368206501</v>
      </c>
      <c r="R34" s="3">
        <v>18.5968747327227</v>
      </c>
      <c r="S34" s="3">
        <v>17.5699751400191</v>
      </c>
      <c r="T34" s="3">
        <v>2.6099669112568402</v>
      </c>
      <c r="U34" s="3">
        <v>15.2568269706012</v>
      </c>
      <c r="V34" s="3">
        <v>328.07866989313402</v>
      </c>
      <c r="W34" s="3">
        <v>100.454999532607</v>
      </c>
      <c r="Z34" s="161"/>
    </row>
    <row r="35" spans="16:26">
      <c r="P35" s="239">
        <f t="shared" si="5"/>
        <v>2.600000000000001</v>
      </c>
      <c r="Q35" s="3">
        <v>15.765423321607001</v>
      </c>
      <c r="R35" s="3">
        <v>17.6322619032657</v>
      </c>
      <c r="S35" s="3">
        <v>19.1671690105523</v>
      </c>
      <c r="T35" s="3">
        <v>2.282173240429</v>
      </c>
      <c r="U35" s="3">
        <v>14.677670870860601</v>
      </c>
      <c r="V35" s="3">
        <v>280.27235416579998</v>
      </c>
      <c r="W35" s="3">
        <v>95.656476482617194</v>
      </c>
      <c r="Z35" s="161"/>
    </row>
    <row r="36" spans="16:26">
      <c r="P36" s="239">
        <f t="shared" si="5"/>
        <v>2.7000000000000011</v>
      </c>
      <c r="Q36" s="3">
        <v>15.089799279842801</v>
      </c>
      <c r="R36" s="3">
        <v>16.6741265182505</v>
      </c>
      <c r="S36" s="3">
        <v>20.4594816174614</v>
      </c>
      <c r="T36" s="3">
        <v>1.9840555266245199</v>
      </c>
      <c r="U36" s="3">
        <v>14.076132373703</v>
      </c>
      <c r="V36" s="3">
        <v>234.46071618686099</v>
      </c>
      <c r="W36" s="3">
        <v>90.841393690066994</v>
      </c>
      <c r="Z36" s="161"/>
    </row>
    <row r="37" spans="16:26">
      <c r="P37" s="239">
        <f t="shared" si="5"/>
        <v>2.8000000000000012</v>
      </c>
      <c r="Q37" s="3">
        <v>14.4664844341892</v>
      </c>
      <c r="R37" s="3">
        <v>15.808267693007799</v>
      </c>
      <c r="S37" s="3">
        <v>18.692639715123001</v>
      </c>
      <c r="T37" s="3">
        <v>1.6794091589107401</v>
      </c>
      <c r="U37" s="3">
        <v>13.4625706139795</v>
      </c>
      <c r="V37" s="3">
        <v>200.92482052506199</v>
      </c>
      <c r="W37" s="3">
        <v>85.506034490592697</v>
      </c>
      <c r="Z37" s="161"/>
    </row>
    <row r="38" spans="16:26">
      <c r="P38" s="239">
        <f t="shared" si="5"/>
        <v>2.9000000000000012</v>
      </c>
      <c r="Q38" s="3">
        <v>13.893693037966001</v>
      </c>
      <c r="R38" s="3">
        <v>15.0263040955356</v>
      </c>
      <c r="S38" s="3">
        <v>14.4386370621335</v>
      </c>
      <c r="T38" s="3">
        <v>1.37541151790242</v>
      </c>
      <c r="U38" s="3">
        <v>12.8420875341494</v>
      </c>
      <c r="V38" s="3">
        <v>178.780789937169</v>
      </c>
      <c r="W38" s="3">
        <v>79.695546945264297</v>
      </c>
      <c r="Z38" s="161"/>
    </row>
    <row r="39" spans="16:26">
      <c r="P39" s="239">
        <f t="shared" si="5"/>
        <v>3.0000000000000013</v>
      </c>
      <c r="Q39" s="3">
        <v>13.298200193366601</v>
      </c>
      <c r="R39" s="3">
        <v>14.250168750023899</v>
      </c>
      <c r="S39" s="3">
        <v>10.642728869585399</v>
      </c>
      <c r="T39" s="3">
        <v>1.1075926321579299</v>
      </c>
      <c r="U39" s="3">
        <v>12.2153906853754</v>
      </c>
      <c r="V39" s="3">
        <v>157.615318094738</v>
      </c>
      <c r="W39" s="3">
        <v>73.958553453213696</v>
      </c>
      <c r="Z39" s="161"/>
    </row>
    <row r="40" spans="16:26">
      <c r="P40" s="239">
        <f t="shared" si="5"/>
        <v>3.1000000000000014</v>
      </c>
      <c r="Q40" s="3">
        <v>12.8938359204978</v>
      </c>
      <c r="R40" s="3">
        <v>12.9492686102836</v>
      </c>
      <c r="S40" s="3">
        <v>8.0031572672562206</v>
      </c>
      <c r="T40" s="3">
        <v>1.01742924047619</v>
      </c>
      <c r="U40" s="3">
        <v>11.689900470335999</v>
      </c>
      <c r="V40" s="3">
        <v>154.282575286194</v>
      </c>
      <c r="W40" s="3">
        <v>70.437189627486305</v>
      </c>
      <c r="Z40" s="161"/>
    </row>
    <row r="41" spans="16:26">
      <c r="P41" s="239">
        <f t="shared" si="5"/>
        <v>3.2000000000000015</v>
      </c>
      <c r="Q41" s="3">
        <v>12.4602871686514</v>
      </c>
      <c r="R41" s="3">
        <v>11.734449411625301</v>
      </c>
      <c r="S41" s="3">
        <v>5.6706113033391397</v>
      </c>
      <c r="T41" s="3">
        <v>0.93314671720118803</v>
      </c>
      <c r="U41" s="3">
        <v>11.157401983969899</v>
      </c>
      <c r="V41" s="3">
        <v>150.75813469453101</v>
      </c>
      <c r="W41" s="3">
        <v>66.931584966031707</v>
      </c>
      <c r="Z41" s="161"/>
    </row>
    <row r="42" spans="16:26">
      <c r="P42" s="239">
        <f t="shared" ref="P42:P68" si="11">P41+0.1</f>
        <v>3.3000000000000016</v>
      </c>
      <c r="Q42" s="3">
        <v>12.0453340267965</v>
      </c>
      <c r="R42" s="3">
        <v>10.8237041898852</v>
      </c>
      <c r="S42" s="3">
        <v>4.2253034201789399</v>
      </c>
      <c r="T42" s="3">
        <v>0.84003951643209096</v>
      </c>
      <c r="U42" s="3">
        <v>10.6563505677506</v>
      </c>
      <c r="V42" s="3">
        <v>141.44373804272499</v>
      </c>
      <c r="W42" s="3">
        <v>63.887673683113</v>
      </c>
      <c r="Z42" s="161"/>
    </row>
    <row r="43" spans="16:26">
      <c r="P43" s="239">
        <f t="shared" si="11"/>
        <v>3.4000000000000017</v>
      </c>
      <c r="Q43" s="3">
        <v>11.6478938910157</v>
      </c>
      <c r="R43" s="3">
        <v>10.1698093773512</v>
      </c>
      <c r="S43" s="3">
        <v>3.5118221274707002</v>
      </c>
      <c r="T43" s="3">
        <v>0.74179604561831103</v>
      </c>
      <c r="U43" s="3">
        <v>10.1850197075275</v>
      </c>
      <c r="V43" s="3">
        <v>127.038869028956</v>
      </c>
      <c r="W43" s="3">
        <v>61.284176131875903</v>
      </c>
      <c r="Z43" s="161"/>
    </row>
    <row r="44" spans="16:26">
      <c r="P44" s="239">
        <f t="shared" si="11"/>
        <v>3.5000000000000018</v>
      </c>
      <c r="Q44" s="3">
        <v>11.228332677903699</v>
      </c>
      <c r="R44" s="3">
        <v>9.5400403600991002</v>
      </c>
      <c r="S44" s="3">
        <v>2.87725508816037</v>
      </c>
      <c r="T44" s="3">
        <v>0.65358233191733395</v>
      </c>
      <c r="U44" s="3">
        <v>9.7114476798954303</v>
      </c>
      <c r="V44" s="3">
        <v>113.406393514592</v>
      </c>
      <c r="W44" s="3">
        <v>58.686755905751802</v>
      </c>
      <c r="Z44" s="161"/>
    </row>
    <row r="45" spans="16:26">
      <c r="P45" s="239">
        <f t="shared" si="11"/>
        <v>3.6000000000000019</v>
      </c>
      <c r="Q45" s="3">
        <v>11.6793733063201</v>
      </c>
      <c r="R45" s="3">
        <v>8.6011706256249507</v>
      </c>
      <c r="S45" s="3">
        <v>2.4495561479898398</v>
      </c>
      <c r="T45" s="3">
        <v>0.58206977099870305</v>
      </c>
      <c r="U45" s="3">
        <v>11.4217078191315</v>
      </c>
      <c r="V45" s="3">
        <v>110.886794413065</v>
      </c>
      <c r="W45" s="3">
        <v>63.592143354998797</v>
      </c>
      <c r="Z45" s="161"/>
    </row>
    <row r="46" spans="16:26">
      <c r="P46" s="239">
        <f t="shared" si="11"/>
        <v>3.700000000000002</v>
      </c>
      <c r="Q46" s="3">
        <v>12.0170166804988</v>
      </c>
      <c r="R46" s="3">
        <v>7.73790911335547</v>
      </c>
      <c r="S46" s="3">
        <v>2.0682797934297601</v>
      </c>
      <c r="T46" s="3">
        <v>0.51764181275965804</v>
      </c>
      <c r="U46" s="3">
        <v>12.8602998864108</v>
      </c>
      <c r="V46" s="3">
        <v>108.242252002054</v>
      </c>
      <c r="W46" s="3">
        <v>68.073160336152995</v>
      </c>
      <c r="Z46" s="161"/>
    </row>
    <row r="47" spans="16:26">
      <c r="P47" s="239">
        <f t="shared" si="11"/>
        <v>3.800000000000002</v>
      </c>
      <c r="Q47" s="3">
        <v>11.1834206751201</v>
      </c>
      <c r="R47" s="3">
        <v>7.121131891848</v>
      </c>
      <c r="S47" s="3">
        <v>1.7848766926920501</v>
      </c>
      <c r="T47" s="3">
        <v>0.45051857182362698</v>
      </c>
      <c r="U47" s="3">
        <v>11.9728492762993</v>
      </c>
      <c r="V47" s="3">
        <v>103.356998551526</v>
      </c>
      <c r="W47" s="3">
        <v>70.326638679755803</v>
      </c>
      <c r="Z47" s="161"/>
    </row>
    <row r="48" spans="16:26">
      <c r="P48" s="239">
        <f t="shared" si="11"/>
        <v>3.9000000000000021</v>
      </c>
      <c r="Q48" s="3">
        <v>9.3828771628130507</v>
      </c>
      <c r="R48" s="3">
        <v>6.7074440277999701</v>
      </c>
      <c r="S48" s="3">
        <v>1.5825013553878999</v>
      </c>
      <c r="T48" s="3">
        <v>0.38270169514501101</v>
      </c>
      <c r="U48" s="3">
        <v>9.1926303600854098</v>
      </c>
      <c r="V48" s="3">
        <v>96.543745649717295</v>
      </c>
      <c r="W48" s="3">
        <v>70.531858702781406</v>
      </c>
      <c r="Z48" s="161"/>
    </row>
    <row r="49" spans="16:26">
      <c r="P49" s="239">
        <f t="shared" si="11"/>
        <v>4.0000000000000018</v>
      </c>
      <c r="Q49" s="3">
        <v>7.7446776717136396</v>
      </c>
      <c r="R49" s="3">
        <v>6.3092010558255502</v>
      </c>
      <c r="S49" s="3">
        <v>1.39981080785808</v>
      </c>
      <c r="T49" s="3">
        <v>0.32335030796129</v>
      </c>
      <c r="U49" s="3">
        <v>6.7188254881020999</v>
      </c>
      <c r="V49" s="3">
        <v>90.041371777215303</v>
      </c>
      <c r="W49" s="3">
        <v>70.557790025642305</v>
      </c>
      <c r="Z49" s="161"/>
    </row>
    <row r="50" spans="16:26">
      <c r="P50" s="239">
        <f t="shared" si="11"/>
        <v>4.1000000000000014</v>
      </c>
      <c r="Q50" s="3">
        <v>5.9330223735556604</v>
      </c>
      <c r="R50" s="3">
        <v>5.7054187846978301</v>
      </c>
      <c r="S50" s="3">
        <v>1.2038150765437601</v>
      </c>
      <c r="T50" s="3">
        <v>0.28536240407941199</v>
      </c>
      <c r="U50" s="3">
        <v>5.3344707247340102</v>
      </c>
      <c r="V50" s="3">
        <v>91.012135673166398</v>
      </c>
      <c r="W50" s="3">
        <v>73.023727940679706</v>
      </c>
      <c r="Z50" s="161"/>
    </row>
    <row r="51" spans="16:26">
      <c r="P51" s="239">
        <f t="shared" si="11"/>
        <v>4.2000000000000011</v>
      </c>
      <c r="Q51" s="3">
        <v>4.3166876766396802</v>
      </c>
      <c r="R51" s="3">
        <v>5.1527544862107497</v>
      </c>
      <c r="S51" s="3">
        <v>1.0297694852358401</v>
      </c>
      <c r="T51" s="3">
        <v>0.25150919185001702</v>
      </c>
      <c r="U51" s="3">
        <v>4.1042286548834896</v>
      </c>
      <c r="V51" s="3">
        <v>91.594165302415504</v>
      </c>
      <c r="W51" s="3">
        <v>75.139236008785801</v>
      </c>
      <c r="Z51" s="161"/>
    </row>
    <row r="52" spans="16:26">
      <c r="P52" s="239">
        <f t="shared" si="11"/>
        <v>4.3000000000000007</v>
      </c>
      <c r="Q52" s="3">
        <v>3.1577584439146502</v>
      </c>
      <c r="R52" s="3">
        <v>4.6791132442528198</v>
      </c>
      <c r="S52" s="3">
        <v>0.89339454324565204</v>
      </c>
      <c r="T52" s="3">
        <v>0.212952213950521</v>
      </c>
      <c r="U52" s="3">
        <v>3.3396874726398398</v>
      </c>
      <c r="V52" s="3">
        <v>91.566713532332997</v>
      </c>
      <c r="W52" s="3">
        <v>73.077345272189902</v>
      </c>
      <c r="Z52" s="161"/>
    </row>
    <row r="53" spans="16:26">
      <c r="P53" s="239">
        <f t="shared" si="11"/>
        <v>4.4000000000000004</v>
      </c>
      <c r="Q53" s="3">
        <v>2.3874988617965398</v>
      </c>
      <c r="R53" s="3">
        <v>4.2737560893430198</v>
      </c>
      <c r="S53" s="3">
        <v>0.78833380897781102</v>
      </c>
      <c r="T53" s="3">
        <v>0.171730541130339</v>
      </c>
      <c r="U53" s="3">
        <v>2.9595751321786601</v>
      </c>
      <c r="V53" s="3">
        <v>90.9976373964424</v>
      </c>
      <c r="W53" s="3">
        <v>67.293773841265704</v>
      </c>
      <c r="Z53" s="161"/>
    </row>
    <row r="54" spans="16:26">
      <c r="P54" s="239">
        <f t="shared" si="11"/>
        <v>4.5</v>
      </c>
      <c r="Q54" s="3">
        <v>1.7070996886623799</v>
      </c>
      <c r="R54" s="3">
        <v>3.9006291754035098</v>
      </c>
      <c r="S54" s="3">
        <v>0.69421179468715799</v>
      </c>
      <c r="T54" s="3">
        <v>0.13637266495678901</v>
      </c>
      <c r="U54" s="3">
        <v>2.6143206357844599</v>
      </c>
      <c r="V54" s="3">
        <v>90.177461050096596</v>
      </c>
      <c r="W54" s="3">
        <v>61.7800540408115</v>
      </c>
    </row>
    <row r="55" spans="16:26">
      <c r="P55" s="239">
        <f t="shared" si="11"/>
        <v>4.5999999999999996</v>
      </c>
      <c r="Q55" s="3">
        <v>1.61589363625111</v>
      </c>
      <c r="R55" s="3">
        <v>3.5977916076280301</v>
      </c>
      <c r="S55" s="3">
        <v>0.626008282072674</v>
      </c>
      <c r="T55" s="3">
        <v>0.112405441742652</v>
      </c>
      <c r="U55" s="3">
        <v>2.2830789504964399</v>
      </c>
      <c r="V55" s="3">
        <v>94.447204000186304</v>
      </c>
      <c r="W55" s="3">
        <v>56.1455817245105</v>
      </c>
    </row>
    <row r="56" spans="16:26">
      <c r="P56" s="239">
        <f t="shared" si="11"/>
        <v>4.6999999999999993</v>
      </c>
      <c r="Q56" s="3">
        <v>1.5269885476438201</v>
      </c>
      <c r="R56" s="3">
        <v>3.3165432924035598</v>
      </c>
      <c r="S56" s="3">
        <v>0.56410144057537104</v>
      </c>
      <c r="T56" s="3">
        <v>9.1751740492511794E-2</v>
      </c>
      <c r="U56" s="3">
        <v>1.9849287662249</v>
      </c>
      <c r="V56" s="3">
        <v>97.955134749064698</v>
      </c>
      <c r="W56" s="3">
        <v>50.815398217844603</v>
      </c>
    </row>
    <row r="57" spans="16:26">
      <c r="P57" s="239">
        <f t="shared" si="11"/>
        <v>4.7999999999999989</v>
      </c>
      <c r="Q57" s="3">
        <v>1.42274045110817</v>
      </c>
      <c r="R57" s="3">
        <v>2.96448846050132</v>
      </c>
      <c r="S57" s="3">
        <v>0.50763197700394302</v>
      </c>
      <c r="T57" s="3">
        <v>8.1378893195801799E-2</v>
      </c>
      <c r="U57" s="3">
        <v>1.7796690742446799</v>
      </c>
      <c r="V57" s="3">
        <v>92.834995672568397</v>
      </c>
      <c r="W57" s="3">
        <v>46.526801058802903</v>
      </c>
    </row>
    <row r="58" spans="16:26">
      <c r="P58" s="239">
        <f t="shared" si="11"/>
        <v>4.8999999999999986</v>
      </c>
      <c r="Q58" s="3">
        <v>1.3075025006729899</v>
      </c>
      <c r="R58" s="3">
        <v>2.56283553135418</v>
      </c>
      <c r="S58" s="3">
        <v>0.45620170847871799</v>
      </c>
      <c r="T58" s="3">
        <v>7.8786870923732197E-2</v>
      </c>
      <c r="U58" s="3">
        <v>1.6504676393453901</v>
      </c>
      <c r="V58" s="3">
        <v>80.428396584138696</v>
      </c>
      <c r="W58" s="3">
        <v>43.179580949171999</v>
      </c>
    </row>
    <row r="59" spans="16:26">
      <c r="P59" s="239">
        <f t="shared" si="11"/>
        <v>4.9999999999999982</v>
      </c>
      <c r="Q59" s="3">
        <v>1.20036603340095</v>
      </c>
      <c r="R59" s="3">
        <v>2.20614456823427</v>
      </c>
      <c r="S59" s="3">
        <v>0.40971379003923802</v>
      </c>
      <c r="T59" s="3">
        <v>7.5913149591490703E-2</v>
      </c>
      <c r="U59" s="3">
        <v>1.52952732269294</v>
      </c>
      <c r="V59" s="3">
        <v>69.048793997524697</v>
      </c>
      <c r="W59" s="3">
        <v>39.999960887328797</v>
      </c>
    </row>
    <row r="60" spans="16:26">
      <c r="P60" s="239">
        <f t="shared" si="11"/>
        <v>5.0999999999999979</v>
      </c>
      <c r="Q60" s="3">
        <v>1.1467515971486599</v>
      </c>
      <c r="R60" s="3">
        <v>2.0906934370780199</v>
      </c>
      <c r="S60" s="3">
        <v>0.38213487754642</v>
      </c>
      <c r="T60" s="3">
        <v>0.10156674556483</v>
      </c>
      <c r="U60" s="3">
        <v>1.4438019336202399</v>
      </c>
      <c r="V60" s="3">
        <v>64.326262313525504</v>
      </c>
      <c r="W60" s="3">
        <v>37.750497653588099</v>
      </c>
    </row>
    <row r="61" spans="16:26">
      <c r="P61" s="239">
        <f t="shared" si="11"/>
        <v>5.1999999999999975</v>
      </c>
      <c r="Q61" s="3">
        <v>1.0932987478713001</v>
      </c>
      <c r="R61" s="3">
        <v>1.9785130084933</v>
      </c>
      <c r="S61" s="3">
        <v>0.35613203389892001</v>
      </c>
      <c r="T61" s="3">
        <v>0.121479553997135</v>
      </c>
      <c r="U61" s="3">
        <v>1.36131057644325</v>
      </c>
      <c r="V61" s="3">
        <v>59.8814517806304</v>
      </c>
      <c r="W61" s="3">
        <v>35.594203722405297</v>
      </c>
    </row>
    <row r="62" spans="16:26">
      <c r="P62" s="239">
        <f t="shared" si="11"/>
        <v>5.2999999999999972</v>
      </c>
      <c r="Q62" s="3">
        <v>1.00586665384873</v>
      </c>
      <c r="R62" s="3">
        <v>1.7694926572269201</v>
      </c>
      <c r="S62" s="3">
        <v>0.32827981676596601</v>
      </c>
      <c r="T62" s="3">
        <v>0.12559233095656999</v>
      </c>
      <c r="U62" s="3">
        <v>1.25759573597254</v>
      </c>
      <c r="V62" s="3">
        <v>56.4016278936448</v>
      </c>
      <c r="W62" s="3">
        <v>33.738949985741698</v>
      </c>
    </row>
    <row r="63" spans="16:26">
      <c r="P63" s="239">
        <f t="shared" si="11"/>
        <v>5.3999999999999968</v>
      </c>
      <c r="Q63" s="3">
        <v>0.89302286738705305</v>
      </c>
      <c r="R63" s="3">
        <v>1.4890727160619599</v>
      </c>
      <c r="S63" s="3">
        <v>0.299414572432735</v>
      </c>
      <c r="T63" s="3">
        <v>0.117865958989299</v>
      </c>
      <c r="U63" s="3">
        <v>1.1385872731844799</v>
      </c>
      <c r="V63" s="3">
        <v>53.756534685472097</v>
      </c>
      <c r="W63" s="3">
        <v>32.154670955583498</v>
      </c>
    </row>
    <row r="64" spans="16:26">
      <c r="P64" s="239">
        <f t="shared" si="11"/>
        <v>5.4999999999999964</v>
      </c>
      <c r="Q64" s="3">
        <v>0.79126925996612996</v>
      </c>
      <c r="R64" s="3">
        <v>1.2428420728932199</v>
      </c>
      <c r="S64" s="3">
        <v>0.27302044061976799</v>
      </c>
      <c r="T64" s="3">
        <v>0.11043171729410201</v>
      </c>
      <c r="U64" s="3">
        <v>1.03008290345627</v>
      </c>
      <c r="V64" s="3">
        <v>51.206300763177701</v>
      </c>
      <c r="W64" s="3">
        <v>30.623941158275802</v>
      </c>
    </row>
    <row r="65" spans="16:23">
      <c r="P65" s="239">
        <f t="shared" si="11"/>
        <v>5.5999999999999961</v>
      </c>
      <c r="Q65" s="3">
        <v>0.65769036800962899</v>
      </c>
      <c r="R65" s="3">
        <v>1.03630846387633</v>
      </c>
      <c r="S65" s="3">
        <v>0.247497026724774</v>
      </c>
      <c r="T65" s="3">
        <v>9.8117285357874104E-2</v>
      </c>
      <c r="U65" s="3">
        <v>0.95089380223214304</v>
      </c>
      <c r="V65" s="3">
        <v>46.161538766690803</v>
      </c>
      <c r="W65" s="3">
        <v>29.147228657065799</v>
      </c>
    </row>
    <row r="66" spans="16:23">
      <c r="P66" s="239">
        <f t="shared" si="11"/>
        <v>5.6999999999999957</v>
      </c>
      <c r="Q66" s="3">
        <v>0.54026320315176801</v>
      </c>
      <c r="R66" s="3">
        <v>0.85553668736703103</v>
      </c>
      <c r="S66" s="3">
        <v>0.224307565366685</v>
      </c>
      <c r="T66" s="3">
        <v>8.7145348495508701E-2</v>
      </c>
      <c r="U66" s="3">
        <v>0.87743343535783103</v>
      </c>
      <c r="V66" s="3">
        <v>41.510741637941003</v>
      </c>
      <c r="W66" s="3">
        <v>27.724692627327901</v>
      </c>
    </row>
    <row r="67" spans="16:23">
      <c r="P67" s="239">
        <f t="shared" si="11"/>
        <v>5.7999999999999954</v>
      </c>
      <c r="Q67" s="3">
        <v>0.44816594394223203</v>
      </c>
      <c r="R67" s="3">
        <v>0.73480773902989105</v>
      </c>
      <c r="S67" s="3">
        <v>0.22223477572460901</v>
      </c>
      <c r="T67" s="3">
        <v>7.5884007972729997E-2</v>
      </c>
      <c r="U67" s="3">
        <v>0.78930068904317796</v>
      </c>
      <c r="V67" s="3">
        <v>38.018903778684802</v>
      </c>
      <c r="W67" s="3">
        <v>26.3562154802297</v>
      </c>
    </row>
    <row r="68" spans="16:23">
      <c r="P68" s="239">
        <f t="shared" si="11"/>
        <v>5.899999999999995</v>
      </c>
      <c r="Q68" s="3">
        <v>0.37725661742023903</v>
      </c>
      <c r="R68" s="3">
        <v>0.662178378828995</v>
      </c>
      <c r="S68" s="3">
        <v>0.236013830607404</v>
      </c>
      <c r="T68" s="3">
        <v>6.4645312442854694E-2</v>
      </c>
      <c r="U68" s="3">
        <v>0.69105609345971697</v>
      </c>
      <c r="V68" s="3">
        <v>35.523601159841398</v>
      </c>
      <c r="W68" s="3">
        <v>25.041433813021101</v>
      </c>
    </row>
    <row r="69" spans="16:23">
      <c r="Q69" s="161"/>
      <c r="R69" s="161"/>
    </row>
    <row r="70" spans="16:23">
      <c r="Q70" s="161"/>
      <c r="R70" s="161"/>
    </row>
    <row r="71" spans="16:23">
      <c r="Q71" s="161"/>
      <c r="R71" s="161"/>
    </row>
    <row r="72" spans="16:23">
      <c r="Q72" s="161"/>
      <c r="R72" s="161"/>
    </row>
    <row r="73" spans="16:23">
      <c r="Q73" s="161"/>
      <c r="R73" s="161"/>
    </row>
    <row r="74" spans="16:23">
      <c r="Q74" s="161"/>
      <c r="R74" s="161"/>
    </row>
    <row r="75" spans="16:23">
      <c r="Q75" s="161"/>
      <c r="R75" s="161"/>
    </row>
    <row r="76" spans="16:23">
      <c r="Q76" s="161"/>
      <c r="R76" s="161"/>
    </row>
    <row r="77" spans="16:23">
      <c r="Q77" s="161"/>
      <c r="R77" s="161"/>
    </row>
    <row r="78" spans="16:23">
      <c r="Q78" s="161"/>
      <c r="R78" s="161"/>
    </row>
  </sheetData>
  <mergeCells count="2">
    <mergeCell ref="B3:H3"/>
    <mergeCell ref="B15:H1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67</vt:i4>
      </vt:variant>
    </vt:vector>
  </HeadingPairs>
  <TitlesOfParts>
    <vt:vector size="100" baseType="lpstr">
      <vt:lpstr>MetaData</vt:lpstr>
      <vt:lpstr>Raw</vt:lpstr>
      <vt:lpstr>SUM</vt:lpstr>
      <vt:lpstr>T_1</vt:lpstr>
      <vt:lpstr>T_2</vt:lpstr>
      <vt:lpstr>T_3</vt:lpstr>
      <vt:lpstr>T_4</vt:lpstr>
      <vt:lpstr>T_5</vt:lpstr>
      <vt:lpstr>T_6</vt:lpstr>
      <vt:lpstr>Correl</vt:lpstr>
      <vt:lpstr>F_1</vt:lpstr>
      <vt:lpstr>F_2</vt:lpstr>
      <vt:lpstr>F_3</vt:lpstr>
      <vt:lpstr>F_4</vt:lpstr>
      <vt:lpstr>F_5</vt:lpstr>
      <vt:lpstr>F_6</vt:lpstr>
      <vt:lpstr>F_7</vt:lpstr>
      <vt:lpstr>F_8</vt:lpstr>
      <vt:lpstr>ANOVA</vt:lpstr>
      <vt:lpstr>SP01</vt:lpstr>
      <vt:lpstr>SP02</vt:lpstr>
      <vt:lpstr>CCA</vt:lpstr>
      <vt:lpstr>FDOM_v_Sal</vt:lpstr>
      <vt:lpstr>tide</vt:lpstr>
      <vt:lpstr>Chl_cal</vt:lpstr>
      <vt:lpstr>3_WAY</vt:lpstr>
      <vt:lpstr>2_WAY</vt:lpstr>
      <vt:lpstr>Duarte PR model</vt:lpstr>
      <vt:lpstr>F_6-8  presentation</vt:lpstr>
      <vt:lpstr>F_10_not_included</vt:lpstr>
      <vt:lpstr>T_4_alt</vt:lpstr>
      <vt:lpstr>F_5_old</vt:lpstr>
      <vt:lpstr>T_x</vt:lpstr>
      <vt:lpstr>chl.a</vt:lpstr>
      <vt:lpstr>DO.ctd</vt:lpstr>
      <vt:lpstr>DO.wqm</vt:lpstr>
      <vt:lpstr>Dosat.ctd</vt:lpstr>
      <vt:lpstr>Dosat.wqm</vt:lpstr>
      <vt:lpstr>dSal</vt:lpstr>
      <vt:lpstr>dSal.C</vt:lpstr>
      <vt:lpstr>dSigT</vt:lpstr>
      <vt:lpstr>dSigT.C</vt:lpstr>
      <vt:lpstr>FDOM.ctd</vt:lpstr>
      <vt:lpstr>FDOM.wqm</vt:lpstr>
      <vt:lpstr>FL.ctd</vt:lpstr>
      <vt:lpstr>FL.wqm</vt:lpstr>
      <vt:lpstr>I.avg</vt:lpstr>
      <vt:lpstr>I.avg.C</vt:lpstr>
      <vt:lpstr>I.SWI</vt:lpstr>
      <vt:lpstr>I.SWI.C</vt:lpstr>
      <vt:lpstr>neg.Rt.E</vt:lpstr>
      <vt:lpstr>neg.Rt.E.C</vt:lpstr>
      <vt:lpstr>neg.Rt.P</vt:lpstr>
      <vt:lpstr>neg.Rt.P.C</vt:lpstr>
      <vt:lpstr>neg.Rt.R</vt:lpstr>
      <vt:lpstr>neg.Rt.R.C</vt:lpstr>
      <vt:lpstr>NEM.E</vt:lpstr>
      <vt:lpstr>NEM.E.C</vt:lpstr>
      <vt:lpstr>NEM.P</vt:lpstr>
      <vt:lpstr>NEM.P.C</vt:lpstr>
      <vt:lpstr>NEM.R</vt:lpstr>
      <vt:lpstr>NEM.R.C</vt:lpstr>
      <vt:lpstr>null1</vt:lpstr>
      <vt:lpstr>null1.C</vt:lpstr>
      <vt:lpstr>null3</vt:lpstr>
      <vt:lpstr>null3.C</vt:lpstr>
      <vt:lpstr>P_R.E</vt:lpstr>
      <vt:lpstr>P_R.E.C</vt:lpstr>
      <vt:lpstr>P_R.P</vt:lpstr>
      <vt:lpstr>P_R.P.C</vt:lpstr>
      <vt:lpstr>P_R.R</vt:lpstr>
      <vt:lpstr>Pg.E</vt:lpstr>
      <vt:lpstr>Pg.E.C</vt:lpstr>
      <vt:lpstr>Pg.P</vt:lpstr>
      <vt:lpstr>Pg.P.C</vt:lpstr>
      <vt:lpstr>Pg.P.new</vt:lpstr>
      <vt:lpstr>Pg.P.new.C</vt:lpstr>
      <vt:lpstr>Pg.R</vt:lpstr>
      <vt:lpstr>Pg.R.C</vt:lpstr>
      <vt:lpstr>F_1!Print_Area</vt:lpstr>
      <vt:lpstr>Rt.E</vt:lpstr>
      <vt:lpstr>Rt.E.C</vt:lpstr>
      <vt:lpstr>Rt.P</vt:lpstr>
      <vt:lpstr>Rt.P.C</vt:lpstr>
      <vt:lpstr>Rt.R</vt:lpstr>
      <vt:lpstr>Rt.R.C</vt:lpstr>
      <vt:lpstr>Sal.ctd</vt:lpstr>
      <vt:lpstr>Sal.wqm</vt:lpstr>
      <vt:lpstr>SigT.ctd</vt:lpstr>
      <vt:lpstr>SigT.wqm</vt:lpstr>
      <vt:lpstr>Temp.ctd</vt:lpstr>
      <vt:lpstr>Temp.wqm</vt:lpstr>
      <vt:lpstr>Turb.ctd</vt:lpstr>
      <vt:lpstr>Turb.wqm</vt:lpstr>
      <vt:lpstr>wc.chl.a</vt:lpstr>
      <vt:lpstr>wc.chl.a.C</vt:lpstr>
      <vt:lpstr>wc.sal.ctd</vt:lpstr>
      <vt:lpstr>wc.sal.ctd.C</vt:lpstr>
      <vt:lpstr>wc.temp.ctd</vt:lpstr>
      <vt:lpstr>wc.temp.ctd.C</vt:lpstr>
    </vt:vector>
  </TitlesOfParts>
  <Company>USEPA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mmurrell</dc:creator>
  <cp:lastModifiedBy>EPA</cp:lastModifiedBy>
  <cp:lastPrinted>2017-01-06T20:29:13Z</cp:lastPrinted>
  <dcterms:created xsi:type="dcterms:W3CDTF">2013-10-18T15:39:55Z</dcterms:created>
  <dcterms:modified xsi:type="dcterms:W3CDTF">2017-09-06T16:45:44Z</dcterms:modified>
</cp:coreProperties>
</file>