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F-K\JSZABO\Net MyDocuments\Desktop\R6 Aircract DW Project\Manuscript\Science Hub\"/>
    </mc:Choice>
  </mc:AlternateContent>
  <bookViews>
    <workbookView xWindow="0" yWindow="0" windowWidth="19200" windowHeight="11595" tabRatio="684" firstSheet="8" activeTab="11"/>
  </bookViews>
  <sheets>
    <sheet name="Disinfectant" sheetId="28" r:id="rId1"/>
    <sheet name="Other Parameters" sheetId="1" r:id="rId2"/>
    <sheet name="Purogene " sheetId="9" r:id="rId3"/>
    <sheet name="Aerator" sheetId="23" r:id="rId4"/>
    <sheet name="Biofilm+D&amp;F (Aug-Oct 2015)" sheetId="4" r:id="rId5"/>
    <sheet name="Coliform persistence+D&amp;F (Nov )" sheetId="7" r:id="rId6"/>
    <sheet name="D&amp;F summary" sheetId="27" r:id="rId7"/>
    <sheet name="D&amp;F ClO2 (Feb 2016)" sheetId="12" r:id="rId8"/>
    <sheet name="D&amp;F O3 (March 2016)" sheetId="15" r:id="rId9"/>
    <sheet name="D&amp;F O3 (April 2016)" sheetId="18" r:id="rId10"/>
    <sheet name="D&amp;F Cl02 (June 2016)" sheetId="21" r:id="rId11"/>
    <sheet name="D&amp;F ClO2 (Aug 2016)" sheetId="25" r:id="rId12"/>
  </sheets>
  <definedNames>
    <definedName name="_xlnm.Print_Titles" localSheetId="0">Disinfectant!$1:$2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4" i="28" l="1"/>
  <c r="F694" i="28"/>
  <c r="D694" i="28"/>
  <c r="J72" i="1"/>
  <c r="H72" i="1"/>
  <c r="D72" i="1"/>
  <c r="F72" i="1"/>
  <c r="F35" i="1" l="1"/>
  <c r="B3" i="27" l="1"/>
  <c r="B4" i="27"/>
  <c r="B5" i="27"/>
  <c r="B6" i="27"/>
  <c r="B7" i="27"/>
  <c r="F50" i="1"/>
  <c r="D70" i="1"/>
  <c r="E70" i="1"/>
  <c r="D71" i="1"/>
  <c r="E71" i="1"/>
  <c r="J688" i="28"/>
  <c r="J689" i="28"/>
  <c r="J690" i="28"/>
  <c r="J691" i="28"/>
  <c r="J692" i="28"/>
  <c r="J693" i="28"/>
  <c r="F688" i="28"/>
  <c r="F689" i="28"/>
  <c r="F690" i="28"/>
  <c r="F691" i="28"/>
  <c r="F692" i="28"/>
  <c r="F693" i="28"/>
  <c r="H688" i="28"/>
  <c r="I688" i="28"/>
  <c r="E688" i="28"/>
  <c r="D688" i="28"/>
  <c r="I693" i="28" l="1"/>
  <c r="I692" i="28"/>
  <c r="I691" i="28"/>
  <c r="H693" i="28"/>
  <c r="H692" i="28"/>
  <c r="H691" i="28"/>
  <c r="E691" i="28"/>
  <c r="E692" i="28"/>
  <c r="E693" i="28"/>
  <c r="D693" i="28"/>
  <c r="D692" i="28"/>
  <c r="D691" i="28"/>
  <c r="D689" i="28"/>
  <c r="I690" i="28"/>
  <c r="I689" i="28"/>
  <c r="H690" i="28"/>
  <c r="H689" i="28"/>
  <c r="E690" i="28"/>
  <c r="E689" i="28"/>
  <c r="D690" i="28"/>
  <c r="M686" i="28" l="1"/>
  <c r="M684" i="28"/>
  <c r="M681" i="28"/>
  <c r="M670" i="28"/>
  <c r="M669" i="28"/>
  <c r="M668" i="28"/>
  <c r="M664" i="28"/>
  <c r="M662" i="28"/>
  <c r="M661" i="28"/>
  <c r="M656" i="28"/>
  <c r="M650" i="28"/>
  <c r="M649" i="28"/>
  <c r="M647" i="28"/>
  <c r="M646" i="28"/>
  <c r="M640" i="28"/>
  <c r="M638" i="28"/>
  <c r="M632" i="28"/>
  <c r="M628" i="28"/>
  <c r="M626" i="28"/>
  <c r="M625" i="28"/>
  <c r="M616" i="28"/>
  <c r="M614" i="28"/>
  <c r="M608" i="28"/>
  <c r="M602" i="28"/>
  <c r="M600" i="28"/>
  <c r="M597" i="28"/>
  <c r="M593" i="28"/>
  <c r="M589" i="28"/>
  <c r="M584" i="28"/>
  <c r="M582" i="28"/>
  <c r="M578" i="28"/>
  <c r="M572" i="28"/>
  <c r="M569" i="28"/>
  <c r="M565" i="28"/>
  <c r="M562" i="28"/>
  <c r="M559" i="28"/>
  <c r="M554" i="28"/>
  <c r="M552" i="28"/>
  <c r="M549" i="28"/>
  <c r="M542" i="28"/>
  <c r="M537" i="28"/>
  <c r="M533" i="28"/>
  <c r="M525" i="28"/>
  <c r="M521" i="28"/>
  <c r="M519" i="28"/>
  <c r="M517" i="28"/>
  <c r="M512" i="28"/>
  <c r="M507" i="28"/>
  <c r="M502" i="28"/>
  <c r="M500" i="28"/>
  <c r="M496" i="28"/>
  <c r="M494" i="28"/>
  <c r="M489" i="28"/>
  <c r="M485" i="28"/>
  <c r="M483" i="28"/>
  <c r="M479" i="28"/>
  <c r="M474" i="28"/>
  <c r="M471" i="28"/>
  <c r="M467" i="28"/>
  <c r="M463" i="28"/>
  <c r="M462" i="28"/>
  <c r="M460" i="28"/>
  <c r="M458" i="28"/>
  <c r="M456" i="28"/>
  <c r="M452" i="28"/>
  <c r="M450" i="28"/>
  <c r="M448" i="28"/>
  <c r="M446" i="28"/>
  <c r="M441" i="28"/>
  <c r="M436" i="28"/>
  <c r="M432" i="28"/>
  <c r="M431" i="28"/>
  <c r="M423" i="28"/>
  <c r="M420" i="28"/>
  <c r="M416" i="28"/>
  <c r="M414" i="28"/>
  <c r="M409" i="28"/>
  <c r="M407" i="28"/>
  <c r="M403" i="28"/>
  <c r="M396" i="28"/>
  <c r="M393" i="28"/>
  <c r="M391" i="28"/>
  <c r="M384" i="28"/>
  <c r="M382" i="28"/>
  <c r="M380" i="28"/>
  <c r="M376" i="28"/>
  <c r="M364" i="28"/>
  <c r="M362" i="28"/>
  <c r="M360" i="28"/>
  <c r="M358" i="28"/>
  <c r="M352" i="28"/>
  <c r="M350" i="28"/>
  <c r="M346" i="28"/>
  <c r="M342" i="28"/>
  <c r="M340" i="28"/>
  <c r="M336" i="28"/>
  <c r="M334" i="28"/>
  <c r="M329" i="28"/>
  <c r="M325" i="28"/>
  <c r="M322" i="28"/>
  <c r="M316" i="28"/>
  <c r="M314" i="28"/>
  <c r="M308" i="28"/>
  <c r="M302" i="28"/>
  <c r="M299" i="28"/>
  <c r="M297" i="28"/>
  <c r="M293" i="28"/>
  <c r="M291" i="28"/>
  <c r="M290" i="28"/>
  <c r="M287" i="28"/>
  <c r="M282" i="28"/>
  <c r="M280" i="28"/>
  <c r="M278" i="28"/>
  <c r="M276" i="28"/>
  <c r="M273" i="28"/>
  <c r="M272" i="28"/>
  <c r="M270" i="28"/>
  <c r="M267" i="28"/>
  <c r="M265" i="28"/>
  <c r="M261" i="28"/>
  <c r="M259" i="28"/>
  <c r="M257" i="28"/>
  <c r="M254" i="28"/>
  <c r="M252" i="28"/>
  <c r="M247" i="28"/>
  <c r="M246" i="28"/>
  <c r="M245" i="28"/>
  <c r="M243" i="28"/>
  <c r="M240" i="28"/>
  <c r="M234" i="28"/>
  <c r="M233" i="28"/>
  <c r="M232" i="28"/>
  <c r="M231" i="28"/>
  <c r="M230" i="28"/>
  <c r="M226" i="28"/>
  <c r="M224" i="28"/>
  <c r="M222" i="28"/>
  <c r="M220" i="28"/>
  <c r="M218" i="28"/>
  <c r="M214" i="28"/>
  <c r="M212" i="28"/>
  <c r="M208" i="28"/>
  <c r="M203" i="28"/>
  <c r="M199" i="28"/>
  <c r="M198" i="28"/>
  <c r="M193" i="28"/>
  <c r="M192" i="28"/>
  <c r="M191" i="28"/>
  <c r="M187" i="28"/>
  <c r="M186" i="28"/>
  <c r="M185" i="28"/>
  <c r="M180" i="28"/>
  <c r="M173" i="28"/>
  <c r="M171" i="28"/>
  <c r="M168" i="28"/>
  <c r="M164" i="28"/>
  <c r="M162" i="28"/>
  <c r="M156" i="28"/>
  <c r="M154" i="28"/>
  <c r="M151" i="28"/>
  <c r="M149" i="28"/>
  <c r="M146" i="28"/>
  <c r="M142" i="28"/>
  <c r="M140" i="28"/>
  <c r="M138" i="28"/>
  <c r="M136" i="28"/>
  <c r="M134" i="28"/>
  <c r="M130" i="28"/>
  <c r="M128" i="28"/>
  <c r="M124" i="28"/>
  <c r="M108" i="28"/>
  <c r="M50" i="28"/>
  <c r="M48" i="28"/>
  <c r="M47" i="28"/>
  <c r="M44" i="28"/>
  <c r="M42" i="28"/>
  <c r="M40" i="28"/>
  <c r="M37" i="28"/>
  <c r="G28" i="27" l="1"/>
  <c r="G27" i="27"/>
  <c r="D30" i="27"/>
  <c r="D29" i="27"/>
  <c r="F30" i="27" l="1"/>
  <c r="F29" i="27"/>
  <c r="F26" i="27"/>
  <c r="F25" i="27"/>
  <c r="C28" i="27"/>
  <c r="C27" i="27"/>
  <c r="I17" i="27"/>
  <c r="B18" i="27"/>
  <c r="G18" i="27" s="1"/>
  <c r="G10" i="7"/>
  <c r="G8" i="7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G7" i="27"/>
  <c r="G6" i="27"/>
  <c r="H20" i="25"/>
  <c r="H19" i="25"/>
  <c r="I17" i="25"/>
  <c r="I18" i="27" s="1"/>
  <c r="H17" i="25"/>
  <c r="H14" i="25"/>
  <c r="H13" i="25"/>
  <c r="I15" i="27" s="1"/>
  <c r="K18" i="27" l="1"/>
  <c r="J18" i="27"/>
  <c r="E27" i="27"/>
  <c r="D27" i="27"/>
  <c r="G29" i="27"/>
  <c r="H29" i="27"/>
  <c r="E28" i="27"/>
  <c r="D28" i="27"/>
  <c r="H30" i="27"/>
  <c r="G30" i="27"/>
  <c r="H25" i="27"/>
  <c r="G25" i="27"/>
  <c r="D11" i="25"/>
  <c r="E10" i="25"/>
  <c r="E8" i="25"/>
  <c r="D9" i="25"/>
  <c r="D7" i="21"/>
  <c r="E7" i="21"/>
  <c r="A5" i="27" l="1"/>
  <c r="C37" i="23" l="1"/>
  <c r="I30" i="23"/>
  <c r="E37" i="23" s="1"/>
  <c r="D30" i="23"/>
  <c r="I29" i="23"/>
  <c r="D37" i="23" s="1"/>
  <c r="D29" i="23"/>
  <c r="I25" i="23"/>
  <c r="E36" i="23" s="1"/>
  <c r="D25" i="23"/>
  <c r="C36" i="23" s="1"/>
  <c r="I24" i="23"/>
  <c r="D36" i="23" s="1"/>
  <c r="D24" i="23"/>
  <c r="I18" i="23"/>
  <c r="I19" i="23" s="1"/>
  <c r="D18" i="23"/>
  <c r="D19" i="23" s="1"/>
  <c r="I13" i="23"/>
  <c r="E35" i="23" s="1"/>
  <c r="D13" i="23"/>
  <c r="C35" i="23" s="1"/>
  <c r="I12" i="23"/>
  <c r="D35" i="23" s="1"/>
  <c r="D12" i="23"/>
  <c r="B35" i="23" s="1"/>
  <c r="I6" i="23"/>
  <c r="I7" i="23" s="1"/>
  <c r="D6" i="23"/>
  <c r="D7" i="23" s="1"/>
  <c r="C34" i="23" l="1"/>
  <c r="B34" i="23"/>
  <c r="E34" i="23"/>
  <c r="D34" i="23"/>
  <c r="A108" i="9" l="1"/>
  <c r="A109" i="9"/>
  <c r="A110" i="9"/>
  <c r="A111" i="9"/>
  <c r="A112" i="9"/>
  <c r="A113" i="9"/>
  <c r="A114" i="9"/>
  <c r="A115" i="9"/>
  <c r="A116" i="9"/>
  <c r="A117" i="9"/>
  <c r="A118" i="9"/>
  <c r="A119" i="9"/>
  <c r="A107" i="9"/>
  <c r="D91" i="9"/>
  <c r="L108" i="9" s="1"/>
  <c r="E91" i="9"/>
  <c r="D92" i="9"/>
  <c r="L109" i="9" s="1"/>
  <c r="E92" i="9"/>
  <c r="D93" i="9"/>
  <c r="L110" i="9" s="1"/>
  <c r="E93" i="9"/>
  <c r="D94" i="9"/>
  <c r="L111" i="9" s="1"/>
  <c r="E94" i="9"/>
  <c r="D95" i="9"/>
  <c r="L112" i="9" s="1"/>
  <c r="E95" i="9"/>
  <c r="D96" i="9"/>
  <c r="L113" i="9" s="1"/>
  <c r="E96" i="9"/>
  <c r="D97" i="9"/>
  <c r="L114" i="9" s="1"/>
  <c r="E97" i="9"/>
  <c r="D98" i="9"/>
  <c r="L115" i="9" s="1"/>
  <c r="E98" i="9"/>
  <c r="D99" i="9"/>
  <c r="L116" i="9" s="1"/>
  <c r="E99" i="9"/>
  <c r="D100" i="9"/>
  <c r="L117" i="9" s="1"/>
  <c r="E100" i="9"/>
  <c r="D101" i="9"/>
  <c r="L118" i="9" s="1"/>
  <c r="E101" i="9"/>
  <c r="D102" i="9"/>
  <c r="L119" i="9" s="1"/>
  <c r="E102" i="9"/>
  <c r="E90" i="9"/>
  <c r="D90" i="9"/>
  <c r="L107" i="9" s="1"/>
  <c r="H20" i="21" l="1"/>
  <c r="H16" i="21"/>
  <c r="H13" i="21"/>
  <c r="F15" i="27" s="1"/>
  <c r="D11" i="21"/>
  <c r="E10" i="21"/>
  <c r="D9" i="21"/>
  <c r="E8" i="21"/>
  <c r="A4" i="27" l="1"/>
  <c r="E67" i="9"/>
  <c r="E84" i="9" l="1"/>
  <c r="E83" i="9"/>
  <c r="E82" i="9"/>
  <c r="E81" i="9"/>
  <c r="E80" i="9"/>
  <c r="E79" i="9"/>
  <c r="E78" i="9"/>
  <c r="E77" i="9"/>
  <c r="E76" i="9"/>
  <c r="E75" i="9"/>
  <c r="E74" i="9"/>
  <c r="E73" i="9"/>
  <c r="E72" i="9"/>
  <c r="F67" i="9"/>
  <c r="G67" i="9" s="1"/>
  <c r="E66" i="9"/>
  <c r="F66" i="9" s="1"/>
  <c r="G66" i="9" s="1"/>
  <c r="E65" i="9"/>
  <c r="F65" i="9" s="1"/>
  <c r="G65" i="9" s="1"/>
  <c r="E64" i="9"/>
  <c r="F64" i="9" s="1"/>
  <c r="G64" i="9" s="1"/>
  <c r="E63" i="9"/>
  <c r="F63" i="9" s="1"/>
  <c r="G63" i="9" s="1"/>
  <c r="E62" i="9"/>
  <c r="F62" i="9" s="1"/>
  <c r="G62" i="9" s="1"/>
  <c r="F61" i="9"/>
  <c r="G61" i="9" s="1"/>
  <c r="E61" i="9"/>
  <c r="E60" i="9"/>
  <c r="F60" i="9" s="1"/>
  <c r="G60" i="9" s="1"/>
  <c r="E59" i="9"/>
  <c r="F59" i="9" s="1"/>
  <c r="G59" i="9" s="1"/>
  <c r="E58" i="9"/>
  <c r="F58" i="9" s="1"/>
  <c r="G58" i="9" s="1"/>
  <c r="E57" i="9"/>
  <c r="F57" i="9" s="1"/>
  <c r="G57" i="9" s="1"/>
  <c r="E56" i="9"/>
  <c r="F56" i="9" s="1"/>
  <c r="G56" i="9" s="1"/>
  <c r="E55" i="9"/>
  <c r="F55" i="9" s="1"/>
  <c r="G55" i="9" s="1"/>
  <c r="F77" i="9" l="1"/>
  <c r="G77" i="9" s="1"/>
  <c r="H77" i="9"/>
  <c r="F78" i="9"/>
  <c r="G78" i="9" s="1"/>
  <c r="H78" i="9"/>
  <c r="F75" i="9"/>
  <c r="G75" i="9" s="1"/>
  <c r="H75" i="9"/>
  <c r="F79" i="9"/>
  <c r="G79" i="9" s="1"/>
  <c r="H79" i="9"/>
  <c r="F83" i="9"/>
  <c r="G83" i="9" s="1"/>
  <c r="H83" i="9"/>
  <c r="F73" i="9"/>
  <c r="G73" i="9" s="1"/>
  <c r="H73" i="9"/>
  <c r="F81" i="9"/>
  <c r="G81" i="9" s="1"/>
  <c r="H81" i="9"/>
  <c r="F74" i="9"/>
  <c r="G74" i="9" s="1"/>
  <c r="H74" i="9"/>
  <c r="F82" i="9"/>
  <c r="G82" i="9" s="1"/>
  <c r="H82" i="9"/>
  <c r="F72" i="9"/>
  <c r="G72" i="9" s="1"/>
  <c r="H72" i="9"/>
  <c r="F76" i="9"/>
  <c r="G76" i="9" s="1"/>
  <c r="H76" i="9"/>
  <c r="F80" i="9"/>
  <c r="G80" i="9" s="1"/>
  <c r="H80" i="9"/>
  <c r="F84" i="9"/>
  <c r="G84" i="9" s="1"/>
  <c r="H84" i="9"/>
  <c r="E50" i="9"/>
  <c r="E49" i="9"/>
  <c r="F49" i="9" l="1"/>
  <c r="G49" i="9" s="1"/>
  <c r="B101" i="9"/>
  <c r="B118" i="9" s="1"/>
  <c r="C118" i="9" s="1"/>
  <c r="D118" i="9" s="1"/>
  <c r="C101" i="9"/>
  <c r="H49" i="9"/>
  <c r="F50" i="9"/>
  <c r="G50" i="9" s="1"/>
  <c r="C102" i="9"/>
  <c r="B102" i="9"/>
  <c r="B119" i="9" s="1"/>
  <c r="C119" i="9" s="1"/>
  <c r="D119" i="9" s="1"/>
  <c r="H50" i="9"/>
  <c r="G42" i="9"/>
  <c r="G46" i="9"/>
  <c r="F40" i="9"/>
  <c r="G40" i="9" s="1"/>
  <c r="F42" i="9"/>
  <c r="F44" i="9"/>
  <c r="G44" i="9" s="1"/>
  <c r="F46" i="9"/>
  <c r="F48" i="9"/>
  <c r="G48" i="9" s="1"/>
  <c r="E48" i="9"/>
  <c r="E47" i="9"/>
  <c r="E46" i="9"/>
  <c r="E45" i="9"/>
  <c r="E44" i="9"/>
  <c r="E43" i="9"/>
  <c r="E42" i="9"/>
  <c r="E41" i="9"/>
  <c r="E40" i="9"/>
  <c r="E39" i="9"/>
  <c r="E38" i="9"/>
  <c r="B91" i="9" l="1"/>
  <c r="B108" i="9" s="1"/>
  <c r="C108" i="9" s="1"/>
  <c r="D108" i="9" s="1"/>
  <c r="C91" i="9"/>
  <c r="H39" i="9"/>
  <c r="B95" i="9"/>
  <c r="B112" i="9" s="1"/>
  <c r="C112" i="9" s="1"/>
  <c r="D112" i="9" s="1"/>
  <c r="C95" i="9"/>
  <c r="H43" i="9"/>
  <c r="B99" i="9"/>
  <c r="B116" i="9" s="1"/>
  <c r="C116" i="9" s="1"/>
  <c r="D116" i="9" s="1"/>
  <c r="C99" i="9"/>
  <c r="H47" i="9"/>
  <c r="C92" i="9"/>
  <c r="B92" i="9"/>
  <c r="B109" i="9" s="1"/>
  <c r="C109" i="9" s="1"/>
  <c r="D109" i="9" s="1"/>
  <c r="H40" i="9"/>
  <c r="C96" i="9"/>
  <c r="B96" i="9"/>
  <c r="B113" i="9" s="1"/>
  <c r="C113" i="9" s="1"/>
  <c r="D113" i="9" s="1"/>
  <c r="H44" i="9"/>
  <c r="C100" i="9"/>
  <c r="B100" i="9"/>
  <c r="B117" i="9" s="1"/>
  <c r="C117" i="9" s="1"/>
  <c r="D117" i="9" s="1"/>
  <c r="H48" i="9"/>
  <c r="F47" i="9"/>
  <c r="G47" i="9" s="1"/>
  <c r="F43" i="9"/>
  <c r="G43" i="9" s="1"/>
  <c r="F39" i="9"/>
  <c r="G39" i="9" s="1"/>
  <c r="B93" i="9"/>
  <c r="B110" i="9" s="1"/>
  <c r="C110" i="9" s="1"/>
  <c r="D110" i="9" s="1"/>
  <c r="C93" i="9"/>
  <c r="H41" i="9"/>
  <c r="B97" i="9"/>
  <c r="B114" i="9" s="1"/>
  <c r="C114" i="9" s="1"/>
  <c r="D114" i="9" s="1"/>
  <c r="C97" i="9"/>
  <c r="H45" i="9"/>
  <c r="H38" i="9"/>
  <c r="C90" i="9"/>
  <c r="B90" i="9"/>
  <c r="B107" i="9" s="1"/>
  <c r="C107" i="9" s="1"/>
  <c r="D107" i="9" s="1"/>
  <c r="C94" i="9"/>
  <c r="B94" i="9"/>
  <c r="B111" i="9" s="1"/>
  <c r="C111" i="9" s="1"/>
  <c r="D111" i="9" s="1"/>
  <c r="H42" i="9"/>
  <c r="C98" i="9"/>
  <c r="B98" i="9"/>
  <c r="B115" i="9" s="1"/>
  <c r="C115" i="9" s="1"/>
  <c r="D115" i="9" s="1"/>
  <c r="H46" i="9"/>
  <c r="F38" i="9"/>
  <c r="F45" i="9"/>
  <c r="G45" i="9" s="1"/>
  <c r="F41" i="9"/>
  <c r="G41" i="9" s="1"/>
  <c r="E16" i="9"/>
  <c r="F17" i="9"/>
  <c r="E17" i="9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20" i="9"/>
  <c r="F20" i="9" s="1"/>
  <c r="A32" i="9"/>
  <c r="I38" i="9" l="1"/>
  <c r="G38" i="9"/>
  <c r="F16" i="9"/>
  <c r="F20" i="18"/>
  <c r="D11" i="18"/>
  <c r="E10" i="18"/>
  <c r="D9" i="18"/>
  <c r="E8" i="18"/>
  <c r="E7" i="18"/>
  <c r="D7" i="18"/>
  <c r="A7" i="27" l="1"/>
  <c r="I67" i="1"/>
  <c r="H67" i="1"/>
  <c r="G67" i="1"/>
  <c r="I66" i="1" l="1"/>
  <c r="H66" i="1"/>
  <c r="G66" i="1"/>
  <c r="I65" i="1" l="1"/>
  <c r="H65" i="1"/>
  <c r="G65" i="1"/>
  <c r="I64" i="1" l="1"/>
  <c r="H64" i="1"/>
  <c r="G64" i="1"/>
  <c r="F64" i="1"/>
  <c r="I63" i="1" l="1"/>
  <c r="H63" i="1"/>
  <c r="G63" i="1"/>
  <c r="H20" i="15" l="1"/>
  <c r="H19" i="15"/>
  <c r="H16" i="15"/>
  <c r="H14" i="15"/>
  <c r="I14" i="15"/>
  <c r="H13" i="15"/>
  <c r="C25" i="27" s="1"/>
  <c r="I13" i="15"/>
  <c r="C26" i="27" s="1"/>
  <c r="D11" i="15"/>
  <c r="E10" i="15"/>
  <c r="D9" i="15"/>
  <c r="E8" i="15"/>
  <c r="E7" i="15"/>
  <c r="D7" i="15"/>
  <c r="A6" i="27" l="1"/>
  <c r="E26" i="27"/>
  <c r="D26" i="27"/>
  <c r="E25" i="27"/>
  <c r="D25" i="27"/>
  <c r="I50" i="1"/>
  <c r="H50" i="1"/>
  <c r="G50" i="1"/>
  <c r="I49" i="1" l="1"/>
  <c r="H49" i="1"/>
  <c r="G49" i="1"/>
  <c r="I48" i="1" l="1"/>
  <c r="H48" i="1"/>
  <c r="G48" i="1"/>
  <c r="I47" i="1" l="1"/>
  <c r="H47" i="1"/>
  <c r="G47" i="1"/>
  <c r="I17" i="12" l="1"/>
  <c r="C18" i="27" s="1"/>
  <c r="H17" i="12"/>
  <c r="C17" i="27" s="1"/>
  <c r="I13" i="12"/>
  <c r="C16" i="27" s="1"/>
  <c r="H13" i="12"/>
  <c r="C15" i="27" s="1"/>
  <c r="D11" i="12"/>
  <c r="E10" i="12"/>
  <c r="D9" i="12"/>
  <c r="E8" i="12"/>
  <c r="E7" i="12"/>
  <c r="D7" i="12"/>
  <c r="B24" i="12" l="1"/>
  <c r="A3" i="27"/>
  <c r="I35" i="1"/>
  <c r="H35" i="1"/>
  <c r="G35" i="1" l="1"/>
  <c r="I34" i="1" l="1"/>
  <c r="H34" i="1"/>
  <c r="G34" i="1"/>
  <c r="I33" i="1" l="1"/>
  <c r="H33" i="1"/>
  <c r="G33" i="1"/>
  <c r="I32" i="1" l="1"/>
  <c r="H32" i="1"/>
  <c r="G32" i="1"/>
  <c r="G31" i="1" l="1"/>
  <c r="I31" i="1"/>
  <c r="H31" i="1"/>
  <c r="G30" i="1" l="1"/>
  <c r="I30" i="1"/>
  <c r="H30" i="1"/>
  <c r="D10" i="9" l="1"/>
  <c r="E10" i="9" s="1"/>
  <c r="D9" i="9"/>
  <c r="E9" i="9" s="1"/>
  <c r="D8" i="9"/>
  <c r="E8" i="9" s="1"/>
  <c r="D7" i="9"/>
  <c r="E7" i="9" s="1"/>
  <c r="D6" i="9"/>
  <c r="E6" i="9" s="1"/>
  <c r="D5" i="9"/>
  <c r="E5" i="9" s="1"/>
  <c r="D4" i="9"/>
  <c r="E4" i="9" s="1"/>
  <c r="G29" i="1" l="1"/>
  <c r="I29" i="1"/>
  <c r="H29" i="1"/>
  <c r="F74" i="7" l="1"/>
  <c r="B73" i="7"/>
  <c r="B20" i="27" s="1"/>
  <c r="B72" i="7"/>
  <c r="B19" i="27" s="1"/>
  <c r="B70" i="7"/>
  <c r="B17" i="27" s="1"/>
  <c r="F69" i="7"/>
  <c r="F75" i="7" s="1"/>
  <c r="B69" i="7"/>
  <c r="B68" i="7"/>
  <c r="D12" i="7"/>
  <c r="D11" i="7"/>
  <c r="D10" i="7"/>
  <c r="D9" i="7"/>
  <c r="D8" i="7"/>
  <c r="D7" i="7"/>
  <c r="G75" i="7" l="1"/>
  <c r="G17" i="27"/>
  <c r="D17" i="27"/>
  <c r="E17" i="27"/>
  <c r="B74" i="7"/>
  <c r="G74" i="7" s="1"/>
  <c r="B15" i="27"/>
  <c r="J19" i="27"/>
  <c r="G19" i="27"/>
  <c r="D19" i="27"/>
  <c r="B75" i="7"/>
  <c r="B16" i="27"/>
  <c r="J20" i="27"/>
  <c r="G20" i="27"/>
  <c r="D20" i="27"/>
  <c r="I28" i="1"/>
  <c r="H28" i="1"/>
  <c r="G28" i="1"/>
  <c r="G16" i="27" l="1"/>
  <c r="D16" i="27"/>
  <c r="J16" i="27"/>
  <c r="E16" i="27"/>
  <c r="G15" i="27"/>
  <c r="D15" i="27"/>
  <c r="J15" i="27"/>
  <c r="K15" i="27"/>
  <c r="H15" i="27"/>
  <c r="E15" i="27"/>
  <c r="J23" i="1"/>
  <c r="G23" i="1"/>
  <c r="I23" i="1"/>
  <c r="H23" i="1"/>
  <c r="G21" i="1" l="1"/>
  <c r="I21" i="1"/>
  <c r="H21" i="1"/>
  <c r="J20" i="1" l="1"/>
  <c r="K20" i="1"/>
  <c r="J19" i="1"/>
  <c r="K19" i="1"/>
  <c r="E22" i="4" l="1"/>
  <c r="D22" i="4"/>
  <c r="E21" i="4"/>
  <c r="D21" i="4"/>
  <c r="H19" i="1"/>
  <c r="I19" i="1"/>
  <c r="I18" i="1"/>
  <c r="H18" i="1"/>
  <c r="H16" i="1"/>
  <c r="I16" i="1"/>
  <c r="H14" i="1"/>
  <c r="I14" i="1"/>
  <c r="F12" i="1"/>
  <c r="I11" i="1" l="1"/>
  <c r="H11" i="1"/>
  <c r="G11" i="1"/>
  <c r="F11" i="1"/>
  <c r="J10" i="1" l="1"/>
  <c r="I10" i="1"/>
  <c r="H10" i="1"/>
  <c r="F10" i="1"/>
  <c r="G10" i="1"/>
  <c r="G9" i="1" l="1"/>
  <c r="D7" i="4" l="1"/>
  <c r="D10" i="4"/>
  <c r="D11" i="4"/>
  <c r="D12" i="4"/>
  <c r="D13" i="4"/>
  <c r="D14" i="4"/>
  <c r="D6" i="4"/>
  <c r="C16" i="4"/>
  <c r="D16" i="4" s="1"/>
  <c r="C15" i="4"/>
  <c r="D15" i="4" s="1"/>
  <c r="C9" i="4"/>
  <c r="D9" i="4" s="1"/>
  <c r="C8" i="4"/>
  <c r="D8" i="4" s="1"/>
  <c r="J9" i="1"/>
  <c r="K9" i="1"/>
  <c r="H9" i="1"/>
  <c r="I9" i="1"/>
  <c r="K70" i="1" l="1"/>
  <c r="K71" i="1"/>
  <c r="J8" i="1"/>
  <c r="H8" i="1"/>
  <c r="I8" i="1"/>
  <c r="J7" i="1" l="1"/>
  <c r="J4" i="1"/>
  <c r="J6" i="1"/>
  <c r="J70" i="1" l="1"/>
  <c r="J71" i="1"/>
  <c r="I7" i="1"/>
  <c r="H7" i="1"/>
  <c r="I6" i="1"/>
  <c r="H6" i="1"/>
  <c r="I5" i="1"/>
  <c r="H5" i="1"/>
  <c r="I4" i="1"/>
  <c r="H4" i="1"/>
  <c r="F7" i="1"/>
  <c r="G7" i="1"/>
  <c r="G6" i="1"/>
  <c r="F6" i="1"/>
  <c r="F5" i="1"/>
  <c r="G4" i="1"/>
  <c r="F71" i="1" l="1"/>
  <c r="F70" i="1"/>
  <c r="H70" i="1"/>
  <c r="H71" i="1"/>
  <c r="I70" i="1"/>
  <c r="I71" i="1"/>
  <c r="G71" i="1"/>
  <c r="G70" i="1"/>
</calcChain>
</file>

<file path=xl/sharedStrings.xml><?xml version="1.0" encoding="utf-8"?>
<sst xmlns="http://schemas.openxmlformats.org/spreadsheetml/2006/main" count="3291" uniqueCount="542">
  <si>
    <t>Date</t>
  </si>
  <si>
    <t>Tank</t>
  </si>
  <si>
    <t>Faucet</t>
  </si>
  <si>
    <t>&lt;0.044</t>
  </si>
  <si>
    <t>pH</t>
  </si>
  <si>
    <t>Turbidity (NTU)</t>
  </si>
  <si>
    <t>Purogene flush in late July</t>
  </si>
  <si>
    <t>Purogene flush on 8/26</t>
  </si>
  <si>
    <t>Notes</t>
  </si>
  <si>
    <t>Aircraft Tank Readings</t>
  </si>
  <si>
    <t xml:space="preserve">Tank </t>
  </si>
  <si>
    <t xml:space="preserve">Flow Meter </t>
  </si>
  <si>
    <t>Time</t>
  </si>
  <si>
    <t>Analyst</t>
  </si>
  <si>
    <t>Filled</t>
  </si>
  <si>
    <t>Reading</t>
  </si>
  <si>
    <t>TLK</t>
  </si>
  <si>
    <t>PK</t>
  </si>
  <si>
    <t>New tank of water prepared</t>
  </si>
  <si>
    <t>---</t>
  </si>
  <si>
    <t>0.00</t>
  </si>
  <si>
    <t>PM</t>
  </si>
  <si>
    <t>Location</t>
  </si>
  <si>
    <t>(MPN/ml)</t>
  </si>
  <si>
    <t>HPC/Coliform</t>
  </si>
  <si>
    <t>Faucet 1</t>
  </si>
  <si>
    <t>Faucet 2</t>
  </si>
  <si>
    <t>Faucet 3</t>
  </si>
  <si>
    <t>C1 Fitting</t>
  </si>
  <si>
    <t>C1 Tubing</t>
  </si>
  <si>
    <t>C2 Fitting</t>
  </si>
  <si>
    <t>C2 Tubing</t>
  </si>
  <si>
    <t>C3 Fitting</t>
  </si>
  <si>
    <t>C4 Tubing</t>
  </si>
  <si>
    <t>C3 Tubing</t>
  </si>
  <si>
    <t>HPC</t>
  </si>
  <si>
    <t>MPN</t>
  </si>
  <si>
    <t>Contamination and D&amp;F on 10/6 to 10/8</t>
  </si>
  <si>
    <t>coliform injection at 930 am</t>
  </si>
  <si>
    <t>Fitting Swab</t>
  </si>
  <si>
    <t>Tubing Swab</t>
  </si>
  <si>
    <t>(MPN/100 ml)</t>
  </si>
  <si>
    <t>Position 1</t>
  </si>
  <si>
    <t>Position 2</t>
  </si>
  <si>
    <t>Position 3</t>
  </si>
  <si>
    <t>Position 4</t>
  </si>
  <si>
    <t>Position 5</t>
  </si>
  <si>
    <t>Position 6</t>
  </si>
  <si>
    <t>Aerator</t>
  </si>
  <si>
    <t>Test 1: Coliform Contamination and D&amp;F with Purogene</t>
  </si>
  <si>
    <t>Pre-Test: Biofilm Growth Under Normal Operation</t>
  </si>
  <si>
    <t>Purogene at 13:30 to 15:00 (Faucet ClO2: 13:30: 91 mg/L, 15:00: 103 mg/L)</t>
  </si>
  <si>
    <t>Biofilm formed for 4 weeks under the operating conditions specified in the QAPP</t>
  </si>
  <si>
    <t>Contamination</t>
  </si>
  <si>
    <t>Disinfect and Flush</t>
  </si>
  <si>
    <t>Normal Operation Post-D&amp;F</t>
  </si>
  <si>
    <t>Experiment Phase</t>
  </si>
  <si>
    <t xml:space="preserve">Normal operation, post D&amp;F samples </t>
  </si>
  <si>
    <t>Coliform injection at 9:30 am, then normal operation until D&amp;F on 10/8</t>
  </si>
  <si>
    <t>D&amp;F@ 13:30</t>
  </si>
  <si>
    <r>
      <t>Injected 0.1 ml of an overnight culture that was ~10</t>
    </r>
    <r>
      <rPr>
        <vertAlign val="superscript"/>
        <sz val="11"/>
        <color theme="1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>MPN/100 ml (10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MPN/ml) into the tank (40 gal or ~151 L)</t>
    </r>
  </si>
  <si>
    <r>
      <t>Based on dilution, initial coliform density in the tank was ~6.6x10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MPN/100 ml (6.3x10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MPN/ml)</t>
    </r>
  </si>
  <si>
    <t>0821</t>
  </si>
  <si>
    <t>0915</t>
  </si>
  <si>
    <t>0810</t>
  </si>
  <si>
    <t>0842</t>
  </si>
  <si>
    <t>0900</t>
  </si>
  <si>
    <t>0905</t>
  </si>
  <si>
    <t>0825</t>
  </si>
  <si>
    <t>0920</t>
  </si>
  <si>
    <t>0835</t>
  </si>
  <si>
    <t>0930</t>
  </si>
  <si>
    <t>0840</t>
  </si>
  <si>
    <t>0830</t>
  </si>
  <si>
    <t>0845</t>
  </si>
  <si>
    <t>0800</t>
  </si>
  <si>
    <t>0815</t>
  </si>
  <si>
    <t>PK/TK</t>
  </si>
  <si>
    <t>0836</t>
  </si>
  <si>
    <t>0841</t>
  </si>
  <si>
    <t>0811</t>
  </si>
  <si>
    <t>n/a</t>
  </si>
  <si>
    <t>0940</t>
  </si>
  <si>
    <t>JB</t>
  </si>
  <si>
    <t>0907</t>
  </si>
  <si>
    <t>0826</t>
  </si>
  <si>
    <t>0925</t>
  </si>
  <si>
    <t>SK</t>
  </si>
  <si>
    <t>0945</t>
  </si>
  <si>
    <t>1035</t>
  </si>
  <si>
    <t>1600</t>
  </si>
  <si>
    <t>1550</t>
  </si>
  <si>
    <t>0805</t>
  </si>
  <si>
    <t>Saturday</t>
  </si>
  <si>
    <t>Sunday</t>
  </si>
  <si>
    <t>DHE</t>
  </si>
  <si>
    <t>11/6/15-12/6/15</t>
  </si>
  <si>
    <t>Persistence Test followed by D&amp;F</t>
  </si>
  <si>
    <t>Sample Day</t>
  </si>
  <si>
    <t>Sample Collection Time</t>
  </si>
  <si>
    <t>Total Coliforms at Tap (CFU/100mL)</t>
  </si>
  <si>
    <t>Friday</t>
  </si>
  <si>
    <t>Inoculation</t>
  </si>
  <si>
    <t>Monday</t>
  </si>
  <si>
    <t>Tuesday</t>
  </si>
  <si>
    <t>Empty/flush tank (2x) and flush water lines at 10:00 am</t>
  </si>
  <si>
    <t>Wednesday</t>
  </si>
  <si>
    <t>Thursday</t>
  </si>
  <si>
    <t>Tank flushed with dechlorinated water after morning samples.</t>
  </si>
  <si>
    <t>Total Coliforms (12/3/15)</t>
  </si>
  <si>
    <t>Pre-decon</t>
  </si>
  <si>
    <t>Post-decon</t>
  </si>
  <si>
    <t>Sample ID</t>
  </si>
  <si>
    <t>Total Coliforms (CFU/100mL)</t>
  </si>
  <si>
    <t>C1 fitting</t>
  </si>
  <si>
    <t>C1 hose</t>
  </si>
  <si>
    <t>C2 fitting</t>
  </si>
  <si>
    <t>C2 hose</t>
  </si>
  <si>
    <t>C3 fitting</t>
  </si>
  <si>
    <t>C3 hose</t>
  </si>
  <si>
    <t>C4 fitting</t>
  </si>
  <si>
    <t>C4 hose</t>
  </si>
  <si>
    <t>C5 fitting</t>
  </si>
  <si>
    <t>C5 hose</t>
  </si>
  <si>
    <t>C6 fitting</t>
  </si>
  <si>
    <t>C6 hose</t>
  </si>
  <si>
    <t xml:space="preserve"> HPC (12/3/15)</t>
  </si>
  <si>
    <t>HPC (MPN/1.0mL)</t>
  </si>
  <si>
    <t>Log Reduction</t>
  </si>
  <si>
    <t>Mean Fitting</t>
  </si>
  <si>
    <t>Mean Hose</t>
  </si>
  <si>
    <t>*C2 Hose fitting was in the top of the tank and did not have direct contact with CLO2 (just gas phase)</t>
  </si>
  <si>
    <t>**Chlorine dioxide concentration during D&amp;F was 154 mg/L</t>
  </si>
  <si>
    <t>Fresh tank prepared</t>
  </si>
  <si>
    <t>Aircraft tank and tubing were disinfected with Purogene</t>
  </si>
  <si>
    <t>Labor Day Holiday</t>
  </si>
  <si>
    <t>Contaminant was injected</t>
  </si>
  <si>
    <r>
      <t>0.07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</si>
  <si>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0.17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</si>
  <si>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0.23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</si>
  <si>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(1) Sample taken from airline tank</t>
  </si>
  <si>
    <r>
      <t>0.02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</si>
  <si>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0.18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</si>
  <si>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0.19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</si>
  <si>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0.01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</si>
  <si>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0.08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</si>
  <si>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0.24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</si>
  <si>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0.03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</si>
  <si>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0.05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</si>
  <si>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0.11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</si>
  <si>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0.04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</si>
  <si>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Tank was emptied and refilled with Purogene</t>
  </si>
  <si>
    <t>(2)</t>
  </si>
  <si>
    <t>1545</t>
  </si>
  <si>
    <t>1630</t>
  </si>
  <si>
    <t>0935</t>
  </si>
  <si>
    <t>1625</t>
  </si>
  <si>
    <t>1530</t>
  </si>
  <si>
    <t>1620</t>
  </si>
  <si>
    <t>1650</t>
  </si>
  <si>
    <t>0839</t>
  </si>
  <si>
    <t xml:space="preserve">1645 </t>
  </si>
  <si>
    <t>1435</t>
  </si>
  <si>
    <t>1000</t>
  </si>
  <si>
    <t>1540</t>
  </si>
  <si>
    <t>0912</t>
  </si>
  <si>
    <t>1100</t>
  </si>
  <si>
    <t>Tank was refreshed with ammonium sulfate and bleach</t>
  </si>
  <si>
    <t>1335</t>
  </si>
  <si>
    <t>0854</t>
  </si>
  <si>
    <t>0934</t>
  </si>
  <si>
    <t>Topped off the tank</t>
  </si>
  <si>
    <t>1310</t>
  </si>
  <si>
    <t>1700</t>
  </si>
  <si>
    <t>Mix tank was drained at end of day</t>
  </si>
  <si>
    <t>0730</t>
  </si>
  <si>
    <t>Tank filled with dechlorinated city water</t>
  </si>
  <si>
    <t>0950</t>
  </si>
  <si>
    <t>Added 100 ml of E. coli to partially filled aircraft tank, then topped off from mix tank</t>
  </si>
  <si>
    <t>1350</t>
  </si>
  <si>
    <t>Collected HPC samples</t>
  </si>
  <si>
    <t>1005</t>
  </si>
  <si>
    <t>Mix tank was filled to seam and dechlorinated.</t>
  </si>
  <si>
    <t>1535</t>
  </si>
  <si>
    <t>1610</t>
  </si>
  <si>
    <t>1705</t>
  </si>
  <si>
    <t>1615</t>
  </si>
  <si>
    <t>1730</t>
  </si>
  <si>
    <t>Thanksgiving</t>
  </si>
  <si>
    <t>Holiday</t>
  </si>
  <si>
    <t>Purogene was prepared and the tank and lines were decontaminated</t>
  </si>
  <si>
    <t>Swab samples were collected</t>
  </si>
  <si>
    <t>1235</t>
  </si>
  <si>
    <t>0917</t>
  </si>
  <si>
    <t xml:space="preserve">1600 </t>
  </si>
  <si>
    <t>pm</t>
  </si>
  <si>
    <t>1425</t>
  </si>
  <si>
    <t>JEB</t>
  </si>
  <si>
    <t>1510</t>
  </si>
  <si>
    <t>1520</t>
  </si>
  <si>
    <t>0951</t>
  </si>
  <si>
    <t>1515</t>
  </si>
  <si>
    <t>Refilled the small tank and ran faucets</t>
  </si>
  <si>
    <t>Time (Minutes)</t>
  </si>
  <si>
    <t>Dilution Factor</t>
  </si>
  <si>
    <t>1/1000</t>
  </si>
  <si>
    <t>1/2000</t>
  </si>
  <si>
    <t xml:space="preserve">One-half quart of Purogene was mixed with one packet of citric acid </t>
  </si>
  <si>
    <t xml:space="preserve">The mixture was allowed to react, undiluted for 75 minutes. </t>
  </si>
  <si>
    <t>At predetermined time intervals, one milliliter of concentrate was removed and diluted to 1/1000.</t>
  </si>
  <si>
    <t>When readings exceeded 5.00 mg/L, the solution was diluted to 1/2000</t>
  </si>
  <si>
    <t xml:space="preserve">1510 </t>
  </si>
  <si>
    <t>1010</t>
  </si>
  <si>
    <t>0745</t>
  </si>
  <si>
    <t>1215</t>
  </si>
  <si>
    <t>1421</t>
  </si>
  <si>
    <t>Refreshed the mix tank</t>
  </si>
  <si>
    <t>Faucet First Flush</t>
  </si>
  <si>
    <t>After running faucets</t>
  </si>
  <si>
    <t>GCM</t>
  </si>
  <si>
    <t>1430</t>
  </si>
  <si>
    <t>1450</t>
  </si>
  <si>
    <t>0850</t>
  </si>
  <si>
    <t>1030</t>
  </si>
  <si>
    <t>1643</t>
  </si>
  <si>
    <t>1415</t>
  </si>
  <si>
    <t>0700</t>
  </si>
  <si>
    <t>1652</t>
  </si>
  <si>
    <t>GM</t>
  </si>
  <si>
    <t>1445</t>
  </si>
  <si>
    <t xml:space="preserve">1400 </t>
  </si>
  <si>
    <t>1715</t>
  </si>
  <si>
    <t>Refreshed large mix tank</t>
  </si>
  <si>
    <t>Drained and refilled small tank</t>
  </si>
  <si>
    <t>1420</t>
  </si>
  <si>
    <t xml:space="preserve">1615 </t>
  </si>
  <si>
    <t>High levels unexplained</t>
  </si>
  <si>
    <t>Test 2: Coliform Contamination in dechlorinated water, persistence over time, and D&amp;F with Purogene</t>
  </si>
  <si>
    <t>Test 3: Coliform Contamination in dechlorinated water and D&amp;F with Purogene</t>
  </si>
  <si>
    <t>Baseline sample before injection to ensure no coliforms present</t>
  </si>
  <si>
    <t>Inside Faucet</t>
  </si>
  <si>
    <t>Tank Coliform</t>
  </si>
  <si>
    <t>Faucet Coliform</t>
  </si>
  <si>
    <t>Fitting Swab Coliform</t>
  </si>
  <si>
    <t>Tubing Swab Coliform</t>
  </si>
  <si>
    <t>Fitting Swab HPC</t>
  </si>
  <si>
    <t>Tubing Swab HPC</t>
  </si>
  <si>
    <t>HPC dilutions were not made as they were expected to be lower, so we only know the bottom range</t>
  </si>
  <si>
    <t>Injected three coliforms, then normal operation unitl 2/10 D&amp;F</t>
  </si>
  <si>
    <t>Purogene from 13:15 to 15:15 (Faucet ClO2: 120 mg/L)</t>
  </si>
  <si>
    <t>0820</t>
  </si>
  <si>
    <t>1130</t>
  </si>
  <si>
    <t>Coliform bacteria were added to the airline tank</t>
  </si>
  <si>
    <t>The tank was drained and refilled with Purogene</t>
  </si>
  <si>
    <t>1612</t>
  </si>
  <si>
    <t>Free ammonia = 0.04 ppm</t>
  </si>
  <si>
    <t>Charged smaller tank with ozone</t>
  </si>
  <si>
    <r>
      <t>Tank = 1.36 ppm O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Faucet = 0.97 ppm O</t>
    </r>
    <r>
      <rPr>
        <sz val="8"/>
        <color theme="1"/>
        <rFont val="Calibri"/>
        <family val="2"/>
        <scheme val="minor"/>
      </rPr>
      <t>3</t>
    </r>
  </si>
  <si>
    <t>Left ozone in the tank to test decay</t>
  </si>
  <si>
    <t>1210</t>
  </si>
  <si>
    <t>Added additional bleach (4.0 ml) to tank</t>
  </si>
  <si>
    <t>0615</t>
  </si>
  <si>
    <t xml:space="preserve">1630 </t>
  </si>
  <si>
    <t>o.01</t>
  </si>
  <si>
    <t>0750</t>
  </si>
  <si>
    <t>1605</t>
  </si>
  <si>
    <t>1720</t>
  </si>
  <si>
    <t>1120</t>
  </si>
  <si>
    <t>Injected three coliforms, then normal operation unitl 3/16 D&amp;F</t>
  </si>
  <si>
    <t>&gt;7.38E+02</t>
  </si>
  <si>
    <t>Test 4: Coliform Contamination in dechlorinated water and D&amp;F with Ozone</t>
  </si>
  <si>
    <t xml:space="preserve">Ozone for 5 mintues,  1.25 mg/L at the faucet.  </t>
  </si>
  <si>
    <t>This sample came from the faucet that has been flushed for 5 min to get water from the tank.</t>
  </si>
  <si>
    <t>1015</t>
  </si>
  <si>
    <t>1150</t>
  </si>
  <si>
    <t>1645</t>
  </si>
  <si>
    <t>1020</t>
  </si>
  <si>
    <t>0817</t>
  </si>
  <si>
    <t>Tank was drained, purged and filled with GAC water</t>
  </si>
  <si>
    <t>am</t>
  </si>
  <si>
    <t>Aircraft tank was filled with GAC water - coliform added</t>
  </si>
  <si>
    <t>Baseline samples collected - ozonated the tank for 2 hrs.</t>
  </si>
  <si>
    <t>Added Purogene to the tank and let it sit for 2.5 hours</t>
  </si>
  <si>
    <t>Topped off the mix tank</t>
  </si>
  <si>
    <t>Drained and flushed the tank several times - 0.0 ClO2</t>
  </si>
  <si>
    <t>1710</t>
  </si>
  <si>
    <t>1655</t>
  </si>
  <si>
    <t>CB&amp;I Holiday</t>
  </si>
  <si>
    <t>0832</t>
  </si>
  <si>
    <t>1555</t>
  </si>
  <si>
    <t>1455</t>
  </si>
  <si>
    <t xml:space="preserve">1010 </t>
  </si>
  <si>
    <t>1200</t>
  </si>
  <si>
    <t xml:space="preserve">Refreshed the tank (TE-202 - page 07) </t>
  </si>
  <si>
    <t>1240</t>
  </si>
  <si>
    <t>1300</t>
  </si>
  <si>
    <t xml:space="preserve">Refreshed the tank (TE-202 - page 08) </t>
  </si>
  <si>
    <t>no</t>
  </si>
  <si>
    <t>yes</t>
  </si>
  <si>
    <t>1500</t>
  </si>
  <si>
    <t>unk.</t>
  </si>
  <si>
    <t xml:space="preserve">Ozone for 5 mintues,  1.04 mg/L at the faucet.  </t>
  </si>
  <si>
    <t>&gt;738</t>
  </si>
  <si>
    <t>same</t>
  </si>
  <si>
    <t>0.81 mg/L is too high - Tank was drained to 1/2 and refilled</t>
  </si>
  <si>
    <t>Tank was refilled with chlorinated water</t>
  </si>
  <si>
    <t>Drained small tank, refilled with dechlorinated water added e. coli</t>
  </si>
  <si>
    <t>Collected samples from fittings and faucets</t>
  </si>
  <si>
    <t>Decontaminated tank and feed lines using ozone and Purogene</t>
  </si>
  <si>
    <t>Flushed the airline tank and refilled with monochloramine water</t>
  </si>
  <si>
    <t>1345</t>
  </si>
  <si>
    <t>Purogene Formation Test (May 11, 2016)</t>
  </si>
  <si>
    <t>(mg/L)</t>
  </si>
  <si>
    <t xml:space="preserve">Chlorite </t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</si>
  <si>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</si>
  <si>
    <t>(min)</t>
  </si>
  <si>
    <r>
      <t>Stock ClO</t>
    </r>
    <r>
      <rPr>
        <vertAlign val="subscript"/>
        <sz val="11"/>
        <color theme="1"/>
        <rFont val="Calibri"/>
        <family val="2"/>
        <scheme val="minor"/>
      </rPr>
      <t>2</t>
    </r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</si>
  <si>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diluted in the tank</t>
    </r>
  </si>
  <si>
    <t xml:space="preserve">Dilution factor </t>
  </si>
  <si>
    <t>Purogene Formation Test (May 17, 2016)</t>
  </si>
  <si>
    <t>Bottles Needed for 100 ppm</t>
  </si>
  <si>
    <t>#</t>
  </si>
  <si>
    <t>Not Analyzed</t>
  </si>
  <si>
    <t>Purogene Formation Test (June 22, 2016)</t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</si>
  <si>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diluted in the tank (inlcuding chlorite)</t>
    </r>
  </si>
  <si>
    <t>1/4000</t>
  </si>
  <si>
    <t>Purogene Formation Test (June 27, 2016)</t>
  </si>
  <si>
    <t>*test strips used</t>
  </si>
  <si>
    <t>Monochloramine</t>
  </si>
  <si>
    <t>not taken</t>
  </si>
  <si>
    <t>gallons</t>
  </si>
  <si>
    <t xml:space="preserve">gallons </t>
  </si>
  <si>
    <t>Afternoon sample was forgotten</t>
  </si>
  <si>
    <t>Tank too low to sample</t>
  </si>
  <si>
    <t>no samples were taken.</t>
  </si>
  <si>
    <t xml:space="preserve">no afternoon samples were taken. </t>
  </si>
  <si>
    <t>no packets</t>
  </si>
  <si>
    <t>Tank was not topped off at end of day</t>
  </si>
  <si>
    <t>no samples were taken. from the faucets</t>
  </si>
  <si>
    <t>no samples were taken. - empty tank</t>
  </si>
  <si>
    <t>The tank was drained and refilled with monochloramine water</t>
  </si>
  <si>
    <t xml:space="preserve">no samples - Tank was drained to 50% and refreshed. </t>
  </si>
  <si>
    <t>no samples were taken..</t>
  </si>
  <si>
    <t>Did not sample aircraft tank</t>
  </si>
  <si>
    <t>Prepared mix tank full of Monochloramine water</t>
  </si>
  <si>
    <t>refilled tank with monochloramine in afternoon</t>
  </si>
  <si>
    <t>afternoon</t>
  </si>
  <si>
    <t>unknown</t>
  </si>
  <si>
    <t xml:space="preserve">Prepped the mix tank with monochloramine </t>
  </si>
  <si>
    <t>no samples were collected from the faucet</t>
  </si>
  <si>
    <t>1145</t>
  </si>
  <si>
    <t>1025</t>
  </si>
  <si>
    <t>Free Ammonia - 0.10 mg/L</t>
  </si>
  <si>
    <t>0725</t>
  </si>
  <si>
    <t>1330</t>
  </si>
  <si>
    <t>1400</t>
  </si>
  <si>
    <t>Drained and refilled the aircraft tank</t>
  </si>
  <si>
    <t>4 ml ammonium sulfate solution into 500 gal. water</t>
  </si>
  <si>
    <t>Drained and refilled aircraft tank</t>
  </si>
  <si>
    <t>1107</t>
  </si>
  <si>
    <t>Added 4 ml ammonium sulfate</t>
  </si>
  <si>
    <t>Topped off the tank with tap water</t>
  </si>
  <si>
    <t>0.800</t>
  </si>
  <si>
    <t>no analysis</t>
  </si>
  <si>
    <t>Not sampled</t>
  </si>
  <si>
    <t>Tank was emptied-Start over with fresh tank</t>
  </si>
  <si>
    <t>1524</t>
  </si>
  <si>
    <t>Conducting a test - Introducing pathogens</t>
  </si>
  <si>
    <t>Disinfecting tank and supply lines using Purogene</t>
  </si>
  <si>
    <t>Pepared a new tank - filled aircraft tank from mix tank</t>
  </si>
  <si>
    <t>Independence Day</t>
  </si>
  <si>
    <t>1017</t>
  </si>
  <si>
    <t>Injected three coliforms, then normal operation unitl 6/29 D&amp;F</t>
  </si>
  <si>
    <t>&gt;200</t>
  </si>
  <si>
    <t>Added 1.0 ml Clorox bleach to the tank and mixed for 5 minutes</t>
  </si>
  <si>
    <t>1635</t>
  </si>
  <si>
    <t>Added 4.0 ml of  Clorox bleach</t>
  </si>
  <si>
    <t>0806</t>
  </si>
  <si>
    <t>Added 7.0 ml of  Clorox bleach</t>
  </si>
  <si>
    <t>1640</t>
  </si>
  <si>
    <t>0838</t>
  </si>
  <si>
    <t>Added 8.0 ml of  Clorox bleach</t>
  </si>
  <si>
    <t>Dropped the level in the tank to the seam and refilled it with tap water after adding 4.0 ml. ammonium sulfate</t>
  </si>
  <si>
    <t>Added 10.0 ml of  Clorox bleach</t>
  </si>
  <si>
    <t>1340</t>
  </si>
  <si>
    <t>Added 15.0 ml of  Clorox bleach</t>
  </si>
  <si>
    <t>Drained the tank to the seam and refilled it with  tap water after adding 4.0 ml. ammonium sulfate and 15.0 ml Clorox</t>
  </si>
  <si>
    <t>No faucet sample was taken</t>
  </si>
  <si>
    <t>Topped off smaller tank</t>
  </si>
  <si>
    <t>1011</t>
  </si>
  <si>
    <t>1325</t>
  </si>
  <si>
    <t>Added 20.0 ml of  Clorox bleach</t>
  </si>
  <si>
    <t>0650</t>
  </si>
  <si>
    <t>1543</t>
  </si>
  <si>
    <t>Drained the tank to the seam and refilled it with  tap water after adding 5.0 ml. ammonium sulfate and 15.0 ml Clorox</t>
  </si>
  <si>
    <t xml:space="preserve">Partially drained the aircraft tank and refilled it from the holding tank. </t>
  </si>
  <si>
    <t>0702</t>
  </si>
  <si>
    <t>1501</t>
  </si>
  <si>
    <t>1525</t>
  </si>
  <si>
    <t>Drained the tank to the seam and refilled it with  tap water after adding 5.0 ml. ammonium sulfate and 20.0 ml Clorox</t>
  </si>
  <si>
    <t>0743</t>
  </si>
  <si>
    <t>no sample</t>
  </si>
  <si>
    <t>1040</t>
  </si>
  <si>
    <t>1147</t>
  </si>
  <si>
    <t>`0.02</t>
  </si>
  <si>
    <t>0727</t>
  </si>
  <si>
    <t>No samples were taken.</t>
  </si>
  <si>
    <t>0645</t>
  </si>
  <si>
    <t>Drained the tank to the seam and refilled it with  tap water after adding 5.0 ml. ammonium sulfate and 25.0 ml Clorox</t>
  </si>
  <si>
    <t>0910</t>
  </si>
  <si>
    <t>Added 25.0 ml of  Clorox bleach</t>
  </si>
  <si>
    <t>Data Summary</t>
  </si>
  <si>
    <r>
      <t>ClO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</si>
  <si>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Chlorite</t>
  </si>
  <si>
    <t>(mg/)</t>
  </si>
  <si>
    <t>One Purogene bottle diluted in 40 gal tank</t>
  </si>
  <si>
    <r>
      <t>ClO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 xml:space="preserve">Concentration </t>
    </r>
  </si>
  <si>
    <t>Monday 07/11/2016: Residual coliforms in sterile water</t>
  </si>
  <si>
    <t>Monday 07/11/2016: Residual coliforms in sterile water (with brushing)</t>
  </si>
  <si>
    <t>Large Well</t>
  </si>
  <si>
    <t>Small Well</t>
  </si>
  <si>
    <t>MPN/100 ml</t>
  </si>
  <si>
    <t>10^5 Stock</t>
  </si>
  <si>
    <t>10^8 Stock</t>
  </si>
  <si>
    <t>Test 1 Residual in Water</t>
  </si>
  <si>
    <t>Test 10 Residual in Water</t>
  </si>
  <si>
    <t>Test 2 Residual in Water</t>
  </si>
  <si>
    <t>Test 11 Residual in Water</t>
  </si>
  <si>
    <t>Test 3 Residual in Water</t>
  </si>
  <si>
    <t>Test 12 Residual in Water</t>
  </si>
  <si>
    <t>Average</t>
  </si>
  <si>
    <t>St. Dev</t>
  </si>
  <si>
    <t>Wednesday 07/13/2016: Residual coliforms in Glycosan and Lysol</t>
  </si>
  <si>
    <t>Wednesday 07/13/2016: Residual coliforms in Glycosan and Lysol (with brushing)</t>
  </si>
  <si>
    <t>Test 4 Residual in Glyocsan</t>
  </si>
  <si>
    <t>Test 13 Residual in Glyocsan</t>
  </si>
  <si>
    <t>Test 5 Residual in Glycosan</t>
  </si>
  <si>
    <t>Test 14 Residual in Glycosan</t>
  </si>
  <si>
    <t>Test 6 Residual in Glycosan</t>
  </si>
  <si>
    <t>Test 15 Residual in Glycosan</t>
  </si>
  <si>
    <t>Test 7 Residual in Lysol</t>
  </si>
  <si>
    <t>Test 16 Residual in Lysol</t>
  </si>
  <si>
    <t>Test 8 Residual in Lysol</t>
  </si>
  <si>
    <t>Test 17 Residual in Lysol</t>
  </si>
  <si>
    <t>Test 9 Residual in Lysol</t>
  </si>
  <si>
    <t>Test 18 Residual in Lysol</t>
  </si>
  <si>
    <t>No Brushing</t>
  </si>
  <si>
    <t>With Brushing</t>
  </si>
  <si>
    <t>st dev</t>
  </si>
  <si>
    <t>Stdev</t>
  </si>
  <si>
    <t>Coliforms in aerator soaking solution</t>
  </si>
  <si>
    <t>Coliforms removed from aerator after water rinse</t>
  </si>
  <si>
    <t>Coliforms removed from aerator after Glycosan disinfection</t>
  </si>
  <si>
    <t>Coliforms removed from aerator after Lysol disinfection</t>
  </si>
  <si>
    <t>&lt;1</t>
  </si>
  <si>
    <t xml:space="preserve">Surface disinfection rule 878.1010 calls for this.  They are measuring total available chlorine dixoide.  </t>
  </si>
  <si>
    <t xml:space="preserve">Purogene labeled as chlorine dioxide, but some is free chlorine dioxide, not available chlorine dioxide.  As you use free chlorine dioxide, available chlorine dioxide converts to free.  </t>
  </si>
  <si>
    <t>free cl02 + available cl02 (chlorite?)=total cl02</t>
  </si>
  <si>
    <t>5 mol chlorite yields 4 mol chlorine dioxide</t>
  </si>
  <si>
    <t>No faucet sample taken</t>
  </si>
  <si>
    <t>1220</t>
  </si>
  <si>
    <t>partially drained the prep tank and refilled it with tap water</t>
  </si>
  <si>
    <t>1253</t>
  </si>
  <si>
    <t>No Tank Sample</t>
  </si>
  <si>
    <t>1835</t>
  </si>
  <si>
    <t>Drained the tank to the seam and refilled it with  tap water after adding 5.0 ml. ammonium sulfate and 30.0 ml Clorox</t>
  </si>
  <si>
    <t>Topped off aircraft tank after partially draining</t>
  </si>
  <si>
    <t>1505</t>
  </si>
  <si>
    <t>Added 20 ml Clorox</t>
  </si>
  <si>
    <t>Purogene for 2 hrs 140 mg/L</t>
  </si>
  <si>
    <t>Purogene for 2 hrs 18 mg/L</t>
  </si>
  <si>
    <t xml:space="preserve">Inoculation </t>
  </si>
  <si>
    <t>Disinfectant Concentration</t>
  </si>
  <si>
    <t>Ozone/5 min</t>
  </si>
  <si>
    <t>Purogene/2hrs</t>
  </si>
  <si>
    <t>Purogene/2 hrs</t>
  </si>
  <si>
    <t>ND</t>
  </si>
  <si>
    <t>Disinfectant and Contact Time</t>
  </si>
  <si>
    <t>Inside Faucet Coliform Sampling</t>
  </si>
  <si>
    <t>Aerator Coliform Sampling</t>
  </si>
  <si>
    <t>ND: None detected (detection limit 1 MPN/100ml)</t>
  </si>
  <si>
    <t>1 and 2 MPN/ml were detected in faucet water one day after decon with two ozone tests</t>
  </si>
  <si>
    <t>Purogene 120 mg/L</t>
  </si>
  <si>
    <t>Purogene 140 mg/L</t>
  </si>
  <si>
    <t>Purogene 18 mg/L</t>
  </si>
  <si>
    <t>ozone 1.25 mg/L</t>
  </si>
  <si>
    <t>ozone 1.04 mg/L</t>
  </si>
  <si>
    <t>Post Decon HPC</t>
  </si>
  <si>
    <t>% Reduction</t>
  </si>
  <si>
    <t>log reduction</t>
  </si>
  <si>
    <t>&gt;5.3</t>
  </si>
  <si>
    <t>&gt;4.3</t>
  </si>
  <si>
    <t>N/A</t>
  </si>
  <si>
    <t>Increase</t>
  </si>
  <si>
    <t>&gt;2.5</t>
  </si>
  <si>
    <t>&gt;1.3</t>
  </si>
  <si>
    <t>&gt;0.5</t>
  </si>
  <si>
    <t>Drained mix tank and refilled with GAC water</t>
  </si>
  <si>
    <t>Introduced e. coli to aircraft tank</t>
  </si>
  <si>
    <t>Drained tank ADWS, deconned with one bottle of Purogene</t>
  </si>
  <si>
    <t>Yes</t>
  </si>
  <si>
    <t>1815</t>
  </si>
  <si>
    <t>Drained the prep tank to middle seam, refilled with tap water.  Added 5.0 ml Ammonium sulfate and 25 ml. bleach</t>
  </si>
  <si>
    <t>No aircraft tank samples taken</t>
  </si>
  <si>
    <t>No</t>
  </si>
  <si>
    <t>1230</t>
  </si>
  <si>
    <t>1250</t>
  </si>
  <si>
    <t>1315</t>
  </si>
  <si>
    <t>Drained aircraft tank and refilled</t>
  </si>
  <si>
    <t>Ran faucets and coffee pot to purge lines</t>
  </si>
  <si>
    <t>Chlorite Concentration</t>
  </si>
  <si>
    <t>St. Dev.</t>
  </si>
  <si>
    <t>Max</t>
  </si>
  <si>
    <t>Min</t>
  </si>
  <si>
    <t>Median</t>
  </si>
  <si>
    <t>Fitting/Tubing Coliform Sampling (all six points**)</t>
  </si>
  <si>
    <t>**Six fitting and six tubing sections were swabbed during each experiment. No coliforms were detected in any swab samples after disinfection</t>
  </si>
  <si>
    <t>*Mean/Standard deviaiton are from eight samples from both the tap and tank</t>
  </si>
  <si>
    <t>Coliform Inoculation* (MPN/100 ml)</t>
  </si>
  <si>
    <t>Mean</t>
  </si>
  <si>
    <t>HPC (MPN)</t>
  </si>
  <si>
    <t>Averages</t>
  </si>
  <si>
    <t>TTEST</t>
  </si>
  <si>
    <t>T-Test</t>
  </si>
  <si>
    <t>Tap Water Feed Tank (mg/L)</t>
  </si>
  <si>
    <t>Aircraft Faucet (mg/L)</t>
  </si>
  <si>
    <t>Free Chlorine</t>
  </si>
  <si>
    <t>Total Chlorine</t>
  </si>
  <si>
    <r>
      <t>Nitrite: 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(mg/L)</t>
    </r>
  </si>
  <si>
    <r>
      <t>Nitrate: 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(mg/L)</t>
    </r>
  </si>
  <si>
    <t>Heterotrophic Plate Count: HPC (MPN/ml)</t>
  </si>
  <si>
    <t>Chlorine Dioxide Reading</t>
  </si>
  <si>
    <t>Stock concentration (mg/L)</t>
  </si>
  <si>
    <t>Aircraft Tank Concentration (mg/L)</t>
  </si>
  <si>
    <r>
      <t>Chlorine Dioxide ClO</t>
    </r>
    <r>
      <rPr>
        <vertAlign val="subscript"/>
        <sz val="11"/>
        <color theme="1"/>
        <rFont val="Calibri"/>
        <family val="2"/>
        <scheme val="minor"/>
      </rPr>
      <t>2</t>
    </r>
  </si>
  <si>
    <r>
      <t>ClO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 Chlorine Dioxide</t>
    </r>
  </si>
  <si>
    <r>
      <t>ClO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Standard Deviation</t>
    </r>
  </si>
  <si>
    <t>Chlorite Standard Deviation</t>
  </si>
  <si>
    <t>Starting Concentration</t>
  </si>
  <si>
    <t>MPN: Most Probable Number</t>
  </si>
  <si>
    <t>HPC: Heterotrophic Plate Count</t>
  </si>
  <si>
    <t>D&amp;F: Disinfection and Flushing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</si>
</sst>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h:mm;@"/>
    <numFmt numFmtId="166" formatCode="[$-409]m/d/yy\ h:mm\ AM/PM;@"/>
    <numFmt numFmtId="167" formatCode="0.0E+00"/>
    <numFmt numFmtId="168" formatCode="#,##0.0"/>
    <numFmt numFmtId="169" formatCode="0.0000%"/>
    <numFmt numFmtId="170" formatCode="0.00000"/>
  </numFmts>
  <fonts count="1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</cellStyleXfs>
  <cellXfs count="3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ill="1" applyBorder="1"/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Alignment="1"/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4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4" fontId="0" fillId="2" borderId="3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1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  <xf numFmtId="1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4" fontId="0" fillId="4" borderId="3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1" fontId="0" fillId="4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0" fontId="3" fillId="0" borderId="3" xfId="1" applyBorder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Border="1" applyAlignment="1">
      <alignment horizontal="left" indent="2"/>
    </xf>
    <xf numFmtId="2" fontId="0" fillId="0" borderId="1" xfId="0" applyNumberFormat="1" applyBorder="1" applyAlignment="1">
      <alignment horizontal="left" indent="2"/>
    </xf>
    <xf numFmtId="2" fontId="0" fillId="0" borderId="3" xfId="0" applyNumberFormat="1" applyBorder="1" applyAlignment="1">
      <alignment horizontal="left" indent="2"/>
    </xf>
    <xf numFmtId="2" fontId="0" fillId="0" borderId="4" xfId="0" applyNumberFormat="1" applyBorder="1" applyAlignment="1">
      <alignment horizontal="left" indent="2"/>
    </xf>
    <xf numFmtId="2" fontId="0" fillId="0" borderId="0" xfId="0" applyNumberFormat="1" applyAlignment="1">
      <alignment horizontal="left" indent="2"/>
    </xf>
    <xf numFmtId="2" fontId="0" fillId="5" borderId="0" xfId="0" applyNumberFormat="1" applyFill="1" applyAlignment="1">
      <alignment horizontal="left" indent="2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 indent="2"/>
    </xf>
    <xf numFmtId="14" fontId="0" fillId="0" borderId="0" xfId="0" applyNumberFormat="1" applyFill="1" applyAlignment="1">
      <alignment horizontal="center"/>
    </xf>
    <xf numFmtId="0" fontId="0" fillId="0" borderId="6" xfId="0" applyBorder="1"/>
    <xf numFmtId="11" fontId="0" fillId="0" borderId="6" xfId="0" applyNumberFormat="1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1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1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1" fontId="0" fillId="0" borderId="11" xfId="0" applyNumberFormat="1" applyFill="1" applyBorder="1" applyAlignment="1">
      <alignment horizontal="center" vertical="center" wrapText="1"/>
    </xf>
    <xf numFmtId="167" fontId="0" fillId="0" borderId="11" xfId="0" applyNumberFormat="1" applyFill="1" applyBorder="1" applyAlignment="1">
      <alignment horizontal="center"/>
    </xf>
    <xf numFmtId="0" fontId="2" fillId="0" borderId="0" xfId="0" applyFont="1"/>
    <xf numFmtId="0" fontId="0" fillId="0" borderId="2" xfId="0" applyFill="1" applyBorder="1"/>
    <xf numFmtId="167" fontId="0" fillId="0" borderId="15" xfId="0" applyNumberFormat="1" applyFill="1" applyBorder="1" applyAlignment="1">
      <alignment horizontal="center"/>
    </xf>
    <xf numFmtId="0" fontId="0" fillId="0" borderId="0" xfId="0" applyFill="1" applyBorder="1"/>
    <xf numFmtId="1" fontId="2" fillId="0" borderId="0" xfId="0" applyNumberFormat="1" applyFon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3" borderId="19" xfId="0" applyFill="1" applyBorder="1"/>
    <xf numFmtId="167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6" borderId="0" xfId="0" applyFill="1" applyBorder="1"/>
    <xf numFmtId="167" fontId="0" fillId="6" borderId="0" xfId="0" applyNumberFormat="1" applyFill="1" applyBorder="1" applyAlignment="1">
      <alignment horizontal="center"/>
    </xf>
    <xf numFmtId="11" fontId="0" fillId="0" borderId="0" xfId="0" applyNumberFormat="1"/>
    <xf numFmtId="0" fontId="2" fillId="0" borderId="12" xfId="0" applyFont="1" applyBorder="1" applyAlignment="1">
      <alignment horizont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0" borderId="0" xfId="0" applyNumberFormat="1" applyBorder="1"/>
    <xf numFmtId="2" fontId="0" fillId="0" borderId="11" xfId="0" applyNumberFormat="1" applyFill="1" applyBorder="1" applyAlignment="1">
      <alignment horizontal="center"/>
    </xf>
    <xf numFmtId="168" fontId="0" fillId="0" borderId="0" xfId="0" applyNumberFormat="1" applyAlignment="1">
      <alignment horizontal="left"/>
    </xf>
    <xf numFmtId="168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0" xfId="0" applyAlignment="1"/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11" fontId="0" fillId="9" borderId="0" xfId="0" applyNumberFormat="1" applyFill="1" applyAlignment="1">
      <alignment horizontal="center"/>
    </xf>
    <xf numFmtId="11" fontId="0" fillId="9" borderId="3" xfId="0" applyNumberFormat="1" applyFill="1" applyBorder="1" applyAlignment="1">
      <alignment horizontal="center"/>
    </xf>
    <xf numFmtId="11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10" fillId="9" borderId="11" xfId="0" applyNumberFormat="1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0" borderId="11" xfId="0" applyFont="1" applyFill="1" applyBorder="1"/>
    <xf numFmtId="2" fontId="0" fillId="10" borderId="11" xfId="0" applyNumberFormat="1" applyFill="1" applyBorder="1"/>
    <xf numFmtId="2" fontId="0" fillId="10" borderId="11" xfId="0" applyNumberFormat="1" applyFont="1" applyFill="1" applyBorder="1"/>
    <xf numFmtId="168" fontId="0" fillId="0" borderId="11" xfId="0" applyNumberFormat="1" applyFont="1" applyBorder="1" applyAlignment="1">
      <alignment horizontal="center"/>
    </xf>
    <xf numFmtId="0" fontId="0" fillId="10" borderId="11" xfId="0" applyFill="1" applyBorder="1"/>
    <xf numFmtId="2" fontId="0" fillId="10" borderId="0" xfId="0" applyNumberFormat="1" applyFill="1"/>
    <xf numFmtId="168" fontId="0" fillId="0" borderId="0" xfId="0" applyNumberFormat="1" applyAlignment="1">
      <alignment horizontal="center"/>
    </xf>
    <xf numFmtId="0" fontId="0" fillId="10" borderId="0" xfId="0" applyFill="1"/>
    <xf numFmtId="0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11" fontId="0" fillId="0" borderId="0" xfId="0" applyNumberFormat="1" applyFill="1"/>
    <xf numFmtId="164" fontId="0" fillId="0" borderId="0" xfId="0" applyNumberFormat="1" applyAlignment="1">
      <alignment horizontal="center"/>
    </xf>
    <xf numFmtId="49" fontId="0" fillId="11" borderId="11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10" borderId="12" xfId="0" applyNumberFormat="1" applyFill="1" applyBorder="1"/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quotePrefix="1" applyNumberForma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2" fontId="0" fillId="0" borderId="0" xfId="0" applyNumberFormat="1"/>
    <xf numFmtId="2" fontId="0" fillId="0" borderId="3" xfId="0" applyNumberFormat="1" applyBorder="1"/>
    <xf numFmtId="10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0" xfId="0" applyNumberFormat="1" applyAlignment="1">
      <alignment horizontal="center"/>
    </xf>
    <xf numFmtId="49" fontId="0" fillId="12" borderId="11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167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0" fillId="0" borderId="16" xfId="0" applyNumberFormat="1" applyBorder="1" applyAlignment="1"/>
    <xf numFmtId="2" fontId="0" fillId="0" borderId="17" xfId="0" applyNumberFormat="1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7" xfId="0" applyBorder="1" applyAlignment="1"/>
    <xf numFmtId="2" fontId="0" fillId="0" borderId="14" xfId="0" applyNumberFormat="1" applyBorder="1" applyAlignment="1"/>
    <xf numFmtId="49" fontId="0" fillId="0" borderId="16" xfId="0" applyNumberFormat="1" applyFont="1" applyBorder="1" applyAlignment="1"/>
    <xf numFmtId="49" fontId="0" fillId="0" borderId="17" xfId="0" applyNumberFormat="1" applyFont="1" applyBorder="1" applyAlignment="1"/>
    <xf numFmtId="49" fontId="0" fillId="0" borderId="16" xfId="0" applyNumberFormat="1" applyBorder="1" applyAlignment="1"/>
    <xf numFmtId="49" fontId="0" fillId="0" borderId="14" xfId="0" applyNumberFormat="1" applyBorder="1" applyAlignment="1"/>
    <xf numFmtId="49" fontId="0" fillId="0" borderId="17" xfId="0" applyNumberFormat="1" applyBorder="1" applyAlignment="1"/>
    <xf numFmtId="0" fontId="0" fillId="6" borderId="16" xfId="0" applyFill="1" applyBorder="1" applyAlignment="1"/>
    <xf numFmtId="0" fontId="0" fillId="6" borderId="14" xfId="0" applyFill="1" applyBorder="1" applyAlignment="1"/>
    <xf numFmtId="0" fontId="0" fillId="6" borderId="17" xfId="0" applyFill="1" applyBorder="1" applyAlignment="1"/>
    <xf numFmtId="0" fontId="8" fillId="0" borderId="16" xfId="0" applyFont="1" applyBorder="1" applyAlignment="1"/>
    <xf numFmtId="0" fontId="8" fillId="0" borderId="14" xfId="0" applyFont="1" applyBorder="1" applyAlignment="1"/>
    <xf numFmtId="0" fontId="8" fillId="0" borderId="17" xfId="0" applyFont="1" applyBorder="1" applyAlignment="1"/>
    <xf numFmtId="0" fontId="0" fillId="0" borderId="16" xfId="0" applyFill="1" applyBorder="1" applyAlignment="1"/>
    <xf numFmtId="0" fontId="0" fillId="0" borderId="14" xfId="0" applyFill="1" applyBorder="1" applyAlignment="1"/>
    <xf numFmtId="0" fontId="0" fillId="0" borderId="17" xfId="0" applyFill="1" applyBorder="1" applyAlignment="1"/>
    <xf numFmtId="0" fontId="0" fillId="9" borderId="16" xfId="0" applyFill="1" applyBorder="1" applyAlignment="1"/>
    <xf numFmtId="0" fontId="0" fillId="9" borderId="14" xfId="0" applyFill="1" applyBorder="1" applyAlignment="1"/>
    <xf numFmtId="0" fontId="0" fillId="9" borderId="17" xfId="0" applyFill="1" applyBorder="1" applyAlignment="1"/>
    <xf numFmtId="0" fontId="0" fillId="8" borderId="16" xfId="0" applyFill="1" applyBorder="1" applyAlignment="1"/>
    <xf numFmtId="0" fontId="0" fillId="8" borderId="14" xfId="0" applyFill="1" applyBorder="1" applyAlignment="1"/>
    <xf numFmtId="0" fontId="0" fillId="8" borderId="17" xfId="0" applyFill="1" applyBorder="1" applyAlignment="1"/>
    <xf numFmtId="2" fontId="0" fillId="11" borderId="16" xfId="0" applyNumberFormat="1" applyFill="1" applyBorder="1" applyAlignment="1"/>
    <xf numFmtId="2" fontId="0" fillId="11" borderId="14" xfId="0" applyNumberFormat="1" applyFill="1" applyBorder="1" applyAlignment="1"/>
    <xf numFmtId="2" fontId="0" fillId="11" borderId="17" xfId="0" applyNumberFormat="1" applyFill="1" applyBorder="1" applyAlignment="1"/>
    <xf numFmtId="2" fontId="0" fillId="0" borderId="11" xfId="0" applyNumberFormat="1" applyBorder="1" applyAlignment="1"/>
    <xf numFmtId="2" fontId="0" fillId="0" borderId="0" xfId="0" applyNumberFormat="1" applyAlignment="1"/>
    <xf numFmtId="0" fontId="0" fillId="6" borderId="21" xfId="0" applyFill="1" applyBorder="1" applyAlignment="1"/>
    <xf numFmtId="0" fontId="0" fillId="6" borderId="15" xfId="0" applyFill="1" applyBorder="1" applyAlignment="1"/>
    <xf numFmtId="0" fontId="0" fillId="6" borderId="20" xfId="0" applyFill="1" applyBorder="1" applyAlignment="1"/>
    <xf numFmtId="0" fontId="0" fillId="0" borderId="11" xfId="0" applyFill="1" applyBorder="1" applyAlignmen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2" fontId="0" fillId="0" borderId="16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8" borderId="16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2" fontId="0" fillId="11" borderId="16" xfId="0" applyNumberFormat="1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2" fontId="0" fillId="11" borderId="17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41447944006998"/>
          <c:y val="0.17171296296296298"/>
          <c:w val="0.83891885389326337"/>
          <c:h val="0.6714577865266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'Other Parameters'!$F$71</c:f>
                <c:numCache>
                  <c:formatCode>General</c:formatCode>
                  <c:ptCount val="1"/>
                  <c:pt idx="0">
                    <c:v>14117.654473834971</c:v>
                  </c:pt>
                </c:numCache>
              </c:numRef>
            </c:plus>
            <c:minus>
              <c:numRef>
                <c:f>'Other Parameters'!$F$71</c:f>
                <c:numCache>
                  <c:formatCode>General</c:formatCode>
                  <c:ptCount val="1"/>
                  <c:pt idx="0">
                    <c:v>14117.654473834971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'Other Parameters'!$F$70</c:f>
              <c:numCache>
                <c:formatCode>0.0E+00</c:formatCode>
                <c:ptCount val="1"/>
                <c:pt idx="0">
                  <c:v>3646.25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B85-9B37-CEB41132A45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'Other Parameters'!$G$71</c:f>
                <c:numCache>
                  <c:formatCode>General</c:formatCode>
                  <c:ptCount val="1"/>
                  <c:pt idx="0">
                    <c:v>65242.212432121189</c:v>
                  </c:pt>
                </c:numCache>
              </c:numRef>
            </c:plus>
            <c:minus>
              <c:numRef>
                <c:f>'Other Parameters'!$G$71</c:f>
                <c:numCache>
                  <c:formatCode>General</c:formatCode>
                  <c:ptCount val="1"/>
                  <c:pt idx="0">
                    <c:v>65242.212432121189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'Other Parameters'!$G$70</c:f>
              <c:numCache>
                <c:formatCode>0.0E+00</c:formatCode>
                <c:ptCount val="1"/>
                <c:pt idx="0">
                  <c:v>63118.910714285717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C4-4B85-9B37-CEB41132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536608"/>
        <c:axId val="507537920"/>
      </c:barChart>
      <c:catAx>
        <c:axId val="507536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37920"/>
        <c:crosses val="autoZero"/>
        <c:auto val="1"/>
        <c:lblAlgn val="ctr"/>
        <c:lblOffset val="100"/>
        <c:noMultiLvlLbl val="0"/>
      </c:catAx>
      <c:valAx>
        <c:axId val="5075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3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8670166229222"/>
          <c:y val="5.0925925925925923E-2"/>
          <c:w val="0.72722659667541556"/>
          <c:h val="0.79905876348789739"/>
        </c:manualLayout>
      </c:layout>
      <c:scatterChart>
        <c:scatterStyle val="lineMarker"/>
        <c:varyColors val="0"/>
        <c:ser>
          <c:idx val="0"/>
          <c:order val="0"/>
          <c:tx>
            <c:v>Chlorine Dioxide (mg/L)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'Purogene '!$C$90:$C$102</c:f>
                <c:numCache>
                  <c:formatCode>General</c:formatCode>
                  <c:ptCount val="13"/>
                  <c:pt idx="0">
                    <c:v>539.01144081859059</c:v>
                  </c:pt>
                  <c:pt idx="1">
                    <c:v>715.82120672693122</c:v>
                  </c:pt>
                  <c:pt idx="2">
                    <c:v>774.8548251124206</c:v>
                  </c:pt>
                  <c:pt idx="3">
                    <c:v>780.34180545023719</c:v>
                  </c:pt>
                  <c:pt idx="4">
                    <c:v>771.05987662005589</c:v>
                  </c:pt>
                  <c:pt idx="5">
                    <c:v>841.98178919340546</c:v>
                  </c:pt>
                  <c:pt idx="6">
                    <c:v>661.6141876753652</c:v>
                  </c:pt>
                  <c:pt idx="7">
                    <c:v>410.04064839151414</c:v>
                  </c:pt>
                  <c:pt idx="8">
                    <c:v>747.26166769077622</c:v>
                  </c:pt>
                  <c:pt idx="9">
                    <c:v>539.01144081859093</c:v>
                  </c:pt>
                  <c:pt idx="10">
                    <c:v>637.91326474163702</c:v>
                  </c:pt>
                  <c:pt idx="11">
                    <c:v>830.02008007838776</c:v>
                  </c:pt>
                  <c:pt idx="12">
                    <c:v>397.15656022950617</c:v>
                  </c:pt>
                </c:numCache>
              </c:numRef>
            </c:plus>
            <c:minus>
              <c:numRef>
                <c:f>'Purogene '!$C$90:$C$102</c:f>
                <c:numCache>
                  <c:formatCode>General</c:formatCode>
                  <c:ptCount val="13"/>
                  <c:pt idx="0">
                    <c:v>539.01144081859059</c:v>
                  </c:pt>
                  <c:pt idx="1">
                    <c:v>715.82120672693122</c:v>
                  </c:pt>
                  <c:pt idx="2">
                    <c:v>774.8548251124206</c:v>
                  </c:pt>
                  <c:pt idx="3">
                    <c:v>780.34180545023719</c:v>
                  </c:pt>
                  <c:pt idx="4">
                    <c:v>771.05987662005589</c:v>
                  </c:pt>
                  <c:pt idx="5">
                    <c:v>841.98178919340546</c:v>
                  </c:pt>
                  <c:pt idx="6">
                    <c:v>661.6141876753652</c:v>
                  </c:pt>
                  <c:pt idx="7">
                    <c:v>410.04064839151414</c:v>
                  </c:pt>
                  <c:pt idx="8">
                    <c:v>747.26166769077622</c:v>
                  </c:pt>
                  <c:pt idx="9">
                    <c:v>539.01144081859093</c:v>
                  </c:pt>
                  <c:pt idx="10">
                    <c:v>637.91326474163702</c:v>
                  </c:pt>
                  <c:pt idx="11">
                    <c:v>830.02008007838776</c:v>
                  </c:pt>
                  <c:pt idx="12">
                    <c:v>397.15656022950617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'Purogene '!$A$90:$A$102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120</c:v>
                </c:pt>
                <c:pt idx="9">
                  <c:v>180</c:v>
                </c:pt>
                <c:pt idx="10">
                  <c:v>240</c:v>
                </c:pt>
                <c:pt idx="11">
                  <c:v>360</c:v>
                </c:pt>
                <c:pt idx="12">
                  <c:v>1440</c:v>
                </c:pt>
              </c:numCache>
            </c:numRef>
          </c:xVal>
          <c:yVal>
            <c:numRef>
              <c:f>'Purogene '!$B$90:$B$102</c:f>
              <c:numCache>
                <c:formatCode>#,##0</c:formatCode>
                <c:ptCount val="13"/>
                <c:pt idx="0">
                  <c:v>1786.6666666666667</c:v>
                </c:pt>
                <c:pt idx="1">
                  <c:v>2960</c:v>
                </c:pt>
                <c:pt idx="2">
                  <c:v>3760</c:v>
                </c:pt>
                <c:pt idx="3">
                  <c:v>5406.666666666667</c:v>
                </c:pt>
                <c:pt idx="4">
                  <c:v>6233.333333333333</c:v>
                </c:pt>
                <c:pt idx="5">
                  <c:v>6806.666666666667</c:v>
                </c:pt>
                <c:pt idx="6">
                  <c:v>7293.333333333333</c:v>
                </c:pt>
                <c:pt idx="7">
                  <c:v>7326.666666666667</c:v>
                </c:pt>
                <c:pt idx="8">
                  <c:v>7940</c:v>
                </c:pt>
                <c:pt idx="9">
                  <c:v>8133.333333333333</c:v>
                </c:pt>
                <c:pt idx="10">
                  <c:v>8573.3333333333339</c:v>
                </c:pt>
                <c:pt idx="11">
                  <c:v>9073.3333333333339</c:v>
                </c:pt>
                <c:pt idx="12">
                  <c:v>9033.3333333333339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8F-4BF8-8A35-976225743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11352"/>
        <c:axId val="267011744"/>
      </c:scatterChart>
      <c:scatterChart>
        <c:scatterStyle val="lineMarker"/>
        <c:varyColors val="0"/>
        <c:ser>
          <c:idx val="1"/>
          <c:order val="1"/>
          <c:tx>
            <c:v>Chlorite (mg/L)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'Purogene '!$E$90:$E$102</c:f>
                <c:numCache>
                  <c:formatCode>General</c:formatCode>
                  <c:ptCount val="13"/>
                  <c:pt idx="0">
                    <c:v>1659.2260620542363</c:v>
                  </c:pt>
                  <c:pt idx="1">
                    <c:v>2107.7438933608605</c:v>
                  </c:pt>
                  <c:pt idx="2">
                    <c:v>2078.5403832978577</c:v>
                  </c:pt>
                  <c:pt idx="3">
                    <c:v>2769.5958405514702</c:v>
                  </c:pt>
                  <c:pt idx="4">
                    <c:v>2167.3529950148718</c:v>
                  </c:pt>
                  <c:pt idx="5">
                    <c:v>2260.9739328439923</c:v>
                  </c:pt>
                  <c:pt idx="6">
                    <c:v>2741.0994372696514</c:v>
                  </c:pt>
                  <c:pt idx="7">
                    <c:v>1317.5520653848948</c:v>
                  </c:pt>
                  <c:pt idx="8">
                    <c:v>2486.9652601112089</c:v>
                  </c:pt>
                  <c:pt idx="9">
                    <c:v>1859.4079918081429</c:v>
                  </c:pt>
                  <c:pt idx="10">
                    <c:v>2938.1700971863429</c:v>
                  </c:pt>
                  <c:pt idx="11">
                    <c:v>2045.3063645820887</c:v>
                  </c:pt>
                  <c:pt idx="12">
                    <c:v>764.09958775018333</c:v>
                  </c:pt>
                </c:numCache>
              </c:numRef>
            </c:plus>
            <c:minus>
              <c:numRef>
                <c:f>'Purogene '!$E$90:$E$102</c:f>
                <c:numCache>
                  <c:formatCode>General</c:formatCode>
                  <c:ptCount val="13"/>
                  <c:pt idx="0">
                    <c:v>1659.2260620542363</c:v>
                  </c:pt>
                  <c:pt idx="1">
                    <c:v>2107.7438933608605</c:v>
                  </c:pt>
                  <c:pt idx="2">
                    <c:v>2078.5403832978577</c:v>
                  </c:pt>
                  <c:pt idx="3">
                    <c:v>2769.5958405514702</c:v>
                  </c:pt>
                  <c:pt idx="4">
                    <c:v>2167.3529950148718</c:v>
                  </c:pt>
                  <c:pt idx="5">
                    <c:v>2260.9739328439923</c:v>
                  </c:pt>
                  <c:pt idx="6">
                    <c:v>2741.0994372696514</c:v>
                  </c:pt>
                  <c:pt idx="7">
                    <c:v>1317.5520653848948</c:v>
                  </c:pt>
                  <c:pt idx="8">
                    <c:v>2486.9652601112089</c:v>
                  </c:pt>
                  <c:pt idx="9">
                    <c:v>1859.4079918081429</c:v>
                  </c:pt>
                  <c:pt idx="10">
                    <c:v>2938.1700971863429</c:v>
                  </c:pt>
                  <c:pt idx="11">
                    <c:v>2045.3063645820887</c:v>
                  </c:pt>
                  <c:pt idx="12">
                    <c:v>764.09958775018333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'Purogene '!$A$90:$A$102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120</c:v>
                </c:pt>
                <c:pt idx="9">
                  <c:v>180</c:v>
                </c:pt>
                <c:pt idx="10">
                  <c:v>240</c:v>
                </c:pt>
                <c:pt idx="11">
                  <c:v>360</c:v>
                </c:pt>
                <c:pt idx="12">
                  <c:v>1440</c:v>
                </c:pt>
              </c:numCache>
            </c:numRef>
          </c:xVal>
          <c:yVal>
            <c:numRef>
              <c:f>'Purogene '!$D$90:$D$102</c:f>
              <c:numCache>
                <c:formatCode>#,##0</c:formatCode>
                <c:ptCount val="13"/>
                <c:pt idx="0">
                  <c:v>21541.15</c:v>
                </c:pt>
                <c:pt idx="1">
                  <c:v>19272.599999999999</c:v>
                </c:pt>
                <c:pt idx="2">
                  <c:v>17505.25</c:v>
                </c:pt>
                <c:pt idx="3">
                  <c:v>14116.4</c:v>
                </c:pt>
                <c:pt idx="4">
                  <c:v>11785.45</c:v>
                </c:pt>
                <c:pt idx="5">
                  <c:v>10362.049999999999</c:v>
                </c:pt>
                <c:pt idx="6">
                  <c:v>9615.75</c:v>
                </c:pt>
                <c:pt idx="7">
                  <c:v>9589.75</c:v>
                </c:pt>
                <c:pt idx="8">
                  <c:v>7261.05</c:v>
                </c:pt>
                <c:pt idx="9">
                  <c:v>5485.6</c:v>
                </c:pt>
                <c:pt idx="10">
                  <c:v>5132</c:v>
                </c:pt>
                <c:pt idx="11">
                  <c:v>3905.3500000000004</c:v>
                </c:pt>
                <c:pt idx="12">
                  <c:v>755.1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8F-4BF8-8A35-976225743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12528"/>
        <c:axId val="267012136"/>
      </c:scatterChart>
      <c:valAx>
        <c:axId val="267011352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  <a:r>
                  <a:rPr lang="en-US" b="1" baseline="0"/>
                  <a:t> (Min)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274300087489064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1744"/>
        <c:crosses val="autoZero"/>
        <c:crossBetween val="midCat"/>
        <c:majorUnit val="250"/>
      </c:valAx>
      <c:valAx>
        <c:axId val="26701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Chlorine</a:t>
                </a:r>
                <a:r>
                  <a:rPr lang="en-US" b="1" baseline="0"/>
                  <a:t> Dioxide (mg/L)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1352"/>
        <c:crosses val="autoZero"/>
        <c:crossBetween val="midCat"/>
      </c:valAx>
      <c:valAx>
        <c:axId val="26701213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Chlorite</a:t>
                </a:r>
                <a:r>
                  <a:rPr lang="en-US" b="1" baseline="0"/>
                  <a:t> (mg/L)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2528"/>
        <c:crosses val="max"/>
        <c:crossBetween val="midCat"/>
        <c:majorUnit val="2500"/>
      </c:valAx>
      <c:valAx>
        <c:axId val="26701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01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030424321959765"/>
          <c:y val="0.38020778652668419"/>
          <c:w val="0.3235846456692913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8670166229222"/>
          <c:y val="5.0925925925925923E-2"/>
          <c:w val="0.72722659667541556"/>
          <c:h val="0.79905876348789739"/>
        </c:manualLayout>
      </c:layout>
      <c:scatterChart>
        <c:scatterStyle val="lineMarker"/>
        <c:varyColors val="0"/>
        <c:ser>
          <c:idx val="0"/>
          <c:order val="0"/>
          <c:tx>
            <c:v>Chlorine Dioxide Concentration (mg/L)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'Purogene '!$A$107:$A$119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120</c:v>
                </c:pt>
                <c:pt idx="9">
                  <c:v>180</c:v>
                </c:pt>
                <c:pt idx="10">
                  <c:v>240</c:v>
                </c:pt>
                <c:pt idx="11">
                  <c:v>360</c:v>
                </c:pt>
                <c:pt idx="12">
                  <c:v>1440</c:v>
                </c:pt>
              </c:numCache>
            </c:numRef>
          </c:xVal>
          <c:yVal>
            <c:numRef>
              <c:f>'Purogene '!$C$107:$C$119</c:f>
              <c:numCache>
                <c:formatCode>0</c:formatCode>
                <c:ptCount val="13"/>
                <c:pt idx="0">
                  <c:v>11.166666666666668</c:v>
                </c:pt>
                <c:pt idx="1">
                  <c:v>18.5</c:v>
                </c:pt>
                <c:pt idx="2">
                  <c:v>23.5</c:v>
                </c:pt>
                <c:pt idx="3">
                  <c:v>33.791666666666671</c:v>
                </c:pt>
                <c:pt idx="4">
                  <c:v>38.958333333333329</c:v>
                </c:pt>
                <c:pt idx="5">
                  <c:v>42.541666666666671</c:v>
                </c:pt>
                <c:pt idx="6">
                  <c:v>45.583333333333329</c:v>
                </c:pt>
                <c:pt idx="7">
                  <c:v>45.791666666666671</c:v>
                </c:pt>
                <c:pt idx="8">
                  <c:v>49.625</c:v>
                </c:pt>
                <c:pt idx="9">
                  <c:v>50.833333333333329</c:v>
                </c:pt>
                <c:pt idx="10">
                  <c:v>53.583333333333336</c:v>
                </c:pt>
                <c:pt idx="11">
                  <c:v>56.708333333333336</c:v>
                </c:pt>
                <c:pt idx="12">
                  <c:v>56.458333333333336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70-41C2-B60B-A8C837EE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13312"/>
        <c:axId val="267013704"/>
      </c:scatterChart>
      <c:scatterChart>
        <c:scatterStyle val="lineMarker"/>
        <c:varyColors val="0"/>
        <c:ser>
          <c:idx val="1"/>
          <c:order val="1"/>
          <c:tx>
            <c:v>Number of Purogne Bottles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'Purogene '!$A$107:$A$119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120</c:v>
                </c:pt>
                <c:pt idx="9">
                  <c:v>180</c:v>
                </c:pt>
                <c:pt idx="10">
                  <c:v>240</c:v>
                </c:pt>
                <c:pt idx="11">
                  <c:v>360</c:v>
                </c:pt>
                <c:pt idx="12">
                  <c:v>1440</c:v>
                </c:pt>
              </c:numCache>
            </c:numRef>
          </c:xVal>
          <c:yVal>
            <c:numRef>
              <c:f>'Purogene '!$D$107:$D$119</c:f>
              <c:numCache>
                <c:formatCode>0.0</c:formatCode>
                <c:ptCount val="13"/>
                <c:pt idx="0">
                  <c:v>8.9552238805970141</c:v>
                </c:pt>
                <c:pt idx="1">
                  <c:v>5.4054054054054053</c:v>
                </c:pt>
                <c:pt idx="2">
                  <c:v>4.2553191489361701</c:v>
                </c:pt>
                <c:pt idx="3">
                  <c:v>2.9593094944512943</c:v>
                </c:pt>
                <c:pt idx="4">
                  <c:v>2.5668449197860967</c:v>
                </c:pt>
                <c:pt idx="5">
                  <c:v>2.3506366307541624</c:v>
                </c:pt>
                <c:pt idx="6">
                  <c:v>2.1937842778793422</c:v>
                </c:pt>
                <c:pt idx="7">
                  <c:v>2.1838034576888079</c:v>
                </c:pt>
                <c:pt idx="8">
                  <c:v>2.0151133501259446</c:v>
                </c:pt>
                <c:pt idx="9">
                  <c:v>1.9672131147540985</c:v>
                </c:pt>
                <c:pt idx="10">
                  <c:v>1.8662519440124417</c:v>
                </c:pt>
                <c:pt idx="11">
                  <c:v>1.7634092578986038</c:v>
                </c:pt>
                <c:pt idx="12">
                  <c:v>1.7712177121771218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70-41C2-B60B-A8C837EE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14488"/>
        <c:axId val="267014096"/>
      </c:scatterChart>
      <c:valAx>
        <c:axId val="267013312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  <a:r>
                  <a:rPr lang="en-US" b="1" baseline="0"/>
                  <a:t> (Min)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274300087489064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3704"/>
        <c:crosses val="autoZero"/>
        <c:crossBetween val="midCat"/>
        <c:majorUnit val="250"/>
      </c:valAx>
      <c:valAx>
        <c:axId val="26701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/>
                  <a:t>Cl02 Conc. with 1 bottle Purogene mixedin 40 gal tank (mg/L)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3312"/>
        <c:crosses val="autoZero"/>
        <c:crossBetween val="midCat"/>
      </c:valAx>
      <c:valAx>
        <c:axId val="2670140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/>
                  <a:t># of 1 qt Purogene bottles needed to achieve 100 mg/L in 40 gal tank 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014488"/>
        <c:crosses val="max"/>
        <c:crossBetween val="midCat"/>
      </c:valAx>
      <c:valAx>
        <c:axId val="267014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014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363757655293087"/>
          <c:y val="0.33854111986001756"/>
          <c:w val="0.32358464566929135"/>
          <c:h val="0.22106590842811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76159230096238"/>
          <c:y val="5.0925925925925923E-2"/>
          <c:w val="0.82868285214348203"/>
          <c:h val="0.6989421114027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Aerator!$B$32</c:f>
              <c:strCache>
                <c:ptCount val="1"/>
                <c:pt idx="0">
                  <c:v>No Brushing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8E-4623-A3AA-8F3DBCB04003}"/>
                </c:ext>
              </c:extLst>
            </c:dLbl>
            <c:dLbl>
              <c:idx val="1"/>
              <c:layout>
                <c:manualLayout>
                  <c:x val="0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8E-4623-A3AA-8F3DBCB04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(Aerator!$C$34,Aerator!$C$35,Aerator!$C$36,Aerator!$C$37)</c:f>
                <c:numCache>
                  <c:formatCode>General</c:formatCode>
                  <c:ptCount val="4"/>
                  <c:pt idx="0">
                    <c:v>571.90796462367905</c:v>
                  </c:pt>
                  <c:pt idx="1">
                    <c:v>1.6258331197676268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(Aerator!$C$34,Aerator!$C$35,Aerator!$C$36,Aerator!$C$37)</c:f>
                <c:numCache>
                  <c:formatCode>General</c:formatCode>
                  <c:ptCount val="4"/>
                  <c:pt idx="0">
                    <c:v>571.90796462367905</c:v>
                  </c:pt>
                  <c:pt idx="1">
                    <c:v>1.6258331197676268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Aerator!$A$34:$A$37</c:f>
              <c:strCache>
                <c:ptCount val="4"/>
                <c:pt idx="0">
                  <c:v>Coliforms in aerator soaking solution</c:v>
                </c:pt>
                <c:pt idx="1">
                  <c:v>Coliforms removed from aerator after water rinse</c:v>
                </c:pt>
                <c:pt idx="2">
                  <c:v>Coliforms removed from aerator after Glycosan disinfection</c:v>
                </c:pt>
                <c:pt idx="3">
                  <c:v>Coliforms removed from aerator after Lysol disinfection</c:v>
                </c:pt>
              </c:strCache>
            </c:strRef>
          </c:cat>
          <c:val>
            <c:numRef>
              <c:f>Aerator!$B$34:$B$37</c:f>
              <c:numCache>
                <c:formatCode>0.0</c:formatCode>
                <c:ptCount val="4"/>
                <c:pt idx="0" formatCode="0">
                  <c:v>1228.4000000000001</c:v>
                </c:pt>
                <c:pt idx="1">
                  <c:v>3.4333333333333336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E-4623-A3AA-8F3DBCB04003}"/>
            </c:ext>
          </c:extLst>
        </c:ser>
        <c:ser>
          <c:idx val="1"/>
          <c:order val="1"/>
          <c:tx>
            <c:strRef>
              <c:f>Aerator!$D$32</c:f>
              <c:strCache>
                <c:ptCount val="1"/>
                <c:pt idx="0">
                  <c:v>With Brushing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8E-4623-A3AA-8F3DBCB04003}"/>
                </c:ext>
              </c:extLst>
            </c:dLbl>
            <c:dLbl>
              <c:idx val="1"/>
              <c:layout>
                <c:manualLayout>
                  <c:x val="2.777777777777676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8E-4623-A3AA-8F3DBCB04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Aerator!$E$34:$E$37</c:f>
                <c:numCache>
                  <c:formatCode>General</c:formatCode>
                  <c:ptCount val="4"/>
                  <c:pt idx="0">
                    <c:v>126.57211383239201</c:v>
                  </c:pt>
                  <c:pt idx="1">
                    <c:v>1.5716233645501714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Aerator!$E$34:$E$37</c:f>
                <c:numCache>
                  <c:formatCode>General</c:formatCode>
                  <c:ptCount val="4"/>
                  <c:pt idx="0">
                    <c:v>126.57211383239201</c:v>
                  </c:pt>
                  <c:pt idx="1">
                    <c:v>1.5716233645501714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Aerator!$A$34:$A$37</c:f>
              <c:strCache>
                <c:ptCount val="4"/>
                <c:pt idx="0">
                  <c:v>Coliforms in aerator soaking solution</c:v>
                </c:pt>
                <c:pt idx="1">
                  <c:v>Coliforms removed from aerator after water rinse</c:v>
                </c:pt>
                <c:pt idx="2">
                  <c:v>Coliforms removed from aerator after Glycosan disinfection</c:v>
                </c:pt>
                <c:pt idx="3">
                  <c:v>Coliforms removed from aerator after Lysol disinfection</c:v>
                </c:pt>
              </c:strCache>
            </c:strRef>
          </c:cat>
          <c:val>
            <c:numRef>
              <c:f>Aerator!$D$34:$D$37</c:f>
              <c:numCache>
                <c:formatCode>0</c:formatCode>
                <c:ptCount val="4"/>
                <c:pt idx="0">
                  <c:v>640.5</c:v>
                </c:pt>
                <c:pt idx="1">
                  <c:v>1.7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8E-4623-A3AA-8F3DBCB0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897440"/>
        <c:axId val="266897832"/>
      </c:barChart>
      <c:catAx>
        <c:axId val="2668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97832"/>
        <c:crosses val="autoZero"/>
        <c:auto val="1"/>
        <c:lblAlgn val="ctr"/>
        <c:lblOffset val="100"/>
        <c:noMultiLvlLbl val="0"/>
      </c:catAx>
      <c:valAx>
        <c:axId val="266897832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Coliform Concentration</a:t>
                </a:r>
                <a:r>
                  <a:rPr lang="en-US" baseline="0"/>
                  <a:t> (MPN/100ml)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116076115485567"/>
          <c:y val="8.8541119860017448E-2"/>
          <c:w val="0.3876784776902887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88927147680661"/>
          <c:y val="7.5778514186186474E-2"/>
          <c:w val="0.79229600002404987"/>
          <c:h val="0.76475497012647742"/>
        </c:manualLayout>
      </c:layout>
      <c:scatterChart>
        <c:scatterStyle val="smoothMarker"/>
        <c:varyColors val="0"/>
        <c:ser>
          <c:idx val="0"/>
          <c:order val="0"/>
          <c:tx>
            <c:v>Coliform Concentration (MPN/100 ml)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'Coliform persistence+D&amp;F (Nov )'!$C$5:$C$46</c:f>
              <c:numCache>
                <c:formatCode>0.00</c:formatCode>
                <c:ptCount val="42"/>
                <c:pt idx="0">
                  <c:v>0</c:v>
                </c:pt>
                <c:pt idx="1">
                  <c:v>0.14583333333575865</c:v>
                </c:pt>
                <c:pt idx="2">
                  <c:v>2.9305555555547471</c:v>
                </c:pt>
                <c:pt idx="3">
                  <c:v>2.9340277777810115</c:v>
                </c:pt>
                <c:pt idx="4">
                  <c:v>3.1458333333357587</c:v>
                </c:pt>
                <c:pt idx="5">
                  <c:v>3.1493055555547471</c:v>
                </c:pt>
                <c:pt idx="6">
                  <c:v>3.9340277777810115</c:v>
                </c:pt>
                <c:pt idx="7">
                  <c:v>3.9375</c:v>
                </c:pt>
                <c:pt idx="8">
                  <c:v>4.1319444444452529</c:v>
                </c:pt>
                <c:pt idx="9">
                  <c:v>4.1354166666642413</c:v>
                </c:pt>
                <c:pt idx="10">
                  <c:v>4.9409722222189885</c:v>
                </c:pt>
                <c:pt idx="11">
                  <c:v>4.9444444444452529</c:v>
                </c:pt>
                <c:pt idx="12">
                  <c:v>5.1215277777810115</c:v>
                </c:pt>
                <c:pt idx="13">
                  <c:v>5.125</c:v>
                </c:pt>
                <c:pt idx="14">
                  <c:v>5.9548611111094942</c:v>
                </c:pt>
                <c:pt idx="15">
                  <c:v>5.9583333333357587</c:v>
                </c:pt>
                <c:pt idx="16">
                  <c:v>6.1284722222189885</c:v>
                </c:pt>
                <c:pt idx="17">
                  <c:v>6.1319444444452529</c:v>
                </c:pt>
                <c:pt idx="18">
                  <c:v>6.9375</c:v>
                </c:pt>
                <c:pt idx="19">
                  <c:v>6.9409722222189885</c:v>
                </c:pt>
                <c:pt idx="20">
                  <c:v>7.1354166666642413</c:v>
                </c:pt>
                <c:pt idx="21">
                  <c:v>7.1388888888905058</c:v>
                </c:pt>
                <c:pt idx="22">
                  <c:v>10.003472222218988</c:v>
                </c:pt>
                <c:pt idx="23">
                  <c:v>10.006944444445253</c:v>
                </c:pt>
                <c:pt idx="24">
                  <c:v>10.142361111109494</c:v>
                </c:pt>
                <c:pt idx="25">
                  <c:v>10.145833333335759</c:v>
                </c:pt>
                <c:pt idx="26">
                  <c:v>10.951388888890506</c:v>
                </c:pt>
                <c:pt idx="27">
                  <c:v>10.954861111109494</c:v>
                </c:pt>
                <c:pt idx="28">
                  <c:v>11.163194444445253</c:v>
                </c:pt>
                <c:pt idx="29">
                  <c:v>11.166666666664241</c:v>
                </c:pt>
                <c:pt idx="30">
                  <c:v>11.913194444445253</c:v>
                </c:pt>
                <c:pt idx="31">
                  <c:v>11.916666666664241</c:v>
                </c:pt>
                <c:pt idx="32">
                  <c:v>12.180555555554747</c:v>
                </c:pt>
                <c:pt idx="33">
                  <c:v>12.184027777781012</c:v>
                </c:pt>
                <c:pt idx="34">
                  <c:v>12.947916666664241</c:v>
                </c:pt>
                <c:pt idx="35">
                  <c:v>12.951388888890506</c:v>
                </c:pt>
                <c:pt idx="36">
                  <c:v>13.138888888890506</c:v>
                </c:pt>
                <c:pt idx="37">
                  <c:v>13.142361111109494</c:v>
                </c:pt>
                <c:pt idx="38">
                  <c:v>23.979166666664241</c:v>
                </c:pt>
                <c:pt idx="39">
                  <c:v>23.989583333335759</c:v>
                </c:pt>
                <c:pt idx="40">
                  <c:v>24.128472222218988</c:v>
                </c:pt>
                <c:pt idx="41">
                  <c:v>24.131944444445253</c:v>
                </c:pt>
              </c:numCache>
            </c:numRef>
          </c:xVal>
          <c:yVal>
            <c:numRef>
              <c:f>'Coliform persistence+D&amp;F (Nov )'!$D$5:$D$46</c:f>
              <c:numCache>
                <c:formatCode>0.0E+00</c:formatCode>
                <c:ptCount val="42"/>
                <c:pt idx="0">
                  <c:v>1100000</c:v>
                </c:pt>
                <c:pt idx="1">
                  <c:v>690000</c:v>
                </c:pt>
                <c:pt idx="2">
                  <c:v>15500</c:v>
                </c:pt>
                <c:pt idx="3">
                  <c:v>62000</c:v>
                </c:pt>
                <c:pt idx="4">
                  <c:v>26500</c:v>
                </c:pt>
                <c:pt idx="5">
                  <c:v>78500</c:v>
                </c:pt>
                <c:pt idx="6">
                  <c:v>19500</c:v>
                </c:pt>
                <c:pt idx="7">
                  <c:v>25500</c:v>
                </c:pt>
                <c:pt idx="8" formatCode="General">
                  <c:v>77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10</c:v>
                </c:pt>
                <c:pt idx="12" formatCode="General">
                  <c:v>10</c:v>
                </c:pt>
                <c:pt idx="13" formatCode="General">
                  <c:v>10</c:v>
                </c:pt>
                <c:pt idx="14" formatCode="General">
                  <c:v>2</c:v>
                </c:pt>
                <c:pt idx="15" formatCode="General">
                  <c:v>7</c:v>
                </c:pt>
                <c:pt idx="16" formatCode="General">
                  <c:v>12</c:v>
                </c:pt>
                <c:pt idx="17" formatCode="General">
                  <c:v>8</c:v>
                </c:pt>
                <c:pt idx="18" formatCode="General">
                  <c:v>3</c:v>
                </c:pt>
                <c:pt idx="19" formatCode="General">
                  <c:v>1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1</c:v>
                </c:pt>
                <c:pt idx="23" formatCode="General">
                  <c:v>0.1</c:v>
                </c:pt>
                <c:pt idx="24" formatCode="General">
                  <c:v>1</c:v>
                </c:pt>
                <c:pt idx="25" formatCode="General">
                  <c:v>0.1</c:v>
                </c:pt>
                <c:pt idx="26" formatCode="General">
                  <c:v>0.1</c:v>
                </c:pt>
                <c:pt idx="27" formatCode="General">
                  <c:v>0.1</c:v>
                </c:pt>
                <c:pt idx="28" formatCode="General">
                  <c:v>0.1</c:v>
                </c:pt>
                <c:pt idx="29" formatCode="General">
                  <c:v>0.1</c:v>
                </c:pt>
                <c:pt idx="30" formatCode="General">
                  <c:v>0.1</c:v>
                </c:pt>
                <c:pt idx="31" formatCode="General">
                  <c:v>0.1</c:v>
                </c:pt>
                <c:pt idx="32" formatCode="General">
                  <c:v>0.1</c:v>
                </c:pt>
                <c:pt idx="33" formatCode="General">
                  <c:v>0.1</c:v>
                </c:pt>
                <c:pt idx="34" formatCode="General">
                  <c:v>0.1</c:v>
                </c:pt>
                <c:pt idx="35" formatCode="General">
                  <c:v>0.1</c:v>
                </c:pt>
                <c:pt idx="36" formatCode="General">
                  <c:v>0.1</c:v>
                </c:pt>
                <c:pt idx="37" formatCode="General">
                  <c:v>0.1</c:v>
                </c:pt>
                <c:pt idx="38" formatCode="General">
                  <c:v>0.1</c:v>
                </c:pt>
                <c:pt idx="39" formatCode="General">
                  <c:v>0.1</c:v>
                </c:pt>
                <c:pt idx="40" formatCode="General">
                  <c:v>0.1</c:v>
                </c:pt>
                <c:pt idx="41" formatCode="General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96-4C5B-870E-6FC7F9D51678}"/>
            </c:ext>
          </c:extLst>
        </c:ser>
        <c:ser>
          <c:idx val="1"/>
          <c:order val="1"/>
          <c:tx>
            <c:v>Empty tank, flush with clean water (2x)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'Coliform persistence+D&amp;F (Nov )'!$F$8:$F$9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'Coliform persistence+D&amp;F (Nov )'!$G$8:$G$9</c:f>
              <c:numCache>
                <c:formatCode>General</c:formatCode>
                <c:ptCount val="2"/>
                <c:pt idx="0">
                  <c:v>1000000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96-4C5B-870E-6FC7F9D51678}"/>
            </c:ext>
          </c:extLst>
        </c:ser>
        <c:ser>
          <c:idx val="2"/>
          <c:order val="2"/>
          <c:tx>
            <c:v>Empty tank, flush with clean water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'Coliform persistence+D&amp;F (Nov )'!$F$10:$F$11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'Coliform persistence+D&amp;F (Nov )'!$G$10:$G$11</c:f>
              <c:numCache>
                <c:formatCode>General</c:formatCode>
                <c:ptCount val="2"/>
                <c:pt idx="0">
                  <c:v>1000000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96-4C5B-870E-6FC7F9D5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98616"/>
        <c:axId val="266899008"/>
      </c:scatterChart>
      <c:valAx>
        <c:axId val="266898616"/>
        <c:scaling>
          <c:orientation val="minMax"/>
          <c:max val="2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Days since Inoculation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99008"/>
        <c:crosses val="autoZero"/>
        <c:crossBetween val="midCat"/>
        <c:majorUnit val="2"/>
        <c:minorUnit val="0.5"/>
      </c:valAx>
      <c:valAx>
        <c:axId val="266899008"/>
        <c:scaling>
          <c:logBase val="10"/>
          <c:orientation val="minMax"/>
          <c:max val="100000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Coliform</a:t>
                </a:r>
                <a:r>
                  <a:rPr lang="en-US" b="1" baseline="0"/>
                  <a:t> Concentration (</a:t>
                </a:r>
                <a:r>
                  <a:rPr lang="en-US" b="1"/>
                  <a:t>MPN/100</a:t>
                </a:r>
                <a:r>
                  <a:rPr lang="en-US" b="1" baseline="0"/>
                  <a:t> ml)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6810615049518415E-2"/>
              <c:y val="3.09518432840309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98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11911660269956"/>
          <c:y val="9.9197958321493057E-2"/>
          <c:w val="0.34020688884875444"/>
          <c:h val="0.3807920580261973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74</xdr:row>
      <xdr:rowOff>4762</xdr:rowOff>
    </xdr:from>
    <xdr:to>
      <xdr:col>11</xdr:col>
      <xdr:colOff>495300</xdr:colOff>
      <xdr:row>88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86</xdr:row>
      <xdr:rowOff>138112</xdr:rowOff>
    </xdr:from>
    <xdr:to>
      <xdr:col>10</xdr:col>
      <xdr:colOff>257175</xdr:colOff>
      <xdr:row>100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</xdr:colOff>
      <xdr:row>104</xdr:row>
      <xdr:rowOff>304800</xdr:rowOff>
    </xdr:from>
    <xdr:to>
      <xdr:col>8</xdr:col>
      <xdr:colOff>247649</xdr:colOff>
      <xdr:row>117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30</xdr:row>
      <xdr:rowOff>80962</xdr:rowOff>
    </xdr:from>
    <xdr:to>
      <xdr:col>9</xdr:col>
      <xdr:colOff>504825</xdr:colOff>
      <xdr:row>37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11</xdr:row>
      <xdr:rowOff>4761</xdr:rowOff>
    </xdr:from>
    <xdr:to>
      <xdr:col>6</xdr:col>
      <xdr:colOff>552450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0.31057</cdr:x>
      <cdr:y>0.16638</cdr:y>
    </cdr:from>
    <cdr:to>
      <cdr:x>0.59692</cdr:x>
      <cdr:y>0.26244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1343026" y="461964"/>
          <a:ext cx="1238250" cy="2667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0.48678</cdr:x>
      <cdr:y>0.40652</cdr:y>
    </cdr:from>
    <cdr:to>
      <cdr:x>0.61233</cdr:x>
      <cdr:y>0.44082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105026" y="1128714"/>
          <a:ext cx="542925" cy="95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&amp;F@%2013:3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9"/>
  <sheetViews>
    <sheetView zoomScaleNormal="100" workbookViewId="0">
      <pane ySplit="2" topLeftCell="A3" activePane="bottomLeft" state="frozen"/>
      <selection pane="bottomLeft" activeCell="B17" sqref="B17"/>
    </sheetView>
  </sheetViews>
  <sheetFormatPr defaultRowHeight="20.100000000000001" customHeight="1" x14ac:dyDescent="0.25"/>
  <cols>
    <col min="1" max="1" width="14.28515625" style="1" customWidth="1"/>
    <col min="2" max="2" width="14.28515625" style="74" customWidth="1"/>
    <col min="3" max="3" width="9.42578125" style="1" customWidth="1"/>
    <col min="4" max="5" width="13.28515625" style="1" customWidth="1"/>
    <col min="6" max="6" width="16.42578125" style="1" bestFit="1" customWidth="1"/>
    <col min="7" max="7" width="1.42578125" style="177" customWidth="1"/>
    <col min="8" max="9" width="13.28515625" style="212" customWidth="1"/>
    <col min="10" max="10" width="16.42578125" style="1" bestFit="1" customWidth="1"/>
    <col min="11" max="11" width="6" style="1" bestFit="1" customWidth="1"/>
    <col min="12" max="12" width="11.7109375" style="176" bestFit="1" customWidth="1"/>
    <col min="13" max="13" width="4.5703125" style="148" bestFit="1" customWidth="1"/>
    <col min="14" max="14" width="22.7109375" style="187" bestFit="1" customWidth="1"/>
  </cols>
  <sheetData>
    <row r="1" spans="1:14" ht="20.100000000000001" customHeight="1" x14ac:dyDescent="0.25">
      <c r="A1" s="293" t="s">
        <v>9</v>
      </c>
      <c r="B1" s="293"/>
      <c r="C1" s="293"/>
      <c r="D1" s="294" t="s">
        <v>524</v>
      </c>
      <c r="E1" s="295"/>
      <c r="F1" s="287"/>
      <c r="G1" s="169"/>
      <c r="H1" s="294" t="s">
        <v>525</v>
      </c>
      <c r="I1" s="295"/>
      <c r="J1" s="286"/>
      <c r="K1" s="119" t="s">
        <v>10</v>
      </c>
      <c r="L1" s="120" t="s">
        <v>11</v>
      </c>
      <c r="M1" s="121"/>
    </row>
    <row r="2" spans="1:14" s="21" customFormat="1" ht="20.100000000000001" customHeight="1" x14ac:dyDescent="0.25">
      <c r="A2" s="218" t="s">
        <v>0</v>
      </c>
      <c r="B2" s="122" t="s">
        <v>12</v>
      </c>
      <c r="C2" s="218" t="s">
        <v>13</v>
      </c>
      <c r="D2" s="218" t="s">
        <v>526</v>
      </c>
      <c r="E2" s="218" t="s">
        <v>527</v>
      </c>
      <c r="F2" s="218" t="s">
        <v>328</v>
      </c>
      <c r="G2" s="170"/>
      <c r="H2" s="248" t="s">
        <v>526</v>
      </c>
      <c r="I2" s="248" t="s">
        <v>527</v>
      </c>
      <c r="J2" s="219" t="s">
        <v>328</v>
      </c>
      <c r="K2" s="123" t="s">
        <v>14</v>
      </c>
      <c r="L2" s="124" t="s">
        <v>15</v>
      </c>
      <c r="M2" s="125"/>
      <c r="N2" s="17"/>
    </row>
    <row r="3" spans="1:14" ht="20.100000000000001" customHeight="1" x14ac:dyDescent="0.25">
      <c r="A3" s="126">
        <v>42194</v>
      </c>
      <c r="B3" s="71">
        <v>1750</v>
      </c>
      <c r="C3" s="220" t="s">
        <v>16</v>
      </c>
      <c r="D3" s="207">
        <v>0.11</v>
      </c>
      <c r="E3" s="207">
        <v>0.14000000000000001</v>
      </c>
      <c r="F3" s="207" t="s">
        <v>329</v>
      </c>
      <c r="G3" s="171"/>
      <c r="H3" s="207">
        <v>0.02</v>
      </c>
      <c r="I3" s="207">
        <v>0.06</v>
      </c>
      <c r="J3" s="207" t="s">
        <v>329</v>
      </c>
      <c r="K3" s="127" t="s">
        <v>298</v>
      </c>
      <c r="L3" s="141"/>
      <c r="M3" s="128"/>
    </row>
    <row r="4" spans="1:14" ht="20.100000000000001" customHeight="1" x14ac:dyDescent="0.25">
      <c r="A4" s="126">
        <v>42215</v>
      </c>
      <c r="B4" s="71">
        <v>1130</v>
      </c>
      <c r="C4" s="220" t="s">
        <v>95</v>
      </c>
      <c r="D4" s="207">
        <v>0.11</v>
      </c>
      <c r="E4" s="207">
        <v>0.17</v>
      </c>
      <c r="F4" s="207" t="s">
        <v>329</v>
      </c>
      <c r="G4" s="171"/>
      <c r="H4" s="207"/>
      <c r="I4" s="207"/>
      <c r="J4" s="207" t="s">
        <v>329</v>
      </c>
      <c r="K4" s="220"/>
      <c r="L4" s="141"/>
      <c r="M4" s="128"/>
    </row>
    <row r="5" spans="1:14" ht="20.100000000000001" customHeight="1" x14ac:dyDescent="0.25">
      <c r="A5" s="126">
        <v>42215</v>
      </c>
      <c r="B5" s="71">
        <v>1635</v>
      </c>
      <c r="C5" s="220" t="s">
        <v>16</v>
      </c>
      <c r="D5" s="207">
        <v>0.11</v>
      </c>
      <c r="E5" s="207">
        <v>0.13</v>
      </c>
      <c r="F5" s="207" t="s">
        <v>329</v>
      </c>
      <c r="G5" s="171"/>
      <c r="H5" s="207">
        <v>0.01</v>
      </c>
      <c r="I5" s="207">
        <v>0.02</v>
      </c>
      <c r="J5" s="207" t="s">
        <v>329</v>
      </c>
      <c r="K5" s="220" t="s">
        <v>298</v>
      </c>
      <c r="L5" s="141"/>
      <c r="M5" s="128"/>
    </row>
    <row r="6" spans="1:14" ht="20.100000000000001" customHeight="1" x14ac:dyDescent="0.25">
      <c r="A6" s="126">
        <v>42216</v>
      </c>
      <c r="B6" s="71">
        <v>1000</v>
      </c>
      <c r="C6" s="220" t="s">
        <v>95</v>
      </c>
      <c r="D6" s="207">
        <v>0.08</v>
      </c>
      <c r="E6" s="207">
        <v>0.09</v>
      </c>
      <c r="F6" s="207" t="s">
        <v>329</v>
      </c>
      <c r="G6" s="171"/>
      <c r="H6" s="207">
        <v>0.01</v>
      </c>
      <c r="I6" s="207">
        <v>0.02</v>
      </c>
      <c r="J6" s="207" t="s">
        <v>329</v>
      </c>
      <c r="K6" s="220"/>
      <c r="L6" s="141"/>
      <c r="M6" s="128"/>
    </row>
    <row r="7" spans="1:14" ht="20.100000000000001" customHeight="1" x14ac:dyDescent="0.25">
      <c r="A7" s="126">
        <v>42216</v>
      </c>
      <c r="B7" s="71">
        <v>1630</v>
      </c>
      <c r="C7" s="220" t="s">
        <v>17</v>
      </c>
      <c r="D7" s="207">
        <v>0.03</v>
      </c>
      <c r="E7" s="207">
        <v>0.08</v>
      </c>
      <c r="F7" s="207" t="s">
        <v>329</v>
      </c>
      <c r="G7" s="171"/>
      <c r="H7" s="207">
        <v>0.02</v>
      </c>
      <c r="I7" s="207">
        <v>0.05</v>
      </c>
      <c r="J7" s="207" t="s">
        <v>329</v>
      </c>
      <c r="K7" s="220" t="s">
        <v>298</v>
      </c>
      <c r="L7" s="141"/>
      <c r="M7" s="128"/>
    </row>
    <row r="8" spans="1:14" ht="20.100000000000001" customHeight="1" x14ac:dyDescent="0.25">
      <c r="A8" s="126">
        <v>42219</v>
      </c>
      <c r="B8" s="71" t="s">
        <v>62</v>
      </c>
      <c r="C8" s="220" t="s">
        <v>16</v>
      </c>
      <c r="D8" s="207">
        <v>0.02</v>
      </c>
      <c r="E8" s="207">
        <v>0.06</v>
      </c>
      <c r="F8" s="207" t="s">
        <v>329</v>
      </c>
      <c r="G8" s="171"/>
      <c r="H8" s="207">
        <v>0.01</v>
      </c>
      <c r="I8" s="207">
        <v>0.01</v>
      </c>
      <c r="J8" s="207" t="s">
        <v>329</v>
      </c>
      <c r="K8" s="220"/>
      <c r="L8" s="141"/>
      <c r="M8" s="128"/>
    </row>
    <row r="9" spans="1:14" ht="20.100000000000001" customHeight="1" x14ac:dyDescent="0.25">
      <c r="A9" s="126">
        <v>42219</v>
      </c>
      <c r="B9" s="71">
        <v>1635</v>
      </c>
      <c r="C9" s="220" t="s">
        <v>17</v>
      </c>
      <c r="D9" s="207">
        <v>0.02</v>
      </c>
      <c r="E9" s="207">
        <v>0.06</v>
      </c>
      <c r="F9" s="207" t="s">
        <v>329</v>
      </c>
      <c r="G9" s="171"/>
      <c r="H9" s="207">
        <v>0.02</v>
      </c>
      <c r="I9" s="207">
        <v>0.03</v>
      </c>
      <c r="J9" s="207" t="s">
        <v>329</v>
      </c>
      <c r="K9" s="220" t="s">
        <v>298</v>
      </c>
      <c r="L9" s="141"/>
      <c r="M9" s="128"/>
    </row>
    <row r="10" spans="1:14" ht="20.100000000000001" customHeight="1" x14ac:dyDescent="0.25">
      <c r="A10" s="126">
        <v>42220</v>
      </c>
      <c r="B10" s="71">
        <v>1050</v>
      </c>
      <c r="C10" s="220" t="s">
        <v>16</v>
      </c>
      <c r="D10" s="207">
        <v>0.19</v>
      </c>
      <c r="E10" s="207">
        <v>0.4</v>
      </c>
      <c r="F10" s="207" t="s">
        <v>329</v>
      </c>
      <c r="G10" s="171"/>
      <c r="H10" s="288" t="s">
        <v>133</v>
      </c>
      <c r="I10" s="290"/>
      <c r="J10" s="207" t="s">
        <v>329</v>
      </c>
      <c r="K10" s="220"/>
      <c r="L10" s="141"/>
      <c r="M10" s="128"/>
    </row>
    <row r="11" spans="1:14" ht="20.100000000000001" customHeight="1" x14ac:dyDescent="0.25">
      <c r="A11" s="126">
        <v>42220</v>
      </c>
      <c r="B11" s="71">
        <v>1120</v>
      </c>
      <c r="C11" s="220" t="s">
        <v>16</v>
      </c>
      <c r="D11" s="72" t="s">
        <v>19</v>
      </c>
      <c r="E11" s="72" t="s">
        <v>19</v>
      </c>
      <c r="F11" s="207" t="s">
        <v>329</v>
      </c>
      <c r="G11" s="171"/>
      <c r="H11" s="207">
        <v>0.02</v>
      </c>
      <c r="I11" s="207">
        <v>0.01</v>
      </c>
      <c r="J11" s="207" t="s">
        <v>329</v>
      </c>
      <c r="K11" s="220"/>
      <c r="L11" s="141"/>
      <c r="M11" s="128"/>
    </row>
    <row r="12" spans="1:14" ht="20.100000000000001" customHeight="1" x14ac:dyDescent="0.25">
      <c r="A12" s="126">
        <v>42220</v>
      </c>
      <c r="B12" s="71">
        <v>1645</v>
      </c>
      <c r="C12" s="220" t="s">
        <v>17</v>
      </c>
      <c r="D12" s="207">
        <v>0.04</v>
      </c>
      <c r="E12" s="207">
        <v>0.1</v>
      </c>
      <c r="F12" s="207" t="s">
        <v>329</v>
      </c>
      <c r="G12" s="171"/>
      <c r="H12" s="207">
        <v>0.01</v>
      </c>
      <c r="I12" s="207">
        <v>0.04</v>
      </c>
      <c r="J12" s="207" t="s">
        <v>329</v>
      </c>
      <c r="K12" s="220" t="s">
        <v>298</v>
      </c>
      <c r="L12" s="141"/>
      <c r="M12" s="128"/>
    </row>
    <row r="13" spans="1:14" ht="20.100000000000001" customHeight="1" x14ac:dyDescent="0.25">
      <c r="A13" s="126">
        <v>42221</v>
      </c>
      <c r="B13" s="71" t="s">
        <v>63</v>
      </c>
      <c r="C13" s="220" t="s">
        <v>17</v>
      </c>
      <c r="D13" s="207">
        <v>0.02</v>
      </c>
      <c r="E13" s="207">
        <v>0.04</v>
      </c>
      <c r="F13" s="207" t="s">
        <v>329</v>
      </c>
      <c r="G13" s="171"/>
      <c r="H13" s="207">
        <v>0.01</v>
      </c>
      <c r="I13" s="207">
        <v>0.01</v>
      </c>
      <c r="J13" s="207" t="s">
        <v>329</v>
      </c>
      <c r="K13" s="220"/>
      <c r="L13" s="141"/>
      <c r="M13" s="128"/>
    </row>
    <row r="14" spans="1:14" ht="20.100000000000001" customHeight="1" x14ac:dyDescent="0.25">
      <c r="A14" s="126">
        <v>42221</v>
      </c>
      <c r="B14" s="71">
        <v>1630</v>
      </c>
      <c r="C14" s="220" t="s">
        <v>17</v>
      </c>
      <c r="D14" s="207">
        <v>0.01</v>
      </c>
      <c r="E14" s="207">
        <v>0.06</v>
      </c>
      <c r="F14" s="207" t="s">
        <v>329</v>
      </c>
      <c r="G14" s="171"/>
      <c r="H14" s="207">
        <v>0.05</v>
      </c>
      <c r="I14" s="207">
        <v>0.05</v>
      </c>
      <c r="J14" s="207" t="s">
        <v>329</v>
      </c>
      <c r="K14" s="220" t="s">
        <v>298</v>
      </c>
      <c r="L14" s="141"/>
      <c r="M14" s="128"/>
    </row>
    <row r="15" spans="1:14" ht="20.100000000000001" customHeight="1" x14ac:dyDescent="0.25">
      <c r="A15" s="126">
        <v>42222</v>
      </c>
      <c r="B15" s="71" t="s">
        <v>64</v>
      </c>
      <c r="C15" s="220" t="s">
        <v>17</v>
      </c>
      <c r="D15" s="207">
        <v>0.02</v>
      </c>
      <c r="E15" s="207">
        <v>0.02</v>
      </c>
      <c r="F15" s="207" t="s">
        <v>329</v>
      </c>
      <c r="G15" s="171"/>
      <c r="H15" s="207">
        <v>0.01</v>
      </c>
      <c r="I15" s="207">
        <v>0.01</v>
      </c>
      <c r="J15" s="207" t="s">
        <v>329</v>
      </c>
      <c r="K15" s="220"/>
      <c r="L15" s="141"/>
      <c r="M15" s="128"/>
    </row>
    <row r="16" spans="1:14" ht="20.100000000000001" customHeight="1" x14ac:dyDescent="0.25">
      <c r="A16" s="126">
        <v>42222</v>
      </c>
      <c r="B16" s="71">
        <v>1630</v>
      </c>
      <c r="C16" s="220" t="s">
        <v>17</v>
      </c>
      <c r="D16" s="207">
        <v>0.01</v>
      </c>
      <c r="E16" s="207">
        <v>0.03</v>
      </c>
      <c r="F16" s="207" t="s">
        <v>329</v>
      </c>
      <c r="G16" s="171"/>
      <c r="H16" s="207">
        <v>0.03</v>
      </c>
      <c r="I16" s="207">
        <v>0.05</v>
      </c>
      <c r="J16" s="207" t="s">
        <v>329</v>
      </c>
      <c r="K16" s="220" t="s">
        <v>298</v>
      </c>
      <c r="L16" s="141"/>
      <c r="M16" s="128"/>
    </row>
    <row r="17" spans="1:13" ht="20.100000000000001" customHeight="1" x14ac:dyDescent="0.25">
      <c r="A17" s="126">
        <v>42223</v>
      </c>
      <c r="B17" s="71" t="s">
        <v>65</v>
      </c>
      <c r="C17" s="220" t="s">
        <v>16</v>
      </c>
      <c r="D17" s="207">
        <v>0.03</v>
      </c>
      <c r="E17" s="207">
        <v>0.05</v>
      </c>
      <c r="F17" s="207" t="s">
        <v>329</v>
      </c>
      <c r="G17" s="171"/>
      <c r="H17" s="72" t="s">
        <v>20</v>
      </c>
      <c r="I17" s="207">
        <v>0.01</v>
      </c>
      <c r="J17" s="207" t="s">
        <v>329</v>
      </c>
      <c r="K17" s="220"/>
      <c r="L17" s="141"/>
      <c r="M17" s="128"/>
    </row>
    <row r="18" spans="1:13" ht="20.100000000000001" customHeight="1" x14ac:dyDescent="0.25">
      <c r="A18" s="126">
        <v>42223</v>
      </c>
      <c r="B18" s="71">
        <v>1604</v>
      </c>
      <c r="C18" s="220" t="s">
        <v>16</v>
      </c>
      <c r="D18" s="207">
        <v>0.01</v>
      </c>
      <c r="E18" s="207">
        <v>0.01</v>
      </c>
      <c r="F18" s="207" t="s">
        <v>329</v>
      </c>
      <c r="G18" s="171"/>
      <c r="H18" s="207">
        <v>0.02</v>
      </c>
      <c r="I18" s="207">
        <v>0.03</v>
      </c>
      <c r="J18" s="207" t="s">
        <v>329</v>
      </c>
      <c r="K18" s="220" t="s">
        <v>298</v>
      </c>
      <c r="L18" s="141"/>
      <c r="M18" s="128"/>
    </row>
    <row r="19" spans="1:13" ht="20.100000000000001" customHeight="1" x14ac:dyDescent="0.25">
      <c r="A19" s="126">
        <v>42226</v>
      </c>
      <c r="B19" s="71" t="s">
        <v>66</v>
      </c>
      <c r="C19" s="220" t="s">
        <v>17</v>
      </c>
      <c r="D19" s="207">
        <v>0.01</v>
      </c>
      <c r="E19" s="207">
        <v>0.03</v>
      </c>
      <c r="F19" s="207" t="s">
        <v>329</v>
      </c>
      <c r="G19" s="171"/>
      <c r="H19" s="207">
        <v>0.01</v>
      </c>
      <c r="I19" s="207">
        <v>0.01</v>
      </c>
      <c r="J19" s="207" t="s">
        <v>329</v>
      </c>
      <c r="K19" s="220"/>
      <c r="L19" s="141"/>
      <c r="M19" s="128"/>
    </row>
    <row r="20" spans="1:13" ht="20.100000000000001" customHeight="1" x14ac:dyDescent="0.25">
      <c r="A20" s="126">
        <v>42226</v>
      </c>
      <c r="B20" s="71">
        <v>1645</v>
      </c>
      <c r="C20" s="220" t="s">
        <v>17</v>
      </c>
      <c r="D20" s="207">
        <v>0.01</v>
      </c>
      <c r="E20" s="207">
        <v>0.05</v>
      </c>
      <c r="F20" s="207" t="s">
        <v>329</v>
      </c>
      <c r="G20" s="171"/>
      <c r="H20" s="72" t="s">
        <v>20</v>
      </c>
      <c r="I20" s="72" t="s">
        <v>20</v>
      </c>
      <c r="J20" s="207" t="s">
        <v>329</v>
      </c>
      <c r="K20" s="220" t="s">
        <v>298</v>
      </c>
      <c r="L20" s="141"/>
      <c r="M20" s="128"/>
    </row>
    <row r="21" spans="1:13" ht="20.100000000000001" customHeight="1" x14ac:dyDescent="0.25">
      <c r="A21" s="126">
        <v>42227</v>
      </c>
      <c r="B21" s="71" t="s">
        <v>67</v>
      </c>
      <c r="C21" s="220" t="s">
        <v>17</v>
      </c>
      <c r="D21" s="288" t="s">
        <v>18</v>
      </c>
      <c r="E21" s="290"/>
      <c r="F21" s="207" t="s">
        <v>329</v>
      </c>
      <c r="G21" s="171"/>
      <c r="H21" s="207">
        <v>0.01</v>
      </c>
      <c r="I21" s="72" t="s">
        <v>20</v>
      </c>
      <c r="J21" s="207" t="s">
        <v>329</v>
      </c>
      <c r="K21" s="220"/>
      <c r="L21" s="141"/>
      <c r="M21" s="128"/>
    </row>
    <row r="22" spans="1:13" ht="20.100000000000001" customHeight="1" x14ac:dyDescent="0.25">
      <c r="A22" s="126">
        <v>42227</v>
      </c>
      <c r="B22" s="71">
        <v>1100</v>
      </c>
      <c r="C22" s="220" t="s">
        <v>16</v>
      </c>
      <c r="D22" s="207">
        <v>0.01</v>
      </c>
      <c r="E22" s="207">
        <v>0.34</v>
      </c>
      <c r="F22" s="207" t="s">
        <v>329</v>
      </c>
      <c r="G22" s="171"/>
      <c r="H22" s="72" t="s">
        <v>19</v>
      </c>
      <c r="I22" s="72" t="s">
        <v>19</v>
      </c>
      <c r="J22" s="207" t="s">
        <v>329</v>
      </c>
      <c r="K22" s="220"/>
      <c r="L22" s="141"/>
      <c r="M22" s="128"/>
    </row>
    <row r="23" spans="1:13" ht="20.100000000000001" customHeight="1" x14ac:dyDescent="0.25">
      <c r="A23" s="126">
        <v>42227</v>
      </c>
      <c r="B23" s="71">
        <v>1635</v>
      </c>
      <c r="C23" s="220" t="s">
        <v>17</v>
      </c>
      <c r="D23" s="207">
        <v>0.16</v>
      </c>
      <c r="E23" s="207">
        <v>0.34</v>
      </c>
      <c r="F23" s="207" t="s">
        <v>329</v>
      </c>
      <c r="G23" s="171"/>
      <c r="H23" s="207">
        <v>0.01</v>
      </c>
      <c r="I23" s="207">
        <v>0.03</v>
      </c>
      <c r="J23" s="207" t="s">
        <v>329</v>
      </c>
      <c r="K23" s="220" t="s">
        <v>298</v>
      </c>
      <c r="L23" s="141"/>
      <c r="M23" s="128"/>
    </row>
    <row r="24" spans="1:13" ht="20.100000000000001" customHeight="1" x14ac:dyDescent="0.25">
      <c r="A24" s="126">
        <v>42228</v>
      </c>
      <c r="B24" s="71" t="s">
        <v>66</v>
      </c>
      <c r="C24" s="220" t="s">
        <v>17</v>
      </c>
      <c r="D24" s="207">
        <v>0.04</v>
      </c>
      <c r="E24" s="207">
        <v>0.31</v>
      </c>
      <c r="F24" s="207" t="s">
        <v>329</v>
      </c>
      <c r="G24" s="171"/>
      <c r="H24" s="207">
        <v>0.01</v>
      </c>
      <c r="I24" s="207">
        <v>0.02</v>
      </c>
      <c r="J24" s="207" t="s">
        <v>329</v>
      </c>
      <c r="K24" s="220"/>
      <c r="L24" s="141"/>
      <c r="M24" s="128"/>
    </row>
    <row r="25" spans="1:13" ht="20.100000000000001" customHeight="1" x14ac:dyDescent="0.25">
      <c r="A25" s="126">
        <v>42228</v>
      </c>
      <c r="B25" s="71">
        <v>1640</v>
      </c>
      <c r="C25" s="220" t="s">
        <v>17</v>
      </c>
      <c r="D25" s="207">
        <v>0.12</v>
      </c>
      <c r="E25" s="207">
        <v>0.32</v>
      </c>
      <c r="F25" s="207" t="s">
        <v>329</v>
      </c>
      <c r="G25" s="171"/>
      <c r="H25" s="72" t="s">
        <v>20</v>
      </c>
      <c r="I25" s="207">
        <v>0.05</v>
      </c>
      <c r="J25" s="207" t="s">
        <v>329</v>
      </c>
      <c r="K25" s="220" t="s">
        <v>298</v>
      </c>
      <c r="L25" s="141"/>
      <c r="M25" s="128"/>
    </row>
    <row r="26" spans="1:13" ht="20.100000000000001" customHeight="1" x14ac:dyDescent="0.25">
      <c r="A26" s="126">
        <v>42229</v>
      </c>
      <c r="B26" s="71" t="s">
        <v>67</v>
      </c>
      <c r="C26" s="220" t="s">
        <v>17</v>
      </c>
      <c r="D26" s="207">
        <v>0.17</v>
      </c>
      <c r="E26" s="207">
        <v>0.3</v>
      </c>
      <c r="F26" s="207" t="s">
        <v>329</v>
      </c>
      <c r="G26" s="171"/>
      <c r="H26" s="207">
        <v>0.01</v>
      </c>
      <c r="I26" s="207">
        <v>0.04</v>
      </c>
      <c r="J26" s="207" t="s">
        <v>329</v>
      </c>
      <c r="K26" s="220"/>
      <c r="L26" s="141"/>
      <c r="M26" s="128"/>
    </row>
    <row r="27" spans="1:13" ht="20.100000000000001" customHeight="1" x14ac:dyDescent="0.25">
      <c r="A27" s="126">
        <v>42229</v>
      </c>
      <c r="B27" s="71">
        <v>1640</v>
      </c>
      <c r="C27" s="220" t="s">
        <v>17</v>
      </c>
      <c r="D27" s="207">
        <v>0.25</v>
      </c>
      <c r="E27" s="207">
        <v>0.35</v>
      </c>
      <c r="F27" s="207" t="s">
        <v>329</v>
      </c>
      <c r="G27" s="171"/>
      <c r="H27" s="207">
        <v>0.03</v>
      </c>
      <c r="I27" s="207">
        <v>0.04</v>
      </c>
      <c r="J27" s="207" t="s">
        <v>329</v>
      </c>
      <c r="K27" s="220" t="s">
        <v>298</v>
      </c>
      <c r="L27" s="141"/>
      <c r="M27" s="128"/>
    </row>
    <row r="28" spans="1:13" ht="20.100000000000001" customHeight="1" x14ac:dyDescent="0.25">
      <c r="A28" s="126">
        <v>42230</v>
      </c>
      <c r="B28" s="71" t="s">
        <v>68</v>
      </c>
      <c r="C28" s="220" t="s">
        <v>17</v>
      </c>
      <c r="D28" s="207">
        <v>0.22</v>
      </c>
      <c r="E28" s="207">
        <v>0.32</v>
      </c>
      <c r="F28" s="207" t="s">
        <v>329</v>
      </c>
      <c r="G28" s="171"/>
      <c r="H28" s="207">
        <v>0.01</v>
      </c>
      <c r="I28" s="207">
        <v>0.05</v>
      </c>
      <c r="J28" s="207" t="s">
        <v>329</v>
      </c>
      <c r="K28" s="220"/>
      <c r="L28" s="141"/>
      <c r="M28" s="128"/>
    </row>
    <row r="29" spans="1:13" ht="20.100000000000001" customHeight="1" x14ac:dyDescent="0.25">
      <c r="A29" s="126">
        <v>42230</v>
      </c>
      <c r="B29" s="71">
        <v>1635</v>
      </c>
      <c r="C29" s="220" t="s">
        <v>17</v>
      </c>
      <c r="D29" s="207">
        <v>0.22</v>
      </c>
      <c r="E29" s="207">
        <v>0.28999999999999998</v>
      </c>
      <c r="F29" s="207" t="s">
        <v>329</v>
      </c>
      <c r="G29" s="171"/>
      <c r="H29" s="207">
        <v>0.01</v>
      </c>
      <c r="I29" s="207">
        <v>0.05</v>
      </c>
      <c r="J29" s="207" t="s">
        <v>329</v>
      </c>
      <c r="K29" s="220" t="s">
        <v>298</v>
      </c>
      <c r="L29" s="141"/>
      <c r="M29" s="128"/>
    </row>
    <row r="30" spans="1:13" ht="20.100000000000001" customHeight="1" x14ac:dyDescent="0.25">
      <c r="A30" s="126">
        <v>42233</v>
      </c>
      <c r="B30" s="71" t="s">
        <v>69</v>
      </c>
      <c r="C30" s="220" t="s">
        <v>16</v>
      </c>
      <c r="D30" s="207">
        <v>0.05</v>
      </c>
      <c r="E30" s="207">
        <v>0.34</v>
      </c>
      <c r="F30" s="207" t="s">
        <v>329</v>
      </c>
      <c r="G30" s="171"/>
      <c r="H30" s="207">
        <v>0.01</v>
      </c>
      <c r="I30" s="207">
        <v>7.0000000000000007E-2</v>
      </c>
      <c r="J30" s="207" t="s">
        <v>329</v>
      </c>
      <c r="K30" s="220"/>
      <c r="L30" s="141"/>
      <c r="M30" s="128"/>
    </row>
    <row r="31" spans="1:13" ht="20.100000000000001" customHeight="1" x14ac:dyDescent="0.25">
      <c r="A31" s="126">
        <v>42233</v>
      </c>
      <c r="B31" s="71">
        <v>1600</v>
      </c>
      <c r="C31" s="220" t="s">
        <v>16</v>
      </c>
      <c r="D31" s="207">
        <v>0.03</v>
      </c>
      <c r="E31" s="207">
        <v>0.25</v>
      </c>
      <c r="F31" s="207" t="s">
        <v>329</v>
      </c>
      <c r="G31" s="171"/>
      <c r="H31" s="207">
        <v>0.01</v>
      </c>
      <c r="I31" s="207">
        <v>0.01</v>
      </c>
      <c r="J31" s="207" t="s">
        <v>329</v>
      </c>
      <c r="K31" s="220" t="s">
        <v>298</v>
      </c>
      <c r="L31" s="141"/>
      <c r="M31" s="128"/>
    </row>
    <row r="32" spans="1:13" ht="20.100000000000001" customHeight="1" x14ac:dyDescent="0.25">
      <c r="A32" s="126">
        <v>42234</v>
      </c>
      <c r="B32" s="71">
        <v>1000</v>
      </c>
      <c r="C32" s="220" t="s">
        <v>95</v>
      </c>
      <c r="D32" s="207">
        <v>0.05</v>
      </c>
      <c r="E32" s="207">
        <v>0.26</v>
      </c>
      <c r="F32" s="207" t="s">
        <v>329</v>
      </c>
      <c r="G32" s="171"/>
      <c r="H32" s="207">
        <v>0.02</v>
      </c>
      <c r="I32" s="207">
        <v>0.03</v>
      </c>
      <c r="J32" s="207" t="s">
        <v>329</v>
      </c>
      <c r="K32" s="220"/>
      <c r="L32" s="141"/>
      <c r="M32" s="128"/>
    </row>
    <row r="33" spans="1:14" ht="20.100000000000001" customHeight="1" x14ac:dyDescent="0.25">
      <c r="A33" s="126">
        <v>42234</v>
      </c>
      <c r="B33" s="71">
        <v>1650</v>
      </c>
      <c r="C33" s="220" t="s">
        <v>17</v>
      </c>
      <c r="D33" s="207">
        <v>0.17</v>
      </c>
      <c r="E33" s="207">
        <v>0.23</v>
      </c>
      <c r="F33" s="207" t="s">
        <v>329</v>
      </c>
      <c r="G33" s="171"/>
      <c r="H33" s="207">
        <v>0.01</v>
      </c>
      <c r="I33" s="207">
        <v>0.02</v>
      </c>
      <c r="J33" s="207" t="s">
        <v>329</v>
      </c>
      <c r="K33" s="220" t="s">
        <v>298</v>
      </c>
      <c r="L33" s="141"/>
      <c r="M33" s="128"/>
    </row>
    <row r="34" spans="1:14" ht="20.100000000000001" customHeight="1" x14ac:dyDescent="0.25">
      <c r="A34" s="126">
        <v>42235</v>
      </c>
      <c r="B34" s="71" t="s">
        <v>64</v>
      </c>
      <c r="C34" s="220" t="s">
        <v>17</v>
      </c>
      <c r="D34" s="207">
        <v>0.05</v>
      </c>
      <c r="E34" s="207">
        <v>0.23</v>
      </c>
      <c r="F34" s="207" t="s">
        <v>329</v>
      </c>
      <c r="G34" s="171"/>
      <c r="H34" s="207">
        <v>0.01</v>
      </c>
      <c r="I34" s="207">
        <v>0.01</v>
      </c>
      <c r="J34" s="207" t="s">
        <v>329</v>
      </c>
      <c r="K34" s="220"/>
      <c r="L34" s="141"/>
      <c r="M34" s="128"/>
    </row>
    <row r="35" spans="1:14" ht="20.100000000000001" customHeight="1" x14ac:dyDescent="0.25">
      <c r="A35" s="126">
        <v>42235</v>
      </c>
      <c r="B35" s="71">
        <v>1645</v>
      </c>
      <c r="C35" s="220" t="s">
        <v>17</v>
      </c>
      <c r="D35" s="207">
        <v>0.18</v>
      </c>
      <c r="E35" s="207">
        <v>0.21</v>
      </c>
      <c r="F35" s="207" t="s">
        <v>329</v>
      </c>
      <c r="G35" s="171"/>
      <c r="H35" s="207">
        <v>0.01</v>
      </c>
      <c r="I35" s="207">
        <v>0.03</v>
      </c>
      <c r="J35" s="207" t="s">
        <v>329</v>
      </c>
      <c r="K35" s="220" t="s">
        <v>298</v>
      </c>
      <c r="L35" s="141">
        <v>10756.1</v>
      </c>
      <c r="M35" s="128"/>
    </row>
    <row r="36" spans="1:14" ht="20.100000000000001" customHeight="1" x14ac:dyDescent="0.25">
      <c r="A36" s="126">
        <v>42236</v>
      </c>
      <c r="B36" s="71" t="s">
        <v>70</v>
      </c>
      <c r="C36" s="220" t="s">
        <v>17</v>
      </c>
      <c r="D36" s="207">
        <v>0.04</v>
      </c>
      <c r="E36" s="207">
        <v>0.13</v>
      </c>
      <c r="F36" s="207" t="s">
        <v>329</v>
      </c>
      <c r="G36" s="171"/>
      <c r="H36" s="207">
        <v>0.01</v>
      </c>
      <c r="I36" s="207">
        <v>0.02</v>
      </c>
      <c r="J36" s="207" t="s">
        <v>329</v>
      </c>
      <c r="K36" s="220"/>
      <c r="L36" s="141"/>
      <c r="M36" s="128"/>
    </row>
    <row r="37" spans="1:14" ht="20.100000000000001" customHeight="1" x14ac:dyDescent="0.25">
      <c r="A37" s="126">
        <v>42236</v>
      </c>
      <c r="B37" s="71">
        <v>1630</v>
      </c>
      <c r="C37" s="220" t="s">
        <v>17</v>
      </c>
      <c r="D37" s="207">
        <v>0.04</v>
      </c>
      <c r="E37" s="207">
        <v>0.06</v>
      </c>
      <c r="F37" s="207" t="s">
        <v>329</v>
      </c>
      <c r="G37" s="171"/>
      <c r="H37" s="207">
        <v>0.01</v>
      </c>
      <c r="I37" s="207">
        <v>0.02</v>
      </c>
      <c r="J37" s="207" t="s">
        <v>329</v>
      </c>
      <c r="K37" s="220" t="s">
        <v>298</v>
      </c>
      <c r="L37" s="141">
        <v>10767.4</v>
      </c>
      <c r="M37" s="128">
        <f>L37-L35</f>
        <v>11.299999999999272</v>
      </c>
      <c r="N37" s="187" t="s">
        <v>330</v>
      </c>
    </row>
    <row r="38" spans="1:14" ht="20.100000000000001" customHeight="1" x14ac:dyDescent="0.25">
      <c r="A38" s="126">
        <v>42237</v>
      </c>
      <c r="B38" s="71" t="s">
        <v>71</v>
      </c>
      <c r="C38" s="220" t="s">
        <v>16</v>
      </c>
      <c r="D38" s="207">
        <v>0.02</v>
      </c>
      <c r="E38" s="207">
        <v>0.04</v>
      </c>
      <c r="F38" s="207" t="s">
        <v>329</v>
      </c>
      <c r="G38" s="171"/>
      <c r="H38" s="207">
        <v>0.01</v>
      </c>
      <c r="I38" s="207">
        <v>0.02</v>
      </c>
      <c r="J38" s="207" t="s">
        <v>329</v>
      </c>
      <c r="K38" s="220"/>
      <c r="L38" s="141"/>
      <c r="M38" s="128"/>
    </row>
    <row r="39" spans="1:14" ht="20.100000000000001" customHeight="1" x14ac:dyDescent="0.25">
      <c r="A39" s="126">
        <v>42237</v>
      </c>
      <c r="B39" s="71">
        <v>1100</v>
      </c>
      <c r="C39" s="220" t="s">
        <v>16</v>
      </c>
      <c r="D39" s="288" t="s">
        <v>18</v>
      </c>
      <c r="E39" s="290"/>
      <c r="F39" s="207" t="s">
        <v>329</v>
      </c>
      <c r="G39" s="171"/>
      <c r="H39" s="207"/>
      <c r="I39" s="207"/>
      <c r="J39" s="207" t="s">
        <v>329</v>
      </c>
      <c r="K39" s="220"/>
      <c r="L39" s="141"/>
      <c r="M39" s="128"/>
    </row>
    <row r="40" spans="1:14" ht="20.100000000000001" customHeight="1" x14ac:dyDescent="0.25">
      <c r="A40" s="126">
        <v>42237</v>
      </c>
      <c r="B40" s="71">
        <v>1545</v>
      </c>
      <c r="C40" s="220" t="s">
        <v>16</v>
      </c>
      <c r="D40" s="207">
        <v>0.04</v>
      </c>
      <c r="E40" s="207">
        <v>0.36</v>
      </c>
      <c r="F40" s="207" t="s">
        <v>329</v>
      </c>
      <c r="G40" s="171"/>
      <c r="H40" s="72" t="s">
        <v>20</v>
      </c>
      <c r="I40" s="207">
        <v>0.02</v>
      </c>
      <c r="J40" s="207" t="s">
        <v>329</v>
      </c>
      <c r="K40" s="220" t="s">
        <v>298</v>
      </c>
      <c r="L40" s="141">
        <v>10767.4</v>
      </c>
      <c r="M40" s="128">
        <f>L40-L37</f>
        <v>0</v>
      </c>
      <c r="N40" s="187" t="s">
        <v>330</v>
      </c>
    </row>
    <row r="41" spans="1:14" ht="20.100000000000001" customHeight="1" x14ac:dyDescent="0.25">
      <c r="A41" s="126">
        <v>42240</v>
      </c>
      <c r="B41" s="73" t="s">
        <v>66</v>
      </c>
      <c r="C41" s="211" t="s">
        <v>16</v>
      </c>
      <c r="D41" s="129">
        <v>0.03</v>
      </c>
      <c r="E41" s="207">
        <v>0.35</v>
      </c>
      <c r="F41" s="207" t="s">
        <v>329</v>
      </c>
      <c r="G41" s="171"/>
      <c r="H41" s="207">
        <v>0.05</v>
      </c>
      <c r="I41" s="207">
        <v>0.02</v>
      </c>
      <c r="J41" s="207" t="s">
        <v>329</v>
      </c>
      <c r="K41" s="220"/>
      <c r="L41" s="141"/>
      <c r="M41" s="128"/>
    </row>
    <row r="42" spans="1:14" ht="20.100000000000001" customHeight="1" x14ac:dyDescent="0.25">
      <c r="A42" s="126">
        <v>42240</v>
      </c>
      <c r="B42" s="71">
        <v>1645</v>
      </c>
      <c r="C42" s="220" t="s">
        <v>17</v>
      </c>
      <c r="D42" s="207">
        <v>0.3</v>
      </c>
      <c r="E42" s="207">
        <v>0.34</v>
      </c>
      <c r="F42" s="207" t="s">
        <v>329</v>
      </c>
      <c r="G42" s="171"/>
      <c r="H42" s="207">
        <v>0.02</v>
      </c>
      <c r="I42" s="207">
        <v>0.03</v>
      </c>
      <c r="J42" s="207" t="s">
        <v>329</v>
      </c>
      <c r="K42" s="220" t="s">
        <v>298</v>
      </c>
      <c r="L42" s="141">
        <v>10784.8</v>
      </c>
      <c r="M42" s="128">
        <f>L42-L40</f>
        <v>17.399999999999636</v>
      </c>
      <c r="N42" s="187" t="s">
        <v>330</v>
      </c>
    </row>
    <row r="43" spans="1:14" ht="20.100000000000001" customHeight="1" x14ac:dyDescent="0.25">
      <c r="A43" s="126">
        <v>42241</v>
      </c>
      <c r="B43" s="71" t="s">
        <v>72</v>
      </c>
      <c r="C43" s="220" t="s">
        <v>17</v>
      </c>
      <c r="D43" s="207">
        <v>0.21</v>
      </c>
      <c r="E43" s="207">
        <v>0.32</v>
      </c>
      <c r="F43" s="207" t="s">
        <v>329</v>
      </c>
      <c r="G43" s="171"/>
      <c r="H43" s="72" t="s">
        <v>20</v>
      </c>
      <c r="I43" s="207">
        <v>0.01</v>
      </c>
      <c r="J43" s="207" t="s">
        <v>329</v>
      </c>
      <c r="K43" s="220"/>
      <c r="L43" s="141"/>
      <c r="M43" s="128"/>
    </row>
    <row r="44" spans="1:14" ht="20.100000000000001" customHeight="1" x14ac:dyDescent="0.25">
      <c r="A44" s="126">
        <v>42241</v>
      </c>
      <c r="B44" s="71">
        <v>1705</v>
      </c>
      <c r="C44" s="220" t="s">
        <v>17</v>
      </c>
      <c r="D44" s="207">
        <v>0.19</v>
      </c>
      <c r="E44" s="207">
        <v>0.34</v>
      </c>
      <c r="F44" s="207" t="s">
        <v>329</v>
      </c>
      <c r="G44" s="171"/>
      <c r="H44" s="207">
        <v>0.02</v>
      </c>
      <c r="I44" s="207">
        <v>0.02</v>
      </c>
      <c r="J44" s="207" t="s">
        <v>329</v>
      </c>
      <c r="K44" s="220" t="s">
        <v>298</v>
      </c>
      <c r="L44" s="141">
        <v>10790.4</v>
      </c>
      <c r="M44" s="128">
        <f>L44-L42</f>
        <v>5.6000000000003638</v>
      </c>
      <c r="N44" s="187" t="s">
        <v>330</v>
      </c>
    </row>
    <row r="45" spans="1:14" ht="20.100000000000001" customHeight="1" x14ac:dyDescent="0.25">
      <c r="A45" s="126">
        <v>42242</v>
      </c>
      <c r="B45" s="71" t="s">
        <v>73</v>
      </c>
      <c r="C45" s="220" t="s">
        <v>17</v>
      </c>
      <c r="D45" s="207">
        <v>0.22</v>
      </c>
      <c r="E45" s="207">
        <v>0.26</v>
      </c>
      <c r="F45" s="207" t="s">
        <v>329</v>
      </c>
      <c r="G45" s="171"/>
      <c r="H45" s="207">
        <v>0.01</v>
      </c>
      <c r="I45" s="207">
        <v>0.01</v>
      </c>
      <c r="J45" s="207" t="s">
        <v>329</v>
      </c>
      <c r="K45" s="220"/>
      <c r="L45" s="141"/>
      <c r="M45" s="128"/>
    </row>
    <row r="46" spans="1:14" ht="20.100000000000001" customHeight="1" x14ac:dyDescent="0.25">
      <c r="A46" s="126">
        <v>42242</v>
      </c>
      <c r="B46" s="71" t="s">
        <v>21</v>
      </c>
      <c r="C46" s="285" t="s">
        <v>134</v>
      </c>
      <c r="D46" s="286"/>
      <c r="E46" s="286"/>
      <c r="F46" s="287"/>
      <c r="G46" s="171"/>
      <c r="H46" s="207"/>
      <c r="I46" s="207"/>
      <c r="J46" s="207" t="s">
        <v>329</v>
      </c>
      <c r="K46" s="220"/>
      <c r="L46" s="141"/>
      <c r="M46" s="128"/>
    </row>
    <row r="47" spans="1:14" ht="20.100000000000001" customHeight="1" x14ac:dyDescent="0.25">
      <c r="A47" s="126">
        <v>42243</v>
      </c>
      <c r="B47" s="71" t="s">
        <v>71</v>
      </c>
      <c r="C47" s="220" t="s">
        <v>17</v>
      </c>
      <c r="D47" s="207">
        <v>0.2</v>
      </c>
      <c r="E47" s="207">
        <v>0.37</v>
      </c>
      <c r="F47" s="207" t="s">
        <v>329</v>
      </c>
      <c r="G47" s="171"/>
      <c r="H47" s="207">
        <v>0.03</v>
      </c>
      <c r="I47" s="207">
        <v>0.25</v>
      </c>
      <c r="J47" s="207" t="s">
        <v>329</v>
      </c>
      <c r="K47" s="220" t="s">
        <v>298</v>
      </c>
      <c r="L47" s="141">
        <v>10803.9</v>
      </c>
      <c r="M47" s="128">
        <f>L47-L44</f>
        <v>13.5</v>
      </c>
      <c r="N47" s="187" t="s">
        <v>330</v>
      </c>
    </row>
    <row r="48" spans="1:14" ht="20.100000000000001" customHeight="1" x14ac:dyDescent="0.25">
      <c r="A48" s="126">
        <v>42243</v>
      </c>
      <c r="B48" s="71">
        <v>1640</v>
      </c>
      <c r="C48" s="220" t="s">
        <v>17</v>
      </c>
      <c r="D48" s="207">
        <v>0.28999999999999998</v>
      </c>
      <c r="E48" s="207">
        <v>0.37</v>
      </c>
      <c r="F48" s="207" t="s">
        <v>329</v>
      </c>
      <c r="G48" s="171"/>
      <c r="H48" s="207">
        <v>0.05</v>
      </c>
      <c r="I48" s="207">
        <v>0.28999999999999998</v>
      </c>
      <c r="J48" s="207" t="s">
        <v>329</v>
      </c>
      <c r="K48" s="220" t="s">
        <v>298</v>
      </c>
      <c r="L48" s="141">
        <v>10816.6</v>
      </c>
      <c r="M48" s="128">
        <f>L48-L47</f>
        <v>12.700000000000728</v>
      </c>
      <c r="N48" s="187" t="s">
        <v>330</v>
      </c>
    </row>
    <row r="49" spans="1:14" ht="20.100000000000001" customHeight="1" x14ac:dyDescent="0.25">
      <c r="A49" s="126">
        <v>42244</v>
      </c>
      <c r="B49" s="71" t="s">
        <v>64</v>
      </c>
      <c r="C49" s="220" t="s">
        <v>17</v>
      </c>
      <c r="D49" s="207">
        <v>0.28999999999999998</v>
      </c>
      <c r="E49" s="207">
        <v>0.36</v>
      </c>
      <c r="F49" s="207" t="s">
        <v>329</v>
      </c>
      <c r="G49" s="171"/>
      <c r="H49" s="207">
        <v>0.01</v>
      </c>
      <c r="I49" s="207">
        <v>0.28999999999999998</v>
      </c>
      <c r="J49" s="207" t="s">
        <v>329</v>
      </c>
      <c r="K49" s="220"/>
      <c r="L49" s="141"/>
      <c r="M49" s="128"/>
    </row>
    <row r="50" spans="1:14" ht="20.100000000000001" customHeight="1" x14ac:dyDescent="0.25">
      <c r="A50" s="126">
        <v>42244</v>
      </c>
      <c r="B50" s="71">
        <v>1610</v>
      </c>
      <c r="C50" s="220" t="s">
        <v>17</v>
      </c>
      <c r="D50" s="207">
        <v>0.33</v>
      </c>
      <c r="E50" s="207">
        <v>0.35</v>
      </c>
      <c r="F50" s="207" t="s">
        <v>329</v>
      </c>
      <c r="G50" s="171"/>
      <c r="H50" s="207">
        <v>0.01</v>
      </c>
      <c r="I50" s="207">
        <v>0.28000000000000003</v>
      </c>
      <c r="J50" s="207" t="s">
        <v>329</v>
      </c>
      <c r="K50" s="220" t="s">
        <v>298</v>
      </c>
      <c r="L50" s="141">
        <v>10829.4</v>
      </c>
      <c r="M50" s="128">
        <f>L50-L48</f>
        <v>12.799999999999272</v>
      </c>
      <c r="N50" s="187" t="s">
        <v>330</v>
      </c>
    </row>
    <row r="51" spans="1:14" ht="20.100000000000001" customHeight="1" x14ac:dyDescent="0.25">
      <c r="A51" s="126">
        <v>42247</v>
      </c>
      <c r="B51" s="71" t="s">
        <v>74</v>
      </c>
      <c r="C51" s="220" t="s">
        <v>95</v>
      </c>
      <c r="D51" s="207">
        <v>0.03</v>
      </c>
      <c r="E51" s="207">
        <v>0.28999999999999998</v>
      </c>
      <c r="F51" s="207" t="s">
        <v>329</v>
      </c>
      <c r="G51" s="171"/>
      <c r="H51" s="207">
        <v>0.03</v>
      </c>
      <c r="I51" s="207">
        <v>0.28999999999999998</v>
      </c>
      <c r="J51" s="207" t="s">
        <v>329</v>
      </c>
      <c r="K51" s="220"/>
      <c r="L51" s="141">
        <v>10832.2</v>
      </c>
      <c r="M51" s="128"/>
    </row>
    <row r="52" spans="1:14" ht="20.100000000000001" customHeight="1" x14ac:dyDescent="0.25">
      <c r="A52" s="126">
        <v>42247</v>
      </c>
      <c r="B52" s="71">
        <v>1625</v>
      </c>
      <c r="C52" s="220" t="s">
        <v>17</v>
      </c>
      <c r="D52" s="207">
        <v>0.02</v>
      </c>
      <c r="E52" s="207">
        <v>0.31</v>
      </c>
      <c r="F52" s="207" t="s">
        <v>329</v>
      </c>
      <c r="G52" s="171"/>
      <c r="H52" s="207">
        <v>0.01</v>
      </c>
      <c r="I52" s="207">
        <v>0.02</v>
      </c>
      <c r="J52" s="207" t="s">
        <v>329</v>
      </c>
      <c r="K52" s="220" t="s">
        <v>298</v>
      </c>
      <c r="L52" s="141">
        <v>10839.7</v>
      </c>
      <c r="M52" s="128"/>
    </row>
    <row r="53" spans="1:14" ht="20.100000000000001" customHeight="1" x14ac:dyDescent="0.25">
      <c r="A53" s="126">
        <v>42248</v>
      </c>
      <c r="B53" s="71" t="s">
        <v>66</v>
      </c>
      <c r="C53" s="220" t="s">
        <v>95</v>
      </c>
      <c r="D53" s="207">
        <v>0.03</v>
      </c>
      <c r="E53" s="207">
        <v>0.28000000000000003</v>
      </c>
      <c r="F53" s="207" t="s">
        <v>329</v>
      </c>
      <c r="G53" s="171"/>
      <c r="H53" s="207">
        <v>0.02</v>
      </c>
      <c r="I53" s="207">
        <v>0.02</v>
      </c>
      <c r="J53" s="207" t="s">
        <v>329</v>
      </c>
      <c r="K53" s="220"/>
      <c r="L53" s="141">
        <v>10845.5</v>
      </c>
      <c r="M53" s="128"/>
    </row>
    <row r="54" spans="1:14" ht="20.100000000000001" customHeight="1" x14ac:dyDescent="0.25">
      <c r="A54" s="126">
        <v>42248</v>
      </c>
      <c r="B54" s="71">
        <v>1625</v>
      </c>
      <c r="C54" s="220" t="s">
        <v>17</v>
      </c>
      <c r="D54" s="207">
        <v>0.02</v>
      </c>
      <c r="E54" s="207">
        <v>0.27</v>
      </c>
      <c r="F54" s="207" t="s">
        <v>329</v>
      </c>
      <c r="G54" s="171"/>
      <c r="H54" s="207">
        <v>0.01</v>
      </c>
      <c r="I54" s="207">
        <v>0.02</v>
      </c>
      <c r="J54" s="207" t="s">
        <v>329</v>
      </c>
      <c r="K54" s="220" t="s">
        <v>298</v>
      </c>
      <c r="L54" s="141">
        <v>10850.8</v>
      </c>
      <c r="M54" s="128"/>
    </row>
    <row r="55" spans="1:14" ht="20.100000000000001" customHeight="1" x14ac:dyDescent="0.25">
      <c r="A55" s="126">
        <v>42249</v>
      </c>
      <c r="B55" s="71" t="s">
        <v>75</v>
      </c>
      <c r="C55" s="220" t="s">
        <v>95</v>
      </c>
      <c r="D55" s="207">
        <v>0.02</v>
      </c>
      <c r="E55" s="207">
        <v>0.32</v>
      </c>
      <c r="F55" s="207" t="s">
        <v>329</v>
      </c>
      <c r="G55" s="171"/>
      <c r="H55" s="207">
        <v>0.01</v>
      </c>
      <c r="I55" s="207">
        <v>0.02</v>
      </c>
      <c r="J55" s="207" t="s">
        <v>329</v>
      </c>
      <c r="K55" s="220"/>
      <c r="L55" s="141"/>
      <c r="M55" s="128"/>
    </row>
    <row r="56" spans="1:14" ht="20.100000000000001" customHeight="1" x14ac:dyDescent="0.25">
      <c r="A56" s="126">
        <v>42249</v>
      </c>
      <c r="B56" s="71">
        <v>1050</v>
      </c>
      <c r="C56" s="220" t="s">
        <v>16</v>
      </c>
      <c r="D56" s="288" t="s">
        <v>18</v>
      </c>
      <c r="E56" s="289"/>
      <c r="F56" s="290"/>
      <c r="G56" s="171"/>
      <c r="H56" s="207"/>
      <c r="I56" s="207"/>
      <c r="J56" s="207" t="s">
        <v>329</v>
      </c>
      <c r="K56" s="220"/>
      <c r="L56" s="141"/>
      <c r="M56" s="128"/>
    </row>
    <row r="57" spans="1:14" ht="20.100000000000001" customHeight="1" x14ac:dyDescent="0.25">
      <c r="A57" s="126">
        <v>42249</v>
      </c>
      <c r="B57" s="71">
        <v>1650</v>
      </c>
      <c r="C57" s="220" t="s">
        <v>17</v>
      </c>
      <c r="D57" s="207">
        <v>0.01</v>
      </c>
      <c r="E57" s="207">
        <v>0.28000000000000003</v>
      </c>
      <c r="F57" s="207" t="s">
        <v>329</v>
      </c>
      <c r="G57" s="171"/>
      <c r="H57" s="207">
        <v>0.03</v>
      </c>
      <c r="I57" s="207">
        <v>0.04</v>
      </c>
      <c r="J57" s="207" t="s">
        <v>329</v>
      </c>
      <c r="K57" s="220" t="s">
        <v>298</v>
      </c>
      <c r="L57" s="141">
        <v>10865</v>
      </c>
      <c r="M57" s="128"/>
    </row>
    <row r="58" spans="1:14" ht="20.100000000000001" customHeight="1" x14ac:dyDescent="0.25">
      <c r="A58" s="126">
        <v>42250</v>
      </c>
      <c r="B58" s="71" t="s">
        <v>75</v>
      </c>
      <c r="C58" s="220" t="s">
        <v>95</v>
      </c>
      <c r="D58" s="207">
        <v>0.05</v>
      </c>
      <c r="E58" s="207">
        <v>0.26</v>
      </c>
      <c r="F58" s="207" t="s">
        <v>329</v>
      </c>
      <c r="G58" s="171"/>
      <c r="H58" s="207">
        <v>0.02</v>
      </c>
      <c r="I58" s="207">
        <v>0.04</v>
      </c>
      <c r="J58" s="207" t="s">
        <v>329</v>
      </c>
      <c r="K58" s="220"/>
      <c r="L58" s="141"/>
      <c r="M58" s="128"/>
    </row>
    <row r="59" spans="1:14" ht="20.100000000000001" customHeight="1" x14ac:dyDescent="0.25">
      <c r="A59" s="126">
        <v>42250</v>
      </c>
      <c r="B59" s="71">
        <v>1645</v>
      </c>
      <c r="C59" s="220" t="s">
        <v>17</v>
      </c>
      <c r="D59" s="207">
        <v>0.23</v>
      </c>
      <c r="E59" s="207">
        <v>0.24</v>
      </c>
      <c r="F59" s="207" t="s">
        <v>329</v>
      </c>
      <c r="G59" s="171"/>
      <c r="H59" s="207">
        <v>0</v>
      </c>
      <c r="I59" s="207">
        <v>0.04</v>
      </c>
      <c r="J59" s="207" t="s">
        <v>329</v>
      </c>
      <c r="K59" s="220" t="s">
        <v>298</v>
      </c>
      <c r="L59" s="141">
        <v>10869.8</v>
      </c>
      <c r="M59" s="128"/>
    </row>
    <row r="60" spans="1:14" ht="20.100000000000001" customHeight="1" x14ac:dyDescent="0.25">
      <c r="A60" s="126">
        <v>42251</v>
      </c>
      <c r="B60" s="71" t="s">
        <v>63</v>
      </c>
      <c r="C60" s="220" t="s">
        <v>16</v>
      </c>
      <c r="D60" s="207">
        <v>0.21</v>
      </c>
      <c r="E60" s="207">
        <v>0.23</v>
      </c>
      <c r="F60" s="207" t="s">
        <v>329</v>
      </c>
      <c r="G60" s="171"/>
      <c r="H60" s="207">
        <v>0.02</v>
      </c>
      <c r="I60" s="207">
        <v>0.02</v>
      </c>
      <c r="J60" s="207" t="s">
        <v>329</v>
      </c>
      <c r="K60" s="220"/>
      <c r="L60" s="141"/>
      <c r="M60" s="128"/>
    </row>
    <row r="61" spans="1:14" ht="20.100000000000001" customHeight="1" x14ac:dyDescent="0.25">
      <c r="A61" s="126">
        <v>42251</v>
      </c>
      <c r="B61" s="71">
        <v>1545</v>
      </c>
      <c r="C61" s="220" t="s">
        <v>16</v>
      </c>
      <c r="D61" s="207">
        <v>0.2</v>
      </c>
      <c r="E61" s="207">
        <v>0.23</v>
      </c>
      <c r="F61" s="207" t="s">
        <v>329</v>
      </c>
      <c r="G61" s="171"/>
      <c r="H61" s="207">
        <v>0.03</v>
      </c>
      <c r="I61" s="207">
        <v>0.02</v>
      </c>
      <c r="J61" s="207" t="s">
        <v>329</v>
      </c>
      <c r="K61" s="220" t="s">
        <v>298</v>
      </c>
      <c r="L61" s="141">
        <v>10875.6</v>
      </c>
      <c r="M61" s="128"/>
    </row>
    <row r="62" spans="1:14" ht="20.100000000000001" customHeight="1" x14ac:dyDescent="0.25">
      <c r="A62" s="126">
        <v>42254</v>
      </c>
      <c r="B62" s="291" t="s">
        <v>135</v>
      </c>
      <c r="C62" s="292"/>
      <c r="D62" s="207"/>
      <c r="E62" s="207"/>
      <c r="F62" s="207" t="s">
        <v>329</v>
      </c>
      <c r="G62" s="171"/>
      <c r="H62" s="207"/>
      <c r="I62" s="207"/>
      <c r="J62" s="207" t="s">
        <v>329</v>
      </c>
      <c r="K62" s="220"/>
      <c r="L62" s="141"/>
      <c r="M62" s="128"/>
    </row>
    <row r="63" spans="1:14" ht="20.100000000000001" customHeight="1" x14ac:dyDescent="0.25">
      <c r="A63" s="126">
        <v>42255</v>
      </c>
      <c r="B63" s="71" t="s">
        <v>66</v>
      </c>
      <c r="C63" s="220" t="s">
        <v>16</v>
      </c>
      <c r="D63" s="207">
        <v>0.01</v>
      </c>
      <c r="E63" s="207">
        <v>0.03</v>
      </c>
      <c r="F63" s="207" t="s">
        <v>329</v>
      </c>
      <c r="G63" s="171"/>
      <c r="H63" s="207">
        <v>0.01</v>
      </c>
      <c r="I63" s="207">
        <v>0.01</v>
      </c>
      <c r="J63" s="207" t="s">
        <v>329</v>
      </c>
      <c r="K63" s="220"/>
      <c r="L63" s="141"/>
      <c r="M63" s="128"/>
    </row>
    <row r="64" spans="1:14" ht="20.100000000000001" customHeight="1" x14ac:dyDescent="0.25">
      <c r="A64" s="126">
        <v>42255</v>
      </c>
      <c r="B64" s="71">
        <v>1105</v>
      </c>
      <c r="C64" s="220" t="s">
        <v>16</v>
      </c>
      <c r="D64" s="207">
        <v>0.36</v>
      </c>
      <c r="E64" s="207">
        <v>0.4</v>
      </c>
      <c r="F64" s="207">
        <v>0.36</v>
      </c>
      <c r="G64" s="171"/>
      <c r="H64" s="207"/>
      <c r="I64" s="207"/>
      <c r="J64" s="207" t="s">
        <v>329</v>
      </c>
      <c r="K64" s="220"/>
      <c r="L64" s="141"/>
      <c r="M64" s="128"/>
    </row>
    <row r="65" spans="1:13" ht="20.100000000000001" customHeight="1" x14ac:dyDescent="0.25">
      <c r="A65" s="126">
        <v>42255</v>
      </c>
      <c r="B65" s="71">
        <v>1630</v>
      </c>
      <c r="C65" s="220" t="s">
        <v>17</v>
      </c>
      <c r="D65" s="207">
        <v>0.32</v>
      </c>
      <c r="E65" s="207">
        <v>0.32</v>
      </c>
      <c r="F65" s="207">
        <v>1.32</v>
      </c>
      <c r="G65" s="171"/>
      <c r="H65" s="207">
        <v>0.22</v>
      </c>
      <c r="I65" s="207">
        <v>0.26</v>
      </c>
      <c r="J65" s="207">
        <v>1.18</v>
      </c>
      <c r="K65" s="220" t="s">
        <v>298</v>
      </c>
      <c r="L65" s="141">
        <v>10884.3</v>
      </c>
      <c r="M65" s="128"/>
    </row>
    <row r="66" spans="1:13" ht="20.100000000000001" customHeight="1" x14ac:dyDescent="0.25">
      <c r="A66" s="126">
        <v>42256</v>
      </c>
      <c r="B66" s="71" t="s">
        <v>76</v>
      </c>
      <c r="C66" s="220" t="s">
        <v>77</v>
      </c>
      <c r="D66" s="207">
        <v>0.28000000000000003</v>
      </c>
      <c r="E66" s="207">
        <v>0.33</v>
      </c>
      <c r="F66" s="207">
        <v>0.28000000000000003</v>
      </c>
      <c r="G66" s="171"/>
      <c r="H66" s="207">
        <v>0.04</v>
      </c>
      <c r="I66" s="207">
        <v>0.14000000000000001</v>
      </c>
      <c r="J66" s="207">
        <v>0.38</v>
      </c>
      <c r="K66" s="220"/>
      <c r="L66" s="141"/>
      <c r="M66" s="128"/>
    </row>
    <row r="67" spans="1:13" ht="20.100000000000001" customHeight="1" x14ac:dyDescent="0.25">
      <c r="A67" s="126">
        <v>42256</v>
      </c>
      <c r="B67" s="71">
        <v>1640</v>
      </c>
      <c r="C67" s="220" t="s">
        <v>17</v>
      </c>
      <c r="D67" s="207">
        <v>0.06</v>
      </c>
      <c r="E67" s="207">
        <v>0.32</v>
      </c>
      <c r="F67" s="207">
        <v>0.57999999999999996</v>
      </c>
      <c r="G67" s="171"/>
      <c r="H67" s="207">
        <v>0.03</v>
      </c>
      <c r="I67" s="207">
        <v>0.13</v>
      </c>
      <c r="J67" s="207">
        <v>0.28000000000000003</v>
      </c>
      <c r="K67" s="220" t="s">
        <v>298</v>
      </c>
      <c r="L67" s="141">
        <v>10893.9</v>
      </c>
      <c r="M67" s="128"/>
    </row>
    <row r="68" spans="1:13" ht="20.100000000000001" customHeight="1" x14ac:dyDescent="0.25">
      <c r="A68" s="126">
        <v>42257</v>
      </c>
      <c r="B68" s="71" t="s">
        <v>78</v>
      </c>
      <c r="C68" s="220" t="s">
        <v>95</v>
      </c>
      <c r="D68" s="207">
        <v>0.05</v>
      </c>
      <c r="E68" s="207">
        <v>0.28000000000000003</v>
      </c>
      <c r="F68" s="207">
        <v>0.27</v>
      </c>
      <c r="G68" s="171"/>
      <c r="H68" s="207">
        <v>0.04</v>
      </c>
      <c r="I68" s="207">
        <v>0.02</v>
      </c>
      <c r="J68" s="207">
        <v>0.06</v>
      </c>
      <c r="K68" s="220"/>
      <c r="L68" s="141"/>
      <c r="M68" s="128"/>
    </row>
    <row r="69" spans="1:13" ht="20.100000000000001" customHeight="1" x14ac:dyDescent="0.25">
      <c r="A69" s="126">
        <v>42257</v>
      </c>
      <c r="B69" s="71">
        <v>1630</v>
      </c>
      <c r="C69" s="220" t="s">
        <v>17</v>
      </c>
      <c r="D69" s="207">
        <v>0.04</v>
      </c>
      <c r="E69" s="207">
        <v>0.3</v>
      </c>
      <c r="F69" s="207">
        <v>0.53</v>
      </c>
      <c r="G69" s="171"/>
      <c r="H69" s="207">
        <v>0</v>
      </c>
      <c r="I69" s="207">
        <v>0.03</v>
      </c>
      <c r="J69" s="207">
        <v>0.18</v>
      </c>
      <c r="K69" s="220" t="s">
        <v>298</v>
      </c>
      <c r="L69" s="141">
        <v>10906.8</v>
      </c>
      <c r="M69" s="128"/>
    </row>
    <row r="70" spans="1:13" ht="20.100000000000001" customHeight="1" x14ac:dyDescent="0.25">
      <c r="A70" s="126">
        <v>42258</v>
      </c>
      <c r="B70" s="71" t="s">
        <v>79</v>
      </c>
      <c r="C70" s="220" t="s">
        <v>95</v>
      </c>
      <c r="D70" s="207">
        <v>0</v>
      </c>
      <c r="E70" s="207">
        <v>0.26</v>
      </c>
      <c r="F70" s="207">
        <v>0.23</v>
      </c>
      <c r="G70" s="171"/>
      <c r="H70" s="207">
        <v>0</v>
      </c>
      <c r="I70" s="207">
        <v>0.04</v>
      </c>
      <c r="J70" s="207">
        <v>0.02</v>
      </c>
      <c r="K70" s="220"/>
      <c r="L70" s="141"/>
      <c r="M70" s="128"/>
    </row>
    <row r="71" spans="1:13" ht="20.100000000000001" customHeight="1" x14ac:dyDescent="0.25">
      <c r="A71" s="126">
        <v>42258</v>
      </c>
      <c r="B71" s="71">
        <v>1600</v>
      </c>
      <c r="C71" s="220" t="s">
        <v>17</v>
      </c>
      <c r="D71" s="207">
        <v>0.04</v>
      </c>
      <c r="E71" s="207">
        <v>0.32</v>
      </c>
      <c r="F71" s="207">
        <v>0.5</v>
      </c>
      <c r="G71" s="171"/>
      <c r="H71" s="207">
        <v>0</v>
      </c>
      <c r="I71" s="207">
        <v>0.03</v>
      </c>
      <c r="J71" s="207">
        <v>0.28999999999999998</v>
      </c>
      <c r="K71" s="220" t="s">
        <v>298</v>
      </c>
      <c r="L71" s="141">
        <v>10922.3</v>
      </c>
      <c r="M71" s="128"/>
    </row>
    <row r="72" spans="1:13" ht="20.100000000000001" customHeight="1" x14ac:dyDescent="0.25">
      <c r="A72" s="126">
        <v>42261</v>
      </c>
      <c r="B72" s="71" t="s">
        <v>68</v>
      </c>
      <c r="C72" s="220" t="s">
        <v>17</v>
      </c>
      <c r="D72" s="207">
        <v>0.03</v>
      </c>
      <c r="E72" s="207">
        <v>0.22</v>
      </c>
      <c r="F72" s="207">
        <v>0.21</v>
      </c>
      <c r="G72" s="171"/>
      <c r="H72" s="207">
        <v>0.04</v>
      </c>
      <c r="I72" s="207">
        <v>0.03</v>
      </c>
      <c r="J72" s="207">
        <v>0.03</v>
      </c>
      <c r="K72" s="220"/>
      <c r="L72" s="141"/>
      <c r="M72" s="128"/>
    </row>
    <row r="73" spans="1:13" ht="20.100000000000001" customHeight="1" x14ac:dyDescent="0.25">
      <c r="A73" s="126">
        <v>42261</v>
      </c>
      <c r="B73" s="71">
        <v>1630</v>
      </c>
      <c r="C73" s="220" t="s">
        <v>17</v>
      </c>
      <c r="D73" s="207">
        <v>0.03</v>
      </c>
      <c r="E73" s="207">
        <v>0.24</v>
      </c>
      <c r="F73" s="207">
        <v>0.19</v>
      </c>
      <c r="G73" s="171"/>
      <c r="H73" s="207">
        <v>0.03</v>
      </c>
      <c r="I73" s="207">
        <v>0.03</v>
      </c>
      <c r="J73" s="207">
        <v>0</v>
      </c>
      <c r="K73" s="220" t="s">
        <v>298</v>
      </c>
      <c r="L73" s="141">
        <v>10934.2</v>
      </c>
      <c r="M73" s="128"/>
    </row>
    <row r="74" spans="1:13" ht="20.100000000000001" customHeight="1" x14ac:dyDescent="0.25">
      <c r="A74" s="126">
        <v>42262</v>
      </c>
      <c r="B74" s="71" t="s">
        <v>80</v>
      </c>
      <c r="C74" s="220" t="s">
        <v>95</v>
      </c>
      <c r="D74" s="207">
        <v>0</v>
      </c>
      <c r="E74" s="207">
        <v>0.15</v>
      </c>
      <c r="F74" s="207">
        <v>0.14000000000000001</v>
      </c>
      <c r="G74" s="171"/>
      <c r="H74" s="207">
        <v>0</v>
      </c>
      <c r="I74" s="207">
        <v>0.11</v>
      </c>
      <c r="J74" s="207">
        <v>0.03</v>
      </c>
      <c r="K74" s="220"/>
      <c r="L74" s="141"/>
      <c r="M74" s="128"/>
    </row>
    <row r="75" spans="1:13" ht="20.100000000000001" customHeight="1" x14ac:dyDescent="0.25">
      <c r="A75" s="126">
        <v>42262</v>
      </c>
      <c r="B75" s="71">
        <v>1650</v>
      </c>
      <c r="C75" s="220" t="s">
        <v>17</v>
      </c>
      <c r="D75" s="207">
        <v>0.02</v>
      </c>
      <c r="E75" s="207">
        <v>0.12</v>
      </c>
      <c r="F75" s="207">
        <v>0.12</v>
      </c>
      <c r="G75" s="171"/>
      <c r="H75" s="207">
        <v>0</v>
      </c>
      <c r="I75" s="207">
        <v>0.01</v>
      </c>
      <c r="J75" s="207">
        <v>0</v>
      </c>
      <c r="K75" s="220" t="s">
        <v>298</v>
      </c>
      <c r="L75" s="141">
        <v>10944.8</v>
      </c>
      <c r="M75" s="128"/>
    </row>
    <row r="76" spans="1:13" ht="20.100000000000001" customHeight="1" x14ac:dyDescent="0.25">
      <c r="A76" s="126">
        <v>42263</v>
      </c>
      <c r="B76" s="71" t="s">
        <v>73</v>
      </c>
      <c r="C76" s="220" t="s">
        <v>95</v>
      </c>
      <c r="D76" s="207">
        <v>0.04</v>
      </c>
      <c r="E76" s="207">
        <v>0.3</v>
      </c>
      <c r="F76" s="207">
        <v>0.26</v>
      </c>
      <c r="G76" s="171"/>
      <c r="H76" s="207">
        <v>0</v>
      </c>
      <c r="I76" s="207">
        <v>0.01</v>
      </c>
      <c r="J76" s="207">
        <v>0.04</v>
      </c>
      <c r="K76" s="220"/>
      <c r="L76" s="141"/>
      <c r="M76" s="128"/>
    </row>
    <row r="77" spans="1:13" ht="20.100000000000001" customHeight="1" x14ac:dyDescent="0.25">
      <c r="A77" s="126">
        <v>42263</v>
      </c>
      <c r="B77" s="71" t="s">
        <v>81</v>
      </c>
      <c r="C77" s="220" t="s">
        <v>16</v>
      </c>
      <c r="D77" s="288" t="s">
        <v>18</v>
      </c>
      <c r="E77" s="289"/>
      <c r="F77" s="290"/>
      <c r="G77" s="171"/>
      <c r="H77" s="207"/>
      <c r="I77" s="207"/>
      <c r="J77" s="207" t="s">
        <v>329</v>
      </c>
      <c r="K77" s="220"/>
      <c r="L77" s="141"/>
      <c r="M77" s="128"/>
    </row>
    <row r="78" spans="1:13" ht="20.100000000000001" customHeight="1" x14ac:dyDescent="0.25">
      <c r="A78" s="126">
        <v>42263</v>
      </c>
      <c r="B78" s="71">
        <v>1055</v>
      </c>
      <c r="C78" s="220" t="s">
        <v>16</v>
      </c>
      <c r="D78" s="207">
        <v>0.04</v>
      </c>
      <c r="E78" s="207">
        <v>0.3</v>
      </c>
      <c r="F78" s="207"/>
      <c r="G78" s="171"/>
      <c r="H78" s="207"/>
      <c r="I78" s="207"/>
      <c r="J78" s="207" t="s">
        <v>329</v>
      </c>
      <c r="K78" s="220"/>
      <c r="L78" s="141"/>
      <c r="M78" s="128"/>
    </row>
    <row r="79" spans="1:13" ht="20.100000000000001" customHeight="1" x14ac:dyDescent="0.25">
      <c r="A79" s="126">
        <v>42263</v>
      </c>
      <c r="B79" s="71">
        <v>1630</v>
      </c>
      <c r="C79" s="220" t="s">
        <v>17</v>
      </c>
      <c r="D79" s="207">
        <v>0.2</v>
      </c>
      <c r="E79" s="207">
        <v>0.25</v>
      </c>
      <c r="F79" s="207">
        <v>0.24</v>
      </c>
      <c r="G79" s="171"/>
      <c r="H79" s="207">
        <v>0.01</v>
      </c>
      <c r="I79" s="207">
        <v>0.01</v>
      </c>
      <c r="J79" s="207">
        <v>0.03</v>
      </c>
      <c r="K79" s="220" t="s">
        <v>298</v>
      </c>
      <c r="L79" s="141">
        <v>10954.5</v>
      </c>
      <c r="M79" s="128"/>
    </row>
    <row r="80" spans="1:13" ht="20.100000000000001" customHeight="1" x14ac:dyDescent="0.25">
      <c r="A80" s="126">
        <v>42264</v>
      </c>
      <c r="B80" s="71">
        <v>1040</v>
      </c>
      <c r="C80" s="220" t="s">
        <v>95</v>
      </c>
      <c r="D80" s="207">
        <v>0.09</v>
      </c>
      <c r="E80" s="207">
        <v>0.22</v>
      </c>
      <c r="F80" s="207">
        <v>0.21</v>
      </c>
      <c r="G80" s="171"/>
      <c r="H80" s="207">
        <v>0.08</v>
      </c>
      <c r="I80" s="207">
        <v>0.01</v>
      </c>
      <c r="J80" s="207">
        <v>0.02</v>
      </c>
      <c r="K80" s="220"/>
      <c r="L80" s="141"/>
      <c r="M80" s="128"/>
    </row>
    <row r="81" spans="1:13" ht="20.100000000000001" customHeight="1" x14ac:dyDescent="0.25">
      <c r="A81" s="126">
        <v>42264</v>
      </c>
      <c r="B81" s="71">
        <v>1700</v>
      </c>
      <c r="C81" s="220" t="s">
        <v>17</v>
      </c>
      <c r="D81" s="207">
        <v>0.03</v>
      </c>
      <c r="E81" s="207">
        <v>0.19</v>
      </c>
      <c r="F81" s="207">
        <v>0.17</v>
      </c>
      <c r="G81" s="171"/>
      <c r="H81" s="207">
        <v>0</v>
      </c>
      <c r="I81" s="207">
        <v>0.08</v>
      </c>
      <c r="J81" s="207">
        <v>0</v>
      </c>
      <c r="K81" s="220" t="s">
        <v>298</v>
      </c>
      <c r="L81" s="141">
        <v>10962.2</v>
      </c>
      <c r="M81" s="128"/>
    </row>
    <row r="82" spans="1:13" ht="20.100000000000001" customHeight="1" x14ac:dyDescent="0.25">
      <c r="A82" s="126">
        <v>42265</v>
      </c>
      <c r="B82" s="71" t="s">
        <v>73</v>
      </c>
      <c r="C82" s="220" t="s">
        <v>95</v>
      </c>
      <c r="D82" s="207">
        <v>0.03</v>
      </c>
      <c r="E82" s="207">
        <v>0.16</v>
      </c>
      <c r="F82" s="207">
        <v>0.13</v>
      </c>
      <c r="G82" s="171"/>
      <c r="H82" s="207">
        <v>0.08</v>
      </c>
      <c r="I82" s="207">
        <v>0.04</v>
      </c>
      <c r="J82" s="207">
        <v>0.02</v>
      </c>
      <c r="K82" s="220"/>
      <c r="L82" s="141"/>
      <c r="M82" s="128"/>
    </row>
    <row r="83" spans="1:13" ht="20.100000000000001" customHeight="1" x14ac:dyDescent="0.25">
      <c r="A83" s="126">
        <v>42265</v>
      </c>
      <c r="B83" s="71">
        <v>1650</v>
      </c>
      <c r="C83" s="220" t="s">
        <v>16</v>
      </c>
      <c r="D83" s="207">
        <v>0.03</v>
      </c>
      <c r="E83" s="207">
        <v>0.13</v>
      </c>
      <c r="F83" s="207">
        <v>0.31</v>
      </c>
      <c r="G83" s="171"/>
      <c r="H83" s="207">
        <v>0.06</v>
      </c>
      <c r="I83" s="207">
        <v>0.02</v>
      </c>
      <c r="J83" s="207">
        <v>0.04</v>
      </c>
      <c r="K83" s="220" t="s">
        <v>298</v>
      </c>
      <c r="L83" s="141">
        <v>10969.8</v>
      </c>
      <c r="M83" s="128"/>
    </row>
    <row r="84" spans="1:13" ht="20.100000000000001" customHeight="1" x14ac:dyDescent="0.25">
      <c r="A84" s="126">
        <v>42268</v>
      </c>
      <c r="B84" s="71" t="s">
        <v>73</v>
      </c>
      <c r="C84" s="220" t="s">
        <v>95</v>
      </c>
      <c r="D84" s="207">
        <v>0.04</v>
      </c>
      <c r="E84" s="207">
        <v>0.05</v>
      </c>
      <c r="F84" s="207">
        <v>0.02</v>
      </c>
      <c r="G84" s="171"/>
      <c r="H84" s="207">
        <v>0.04</v>
      </c>
      <c r="I84" s="207">
        <v>0.04</v>
      </c>
      <c r="J84" s="207">
        <v>0.02</v>
      </c>
      <c r="K84" s="220"/>
      <c r="L84" s="141"/>
      <c r="M84" s="128"/>
    </row>
    <row r="85" spans="1:13" ht="20.100000000000001" customHeight="1" x14ac:dyDescent="0.25">
      <c r="A85" s="126">
        <v>42268</v>
      </c>
      <c r="B85" s="71">
        <v>1635</v>
      </c>
      <c r="C85" s="220" t="s">
        <v>17</v>
      </c>
      <c r="D85" s="207">
        <v>0.03</v>
      </c>
      <c r="E85" s="207">
        <v>0.05</v>
      </c>
      <c r="F85" s="207">
        <v>0.11</v>
      </c>
      <c r="G85" s="171"/>
      <c r="H85" s="207">
        <v>0.01</v>
      </c>
      <c r="I85" s="207">
        <v>0</v>
      </c>
      <c r="J85" s="207">
        <v>0.05</v>
      </c>
      <c r="K85" s="220" t="s">
        <v>298</v>
      </c>
      <c r="L85" s="141">
        <v>10987.9</v>
      </c>
      <c r="M85" s="128"/>
    </row>
    <row r="86" spans="1:13" ht="20.100000000000001" customHeight="1" x14ac:dyDescent="0.25">
      <c r="A86" s="126">
        <v>42269</v>
      </c>
      <c r="B86" s="71" t="s">
        <v>82</v>
      </c>
      <c r="C86" s="220" t="s">
        <v>83</v>
      </c>
      <c r="D86" s="207">
        <v>0.02</v>
      </c>
      <c r="E86" s="207">
        <v>0.02</v>
      </c>
      <c r="F86" s="207">
        <v>0.06</v>
      </c>
      <c r="G86" s="171"/>
      <c r="H86" s="207">
        <v>0.02</v>
      </c>
      <c r="I86" s="207">
        <v>0.03</v>
      </c>
      <c r="J86" s="207">
        <v>0.03</v>
      </c>
      <c r="K86" s="220"/>
      <c r="L86" s="141"/>
      <c r="M86" s="128"/>
    </row>
    <row r="87" spans="1:13" ht="20.100000000000001" customHeight="1" x14ac:dyDescent="0.25">
      <c r="A87" s="126">
        <v>42269</v>
      </c>
      <c r="B87" s="71">
        <v>1300</v>
      </c>
      <c r="C87" s="220" t="s">
        <v>16</v>
      </c>
      <c r="D87" s="288" t="s">
        <v>18</v>
      </c>
      <c r="E87" s="289"/>
      <c r="F87" s="290"/>
      <c r="G87" s="171"/>
      <c r="H87" s="207"/>
      <c r="I87" s="207"/>
      <c r="J87" s="207" t="s">
        <v>329</v>
      </c>
      <c r="K87" s="220"/>
      <c r="L87" s="141"/>
      <c r="M87" s="128"/>
    </row>
    <row r="88" spans="1:13" ht="20.100000000000001" customHeight="1" x14ac:dyDescent="0.25">
      <c r="A88" s="126">
        <v>42269</v>
      </c>
      <c r="B88" s="71">
        <v>1645</v>
      </c>
      <c r="C88" s="220" t="s">
        <v>17</v>
      </c>
      <c r="D88" s="207">
        <v>0.03</v>
      </c>
      <c r="E88" s="207">
        <v>0.4</v>
      </c>
      <c r="F88" s="207">
        <v>0.3</v>
      </c>
      <c r="G88" s="171"/>
      <c r="H88" s="207">
        <v>0.01</v>
      </c>
      <c r="I88" s="207">
        <v>0.02</v>
      </c>
      <c r="J88" s="207">
        <v>0.08</v>
      </c>
      <c r="K88" s="220" t="s">
        <v>298</v>
      </c>
      <c r="L88" s="141">
        <v>10999.5</v>
      </c>
      <c r="M88" s="128"/>
    </row>
    <row r="89" spans="1:13" ht="20.100000000000001" customHeight="1" x14ac:dyDescent="0.25">
      <c r="A89" s="126">
        <v>42270</v>
      </c>
      <c r="B89" s="71" t="s">
        <v>74</v>
      </c>
      <c r="C89" s="220" t="s">
        <v>95</v>
      </c>
      <c r="D89" s="207">
        <v>0.06</v>
      </c>
      <c r="E89" s="207">
        <v>0.31</v>
      </c>
      <c r="F89" s="207">
        <v>0.24</v>
      </c>
      <c r="G89" s="171"/>
      <c r="H89" s="207">
        <v>0.01</v>
      </c>
      <c r="I89" s="207">
        <v>0.06</v>
      </c>
      <c r="J89" s="207">
        <v>0.03</v>
      </c>
      <c r="K89" s="220"/>
      <c r="L89" s="141"/>
      <c r="M89" s="128"/>
    </row>
    <row r="90" spans="1:13" ht="20.100000000000001" customHeight="1" x14ac:dyDescent="0.25">
      <c r="A90" s="126">
        <v>42270</v>
      </c>
      <c r="B90" s="71">
        <v>1615</v>
      </c>
      <c r="C90" s="220" t="s">
        <v>17</v>
      </c>
      <c r="D90" s="207">
        <v>0.05</v>
      </c>
      <c r="E90" s="207">
        <v>0.26</v>
      </c>
      <c r="F90" s="207">
        <v>0.21</v>
      </c>
      <c r="G90" s="171"/>
      <c r="H90" s="207">
        <v>0.03</v>
      </c>
      <c r="I90" s="207">
        <v>0.02</v>
      </c>
      <c r="J90" s="207">
        <v>0.12</v>
      </c>
      <c r="K90" s="220" t="s">
        <v>298</v>
      </c>
      <c r="L90" s="141">
        <v>11010.2</v>
      </c>
      <c r="M90" s="128"/>
    </row>
    <row r="91" spans="1:13" ht="20.100000000000001" customHeight="1" x14ac:dyDescent="0.25">
      <c r="A91" s="126">
        <v>42271</v>
      </c>
      <c r="B91" s="71" t="s">
        <v>84</v>
      </c>
      <c r="C91" s="220" t="s">
        <v>95</v>
      </c>
      <c r="D91" s="207">
        <v>0.03</v>
      </c>
      <c r="E91" s="207">
        <v>0.21</v>
      </c>
      <c r="F91" s="207">
        <v>0.18</v>
      </c>
      <c r="G91" s="171"/>
      <c r="H91" s="207">
        <v>0.02</v>
      </c>
      <c r="I91" s="207">
        <v>0.03</v>
      </c>
      <c r="J91" s="207">
        <v>0.06</v>
      </c>
      <c r="K91" s="220"/>
      <c r="L91" s="141"/>
      <c r="M91" s="128"/>
    </row>
    <row r="92" spans="1:13" ht="20.100000000000001" customHeight="1" x14ac:dyDescent="0.25">
      <c r="A92" s="126">
        <v>42271</v>
      </c>
      <c r="B92" s="71">
        <v>1640</v>
      </c>
      <c r="C92" s="220" t="s">
        <v>17</v>
      </c>
      <c r="D92" s="207">
        <v>0.04</v>
      </c>
      <c r="E92" s="207">
        <v>0.2</v>
      </c>
      <c r="F92" s="207">
        <v>0.17</v>
      </c>
      <c r="G92" s="171"/>
      <c r="H92" s="207">
        <v>0.01</v>
      </c>
      <c r="I92" s="207">
        <v>0.01</v>
      </c>
      <c r="J92" s="207">
        <v>0</v>
      </c>
      <c r="K92" s="220" t="s">
        <v>298</v>
      </c>
      <c r="L92" s="141">
        <v>11018.5</v>
      </c>
      <c r="M92" s="128"/>
    </row>
    <row r="93" spans="1:13" ht="20.100000000000001" customHeight="1" x14ac:dyDescent="0.25">
      <c r="A93" s="126">
        <v>42272</v>
      </c>
      <c r="B93" s="71" t="s">
        <v>67</v>
      </c>
      <c r="C93" s="220" t="s">
        <v>95</v>
      </c>
      <c r="D93" s="207">
        <v>0.05</v>
      </c>
      <c r="E93" s="207">
        <v>0.16</v>
      </c>
      <c r="F93" s="207">
        <v>0.15</v>
      </c>
      <c r="G93" s="171"/>
      <c r="H93" s="207">
        <v>0.02</v>
      </c>
      <c r="I93" s="207">
        <v>0.02</v>
      </c>
      <c r="J93" s="207">
        <v>0.04</v>
      </c>
      <c r="K93" s="220"/>
      <c r="L93" s="141"/>
      <c r="M93" s="128"/>
    </row>
    <row r="94" spans="1:13" ht="20.100000000000001" customHeight="1" x14ac:dyDescent="0.25">
      <c r="A94" s="126">
        <v>42272</v>
      </c>
      <c r="B94" s="71">
        <v>1610</v>
      </c>
      <c r="C94" s="220" t="s">
        <v>17</v>
      </c>
      <c r="D94" s="207">
        <v>0.03</v>
      </c>
      <c r="E94" s="207">
        <v>0.14000000000000001</v>
      </c>
      <c r="F94" s="207">
        <v>0.15</v>
      </c>
      <c r="G94" s="171"/>
      <c r="H94" s="207">
        <v>0</v>
      </c>
      <c r="I94" s="207">
        <v>0.01</v>
      </c>
      <c r="J94" s="207">
        <v>0.04</v>
      </c>
      <c r="K94" s="220" t="s">
        <v>298</v>
      </c>
      <c r="L94" s="141">
        <v>11030.2</v>
      </c>
      <c r="M94" s="128"/>
    </row>
    <row r="95" spans="1:13" ht="20.100000000000001" customHeight="1" x14ac:dyDescent="0.25">
      <c r="A95" s="126">
        <v>42275</v>
      </c>
      <c r="B95" s="71" t="s">
        <v>71</v>
      </c>
      <c r="C95" s="220" t="s">
        <v>95</v>
      </c>
      <c r="D95" s="207">
        <v>0.04</v>
      </c>
      <c r="E95" s="207">
        <v>0.03</v>
      </c>
      <c r="F95" s="207">
        <v>0.05</v>
      </c>
      <c r="G95" s="171"/>
      <c r="H95" s="207">
        <v>0</v>
      </c>
      <c r="I95" s="207">
        <v>0.05</v>
      </c>
      <c r="J95" s="207">
        <v>0.04</v>
      </c>
      <c r="K95" s="220"/>
      <c r="L95" s="141"/>
      <c r="M95" s="128"/>
    </row>
    <row r="96" spans="1:13" ht="20.100000000000001" customHeight="1" x14ac:dyDescent="0.25">
      <c r="A96" s="126">
        <v>42275</v>
      </c>
      <c r="B96" s="71">
        <v>1650</v>
      </c>
      <c r="C96" s="220" t="s">
        <v>17</v>
      </c>
      <c r="D96" s="207">
        <v>0.03</v>
      </c>
      <c r="E96" s="207">
        <v>0.05</v>
      </c>
      <c r="F96" s="207">
        <v>0.23</v>
      </c>
      <c r="G96" s="171"/>
      <c r="H96" s="207">
        <v>0</v>
      </c>
      <c r="I96" s="207">
        <v>0</v>
      </c>
      <c r="J96" s="207">
        <v>0.09</v>
      </c>
      <c r="K96" s="220" t="s">
        <v>298</v>
      </c>
      <c r="L96" s="141">
        <v>11040.1</v>
      </c>
      <c r="M96" s="128"/>
    </row>
    <row r="97" spans="1:17" ht="20.100000000000001" customHeight="1" x14ac:dyDescent="0.25">
      <c r="A97" s="126">
        <v>42276</v>
      </c>
      <c r="B97" s="71" t="s">
        <v>75</v>
      </c>
      <c r="C97" s="220" t="s">
        <v>95</v>
      </c>
      <c r="D97" s="207">
        <v>0.03</v>
      </c>
      <c r="E97" s="207">
        <v>0.04</v>
      </c>
      <c r="F97" s="207">
        <v>0.04</v>
      </c>
      <c r="G97" s="171"/>
      <c r="H97" s="207">
        <v>0</v>
      </c>
      <c r="I97" s="207">
        <v>0.03</v>
      </c>
      <c r="J97" s="207">
        <v>0.04</v>
      </c>
      <c r="K97" s="220"/>
      <c r="L97" s="141"/>
      <c r="M97" s="128"/>
    </row>
    <row r="98" spans="1:17" ht="20.100000000000001" customHeight="1" x14ac:dyDescent="0.25">
      <c r="A98" s="126">
        <v>42276</v>
      </c>
      <c r="B98" s="71">
        <v>1630</v>
      </c>
      <c r="C98" s="220" t="s">
        <v>17</v>
      </c>
      <c r="D98" s="207">
        <v>0.04</v>
      </c>
      <c r="E98" s="207">
        <v>0.06</v>
      </c>
      <c r="F98" s="207">
        <v>0.09</v>
      </c>
      <c r="G98" s="171"/>
      <c r="H98" s="207">
        <v>0</v>
      </c>
      <c r="I98" s="207">
        <v>0</v>
      </c>
      <c r="J98" s="207">
        <v>0.11</v>
      </c>
      <c r="K98" s="220" t="s">
        <v>298</v>
      </c>
      <c r="L98" s="141">
        <v>11055.8</v>
      </c>
      <c r="M98" s="128"/>
    </row>
    <row r="99" spans="1:17" ht="20.100000000000001" customHeight="1" x14ac:dyDescent="0.25">
      <c r="A99" s="126">
        <v>42277</v>
      </c>
      <c r="B99" s="71" t="s">
        <v>73</v>
      </c>
      <c r="C99" s="220" t="s">
        <v>95</v>
      </c>
      <c r="D99" s="207">
        <v>0.03</v>
      </c>
      <c r="E99" s="207">
        <v>0.04</v>
      </c>
      <c r="F99" s="207">
        <v>0.06</v>
      </c>
      <c r="G99" s="171"/>
      <c r="H99" s="207">
        <v>0.02</v>
      </c>
      <c r="I99" s="207">
        <v>0.03</v>
      </c>
      <c r="J99" s="207">
        <v>0.04</v>
      </c>
      <c r="K99" s="220"/>
      <c r="L99" s="141"/>
      <c r="M99" s="128"/>
    </row>
    <row r="100" spans="1:17" ht="20.100000000000001" customHeight="1" x14ac:dyDescent="0.25">
      <c r="A100" s="126">
        <v>42277</v>
      </c>
      <c r="B100" s="71">
        <v>1630</v>
      </c>
      <c r="C100" s="220" t="s">
        <v>17</v>
      </c>
      <c r="D100" s="207">
        <v>0.02</v>
      </c>
      <c r="E100" s="207">
        <v>0.04</v>
      </c>
      <c r="F100" s="207">
        <v>0.16</v>
      </c>
      <c r="G100" s="171"/>
      <c r="H100" s="207">
        <v>0</v>
      </c>
      <c r="I100" s="207">
        <v>0.01</v>
      </c>
      <c r="J100" s="207">
        <v>0.14000000000000001</v>
      </c>
      <c r="K100" s="220" t="s">
        <v>298</v>
      </c>
      <c r="L100" s="141">
        <v>11067</v>
      </c>
      <c r="M100" s="128"/>
    </row>
    <row r="101" spans="1:17" ht="20.100000000000001" customHeight="1" x14ac:dyDescent="0.25">
      <c r="A101" s="126">
        <v>42278</v>
      </c>
      <c r="B101" s="71" t="s">
        <v>85</v>
      </c>
      <c r="C101" s="220" t="s">
        <v>95</v>
      </c>
      <c r="D101" s="207">
        <v>0.01</v>
      </c>
      <c r="E101" s="207">
        <v>0.03</v>
      </c>
      <c r="F101" s="207">
        <v>0.03</v>
      </c>
      <c r="G101" s="171"/>
      <c r="H101" s="207">
        <v>0</v>
      </c>
      <c r="I101" s="207">
        <v>0.03</v>
      </c>
      <c r="J101" s="207">
        <v>0.02</v>
      </c>
      <c r="K101" s="220"/>
      <c r="L101" s="141"/>
      <c r="M101" s="128"/>
    </row>
    <row r="102" spans="1:17" ht="20.100000000000001" customHeight="1" x14ac:dyDescent="0.25">
      <c r="A102" s="126">
        <v>42278</v>
      </c>
      <c r="B102" s="71">
        <v>1710</v>
      </c>
      <c r="C102" s="220" t="s">
        <v>17</v>
      </c>
      <c r="D102" s="207">
        <v>0.05</v>
      </c>
      <c r="E102" s="207">
        <v>0.04</v>
      </c>
      <c r="F102" s="207">
        <v>0.24</v>
      </c>
      <c r="G102" s="171"/>
      <c r="H102" s="207">
        <v>0.02</v>
      </c>
      <c r="I102" s="207">
        <v>0.02</v>
      </c>
      <c r="J102" s="207">
        <v>0.21</v>
      </c>
      <c r="K102" s="220" t="s">
        <v>298</v>
      </c>
      <c r="L102" s="141">
        <v>11073.2</v>
      </c>
      <c r="M102" s="128"/>
    </row>
    <row r="103" spans="1:17" ht="20.100000000000001" customHeight="1" x14ac:dyDescent="0.25">
      <c r="A103" s="126">
        <v>42279</v>
      </c>
      <c r="B103" s="71" t="s">
        <v>86</v>
      </c>
      <c r="C103" s="220" t="s">
        <v>95</v>
      </c>
      <c r="D103" s="207">
        <v>0.05</v>
      </c>
      <c r="E103" s="207">
        <v>0.14000000000000001</v>
      </c>
      <c r="F103" s="207">
        <v>0.1</v>
      </c>
      <c r="G103" s="171"/>
      <c r="H103" s="207">
        <v>0.01</v>
      </c>
      <c r="I103" s="207">
        <v>0</v>
      </c>
      <c r="J103" s="207">
        <v>0.02</v>
      </c>
      <c r="K103" s="220"/>
      <c r="L103" s="141"/>
      <c r="M103" s="128"/>
    </row>
    <row r="104" spans="1:17" ht="20.100000000000001" customHeight="1" x14ac:dyDescent="0.25">
      <c r="A104" s="126">
        <v>42279</v>
      </c>
      <c r="B104" s="71" t="s">
        <v>81</v>
      </c>
      <c r="C104" s="220" t="s">
        <v>95</v>
      </c>
      <c r="D104" s="288" t="s">
        <v>18</v>
      </c>
      <c r="E104" s="289"/>
      <c r="F104" s="290"/>
      <c r="G104" s="171"/>
      <c r="H104" s="207"/>
      <c r="I104" s="207"/>
      <c r="J104" s="207"/>
      <c r="K104" s="220"/>
      <c r="L104" s="141"/>
      <c r="M104" s="128"/>
    </row>
    <row r="105" spans="1:17" ht="20.100000000000001" customHeight="1" x14ac:dyDescent="0.25">
      <c r="A105" s="126">
        <v>42279</v>
      </c>
      <c r="B105" s="71">
        <v>1400</v>
      </c>
      <c r="C105" s="220" t="s">
        <v>87</v>
      </c>
      <c r="D105" s="207">
        <v>0.06</v>
      </c>
      <c r="E105" s="207">
        <v>0.03</v>
      </c>
      <c r="F105" s="207">
        <v>7.0000000000000007E-2</v>
      </c>
      <c r="G105" s="171"/>
      <c r="H105" s="207">
        <v>0.02</v>
      </c>
      <c r="I105" s="207">
        <v>0.1</v>
      </c>
      <c r="J105" s="207">
        <v>0.04</v>
      </c>
      <c r="K105" s="220" t="s">
        <v>298</v>
      </c>
      <c r="L105" s="141">
        <v>11078.8</v>
      </c>
      <c r="M105" s="128"/>
    </row>
    <row r="106" spans="1:17" ht="20.100000000000001" customHeight="1" x14ac:dyDescent="0.25">
      <c r="A106" s="126">
        <v>42282</v>
      </c>
      <c r="B106" s="71" t="s">
        <v>88</v>
      </c>
      <c r="C106" s="220" t="s">
        <v>16</v>
      </c>
      <c r="D106" s="207">
        <v>0.02</v>
      </c>
      <c r="E106" s="207">
        <v>0.05</v>
      </c>
      <c r="F106" s="207">
        <v>0.2</v>
      </c>
      <c r="G106" s="171"/>
      <c r="H106" s="207">
        <v>0</v>
      </c>
      <c r="I106" s="207">
        <v>0.01</v>
      </c>
      <c r="J106" s="207">
        <v>0.1</v>
      </c>
      <c r="K106" s="220"/>
      <c r="L106" s="141"/>
      <c r="M106" s="128"/>
    </row>
    <row r="107" spans="1:17" ht="20.100000000000001" customHeight="1" x14ac:dyDescent="0.25">
      <c r="A107" s="126">
        <v>42282</v>
      </c>
      <c r="B107" s="71" t="s">
        <v>81</v>
      </c>
      <c r="C107" s="220" t="s">
        <v>16</v>
      </c>
      <c r="D107" s="288" t="s">
        <v>18</v>
      </c>
      <c r="E107" s="289"/>
      <c r="F107" s="290"/>
      <c r="G107" s="171"/>
      <c r="H107" s="207"/>
      <c r="I107" s="207"/>
      <c r="J107" s="207"/>
      <c r="K107" s="220"/>
      <c r="L107" s="141"/>
      <c r="M107" s="128"/>
    </row>
    <row r="108" spans="1:17" ht="20.100000000000001" customHeight="1" x14ac:dyDescent="0.25">
      <c r="A108" s="126">
        <v>42282</v>
      </c>
      <c r="B108" s="71">
        <v>1530</v>
      </c>
      <c r="C108" s="220" t="s">
        <v>16</v>
      </c>
      <c r="D108" s="207">
        <v>0.09</v>
      </c>
      <c r="E108" s="207">
        <v>0.45</v>
      </c>
      <c r="F108" s="207">
        <v>0.4</v>
      </c>
      <c r="G108" s="171"/>
      <c r="H108" s="207">
        <v>0.01</v>
      </c>
      <c r="I108" s="207">
        <v>0.03</v>
      </c>
      <c r="J108" s="207">
        <v>0.2</v>
      </c>
      <c r="K108" s="220" t="s">
        <v>298</v>
      </c>
      <c r="L108" s="141">
        <v>11084.2</v>
      </c>
      <c r="M108" s="130">
        <f>L108-L105</f>
        <v>5.4000000000014552</v>
      </c>
      <c r="N108" t="s">
        <v>331</v>
      </c>
    </row>
    <row r="109" spans="1:17" ht="20.100000000000001" customHeight="1" x14ac:dyDescent="0.25">
      <c r="A109" s="126">
        <v>42283</v>
      </c>
      <c r="B109" s="71" t="s">
        <v>74</v>
      </c>
      <c r="C109" s="220" t="s">
        <v>16</v>
      </c>
      <c r="D109" s="207">
        <v>0.04</v>
      </c>
      <c r="E109" s="207">
        <v>0.41</v>
      </c>
      <c r="F109" s="207">
        <v>0.4</v>
      </c>
      <c r="G109" s="171"/>
      <c r="H109" s="207">
        <v>0.04</v>
      </c>
      <c r="I109" s="207">
        <v>0.01</v>
      </c>
      <c r="J109" s="207">
        <v>0.12</v>
      </c>
      <c r="K109" s="220"/>
      <c r="L109" s="141"/>
      <c r="M109" s="128"/>
      <c r="N109" s="296"/>
      <c r="O109" s="296"/>
      <c r="P109" s="296"/>
      <c r="Q109" s="296"/>
    </row>
    <row r="110" spans="1:17" ht="20.100000000000001" customHeight="1" x14ac:dyDescent="0.25">
      <c r="A110" s="126">
        <v>42283</v>
      </c>
      <c r="B110" s="297" t="s">
        <v>136</v>
      </c>
      <c r="C110" s="298"/>
      <c r="D110" s="298"/>
      <c r="E110" s="298"/>
      <c r="F110" s="299"/>
      <c r="G110" s="171"/>
      <c r="H110" s="207"/>
      <c r="I110" s="207"/>
      <c r="J110" s="207"/>
      <c r="K110" s="220"/>
      <c r="L110" s="141"/>
      <c r="M110" s="128"/>
    </row>
    <row r="111" spans="1:17" ht="20.100000000000001" customHeight="1" x14ac:dyDescent="0.25">
      <c r="A111" s="126">
        <v>42283</v>
      </c>
      <c r="B111" s="71" t="s">
        <v>89</v>
      </c>
      <c r="C111" s="220" t="s">
        <v>16</v>
      </c>
      <c r="D111" s="207" t="s">
        <v>137</v>
      </c>
      <c r="E111" s="207" t="s">
        <v>138</v>
      </c>
      <c r="F111" s="207" t="s">
        <v>139</v>
      </c>
      <c r="G111" s="171"/>
      <c r="H111" s="207">
        <v>0.06</v>
      </c>
      <c r="I111" s="207">
        <v>0.19</v>
      </c>
      <c r="J111" s="207">
        <v>0.23</v>
      </c>
      <c r="K111" s="220"/>
      <c r="L111" s="141"/>
      <c r="M111" s="128"/>
      <c r="N111" s="296" t="s">
        <v>140</v>
      </c>
      <c r="O111" s="296"/>
      <c r="P111" s="296"/>
      <c r="Q111" s="296"/>
    </row>
    <row r="112" spans="1:17" ht="20.100000000000001" customHeight="1" x14ac:dyDescent="0.25">
      <c r="A112" s="126">
        <v>42283</v>
      </c>
      <c r="B112" s="71" t="s">
        <v>90</v>
      </c>
      <c r="C112" s="220" t="s">
        <v>16</v>
      </c>
      <c r="D112" s="207" t="s">
        <v>141</v>
      </c>
      <c r="E112" s="207" t="s">
        <v>142</v>
      </c>
      <c r="F112" s="207" t="s">
        <v>143</v>
      </c>
      <c r="G112" s="171"/>
      <c r="H112" s="207">
        <v>0.02</v>
      </c>
      <c r="I112" s="207">
        <v>0.18</v>
      </c>
      <c r="J112" s="207">
        <v>0.26</v>
      </c>
      <c r="K112" s="220"/>
      <c r="L112" s="141">
        <v>11100.1</v>
      </c>
      <c r="M112" s="128"/>
      <c r="N112" s="296" t="s">
        <v>140</v>
      </c>
      <c r="O112" s="296"/>
      <c r="P112" s="296"/>
      <c r="Q112" s="296"/>
    </row>
    <row r="113" spans="1:17" ht="20.100000000000001" customHeight="1" x14ac:dyDescent="0.25">
      <c r="A113" s="126">
        <v>42284</v>
      </c>
      <c r="B113" s="71" t="s">
        <v>74</v>
      </c>
      <c r="C113" s="220" t="s">
        <v>16</v>
      </c>
      <c r="D113" s="207" t="s">
        <v>144</v>
      </c>
      <c r="E113" s="207" t="s">
        <v>145</v>
      </c>
      <c r="F113" s="207" t="s">
        <v>146</v>
      </c>
      <c r="G113" s="171"/>
      <c r="H113" s="207">
        <v>0.05</v>
      </c>
      <c r="I113" s="207">
        <v>7.0000000000000007E-2</v>
      </c>
      <c r="J113" s="207">
        <v>0.12</v>
      </c>
      <c r="K113" s="220"/>
      <c r="L113" s="141"/>
      <c r="M113" s="128"/>
      <c r="N113" s="296" t="s">
        <v>140</v>
      </c>
      <c r="O113" s="296"/>
      <c r="P113" s="296"/>
      <c r="Q113" s="296"/>
    </row>
    <row r="114" spans="1:17" ht="20.100000000000001" customHeight="1" x14ac:dyDescent="0.25">
      <c r="A114" s="126">
        <v>42284</v>
      </c>
      <c r="B114" s="71" t="s">
        <v>91</v>
      </c>
      <c r="C114" s="220" t="s">
        <v>16</v>
      </c>
      <c r="D114" s="207" t="s">
        <v>147</v>
      </c>
      <c r="E114" s="207" t="s">
        <v>148</v>
      </c>
      <c r="F114" s="207" t="s">
        <v>149</v>
      </c>
      <c r="G114" s="171"/>
      <c r="H114" s="207">
        <v>0.02</v>
      </c>
      <c r="I114" s="207">
        <v>0.04</v>
      </c>
      <c r="J114" s="207">
        <v>0.17</v>
      </c>
      <c r="K114" s="220"/>
      <c r="L114" s="141">
        <v>11111.2</v>
      </c>
      <c r="M114" s="128"/>
      <c r="N114" s="296" t="s">
        <v>140</v>
      </c>
      <c r="O114" s="296"/>
      <c r="P114" s="296"/>
      <c r="Q114" s="296"/>
    </row>
    <row r="115" spans="1:17" ht="20.100000000000001" customHeight="1" x14ac:dyDescent="0.25">
      <c r="A115" s="126">
        <v>42285</v>
      </c>
      <c r="B115" s="71" t="s">
        <v>92</v>
      </c>
      <c r="C115" s="220" t="s">
        <v>16</v>
      </c>
      <c r="D115" s="207" t="s">
        <v>150</v>
      </c>
      <c r="E115" s="207" t="s">
        <v>144</v>
      </c>
      <c r="F115" s="207" t="s">
        <v>145</v>
      </c>
      <c r="G115" s="171"/>
      <c r="H115" s="207">
        <v>0.05</v>
      </c>
      <c r="I115" s="207">
        <v>0.03</v>
      </c>
      <c r="J115" s="207">
        <v>0.11</v>
      </c>
      <c r="K115" s="220" t="s">
        <v>298</v>
      </c>
      <c r="L115" s="141"/>
      <c r="M115" s="128"/>
      <c r="N115" s="296" t="s">
        <v>140</v>
      </c>
      <c r="O115" s="296"/>
      <c r="P115" s="296"/>
      <c r="Q115" s="296"/>
    </row>
    <row r="116" spans="1:17" ht="20.100000000000001" customHeight="1" x14ac:dyDescent="0.25">
      <c r="A116" s="126">
        <v>42285</v>
      </c>
      <c r="B116" s="297" t="s">
        <v>151</v>
      </c>
      <c r="C116" s="298"/>
      <c r="D116" s="298"/>
      <c r="E116" s="298"/>
      <c r="F116" s="299"/>
      <c r="G116" s="171"/>
      <c r="H116" s="288" t="s">
        <v>332</v>
      </c>
      <c r="I116" s="289"/>
      <c r="J116" s="289"/>
      <c r="K116" s="289"/>
      <c r="L116" s="290"/>
      <c r="M116" s="31"/>
    </row>
    <row r="117" spans="1:17" ht="20.100000000000001" customHeight="1" x14ac:dyDescent="0.25">
      <c r="A117" s="126">
        <v>42286</v>
      </c>
      <c r="B117" s="71" t="s">
        <v>92</v>
      </c>
      <c r="C117" s="220" t="s">
        <v>17</v>
      </c>
      <c r="D117" s="207">
        <v>0.03</v>
      </c>
      <c r="E117" s="207">
        <v>0.35</v>
      </c>
      <c r="F117" s="207">
        <v>0.42</v>
      </c>
      <c r="G117" s="171"/>
      <c r="H117" s="207">
        <v>0.03</v>
      </c>
      <c r="I117" s="207">
        <v>0.32</v>
      </c>
      <c r="J117" s="207">
        <v>0.28999999999999998</v>
      </c>
      <c r="K117" s="220"/>
      <c r="L117" s="141"/>
      <c r="M117" s="128"/>
    </row>
    <row r="118" spans="1:17" ht="20.100000000000001" customHeight="1" x14ac:dyDescent="0.25">
      <c r="A118" s="126">
        <v>42286</v>
      </c>
      <c r="B118" s="71" t="s">
        <v>91</v>
      </c>
      <c r="C118" s="220" t="s">
        <v>17</v>
      </c>
      <c r="D118" s="71" t="s">
        <v>152</v>
      </c>
      <c r="E118" s="71" t="s">
        <v>152</v>
      </c>
      <c r="F118" s="71" t="s">
        <v>152</v>
      </c>
      <c r="G118" s="171"/>
      <c r="H118" s="207">
        <v>0.06</v>
      </c>
      <c r="I118" s="207">
        <v>0.4</v>
      </c>
      <c r="J118" s="207">
        <v>0.56000000000000005</v>
      </c>
      <c r="K118" s="220" t="s">
        <v>298</v>
      </c>
      <c r="L118" s="141">
        <v>11146.5</v>
      </c>
      <c r="M118" s="131"/>
      <c r="N118" s="132" t="s">
        <v>333</v>
      </c>
      <c r="O118" s="133"/>
      <c r="P118" s="133"/>
      <c r="Q118" s="133"/>
    </row>
    <row r="119" spans="1:17" ht="20.100000000000001" customHeight="1" x14ac:dyDescent="0.25">
      <c r="A119" s="126">
        <v>42287</v>
      </c>
      <c r="B119" s="134" t="s">
        <v>93</v>
      </c>
      <c r="C119" s="135"/>
      <c r="D119" s="300" t="s">
        <v>334</v>
      </c>
      <c r="E119" s="301"/>
      <c r="F119" s="302"/>
      <c r="G119" s="171"/>
      <c r="H119" s="288" t="s">
        <v>334</v>
      </c>
      <c r="I119" s="289"/>
      <c r="J119" s="290"/>
      <c r="K119" s="220"/>
      <c r="L119" s="141"/>
      <c r="M119" s="128"/>
    </row>
    <row r="120" spans="1:17" ht="20.100000000000001" customHeight="1" x14ac:dyDescent="0.25">
      <c r="A120" s="126">
        <v>42288</v>
      </c>
      <c r="B120" s="134" t="s">
        <v>94</v>
      </c>
      <c r="C120" s="135"/>
      <c r="D120" s="300" t="s">
        <v>334</v>
      </c>
      <c r="E120" s="301"/>
      <c r="F120" s="302"/>
      <c r="G120" s="171"/>
      <c r="H120" s="288" t="s">
        <v>334</v>
      </c>
      <c r="I120" s="289"/>
      <c r="J120" s="290"/>
      <c r="K120" s="220"/>
      <c r="L120" s="141"/>
      <c r="M120" s="128"/>
    </row>
    <row r="121" spans="1:17" ht="20.100000000000001" customHeight="1" x14ac:dyDescent="0.25">
      <c r="A121" s="126">
        <v>42289</v>
      </c>
      <c r="B121" s="71" t="s">
        <v>82</v>
      </c>
      <c r="C121" s="220" t="s">
        <v>95</v>
      </c>
      <c r="D121" s="207">
        <v>0.01</v>
      </c>
      <c r="E121" s="207">
        <v>0.31</v>
      </c>
      <c r="F121" s="207">
        <v>0.3</v>
      </c>
      <c r="G121" s="171"/>
      <c r="H121" s="207">
        <v>0.03</v>
      </c>
      <c r="I121" s="207">
        <v>0.18</v>
      </c>
      <c r="J121" s="207">
        <v>0.17</v>
      </c>
      <c r="K121" s="220"/>
      <c r="L121" s="141"/>
      <c r="M121" s="128"/>
    </row>
    <row r="122" spans="1:17" ht="20.100000000000001" customHeight="1" x14ac:dyDescent="0.25">
      <c r="A122" s="126">
        <v>42289</v>
      </c>
      <c r="B122" s="297" t="s">
        <v>335</v>
      </c>
      <c r="C122" s="298"/>
      <c r="D122" s="298"/>
      <c r="E122" s="298"/>
      <c r="F122" s="299"/>
      <c r="G122" s="171"/>
      <c r="H122" s="288"/>
      <c r="I122" s="289"/>
      <c r="J122" s="290"/>
      <c r="K122" s="220"/>
      <c r="L122" s="141"/>
      <c r="M122" s="128"/>
    </row>
    <row r="123" spans="1:17" ht="20.100000000000001" customHeight="1" x14ac:dyDescent="0.25">
      <c r="A123" s="126">
        <v>42290</v>
      </c>
      <c r="B123" s="71" t="s">
        <v>88</v>
      </c>
      <c r="C123" s="220" t="s">
        <v>95</v>
      </c>
      <c r="D123" s="207">
        <v>0.02</v>
      </c>
      <c r="E123" s="207">
        <v>0.28999999999999998</v>
      </c>
      <c r="F123" s="207">
        <v>0.25</v>
      </c>
      <c r="G123" s="171"/>
      <c r="H123" s="207">
        <v>0</v>
      </c>
      <c r="I123" s="207">
        <v>0.04</v>
      </c>
      <c r="J123" s="207">
        <v>7.0000000000000007E-2</v>
      </c>
      <c r="K123" s="220"/>
      <c r="L123" s="141"/>
      <c r="M123" s="128"/>
    </row>
    <row r="124" spans="1:17" ht="20.100000000000001" customHeight="1" x14ac:dyDescent="0.25">
      <c r="A124" s="126">
        <v>42290</v>
      </c>
      <c r="B124" s="71" t="s">
        <v>153</v>
      </c>
      <c r="C124" s="220" t="s">
        <v>16</v>
      </c>
      <c r="D124" s="207">
        <v>0.03</v>
      </c>
      <c r="E124" s="207">
        <v>0.57999999999999996</v>
      </c>
      <c r="F124" s="207">
        <v>0.57999999999999996</v>
      </c>
      <c r="G124" s="171"/>
      <c r="H124" s="207">
        <v>0.02</v>
      </c>
      <c r="I124" s="207">
        <v>0.09</v>
      </c>
      <c r="J124" s="207">
        <v>0.33</v>
      </c>
      <c r="K124" s="220" t="s">
        <v>298</v>
      </c>
      <c r="L124" s="141">
        <v>11158.8</v>
      </c>
      <c r="M124" s="130">
        <f>L124-L118</f>
        <v>12.299999999999272</v>
      </c>
      <c r="N124" t="s">
        <v>331</v>
      </c>
    </row>
    <row r="125" spans="1:17" ht="20.100000000000001" customHeight="1" x14ac:dyDescent="0.25">
      <c r="A125" s="126">
        <v>42291</v>
      </c>
      <c r="B125" s="71" t="s">
        <v>88</v>
      </c>
      <c r="C125" s="136" t="s">
        <v>95</v>
      </c>
      <c r="D125" s="220">
        <v>0.05</v>
      </c>
      <c r="E125" s="207">
        <v>0.56999999999999995</v>
      </c>
      <c r="F125" s="207">
        <v>0.48</v>
      </c>
      <c r="G125" s="171"/>
      <c r="H125" s="207">
        <v>0.03</v>
      </c>
      <c r="I125" s="207">
        <v>0.09</v>
      </c>
      <c r="J125" s="207">
        <v>0.02</v>
      </c>
      <c r="K125" s="220"/>
      <c r="L125" s="141"/>
      <c r="M125" s="187"/>
      <c r="N125"/>
    </row>
    <row r="126" spans="1:17" ht="20.100000000000001" customHeight="1" x14ac:dyDescent="0.25">
      <c r="A126" s="126">
        <v>42291</v>
      </c>
      <c r="B126" s="71" t="s">
        <v>154</v>
      </c>
      <c r="C126" s="220" t="s">
        <v>17</v>
      </c>
      <c r="D126" s="207">
        <v>0.03</v>
      </c>
      <c r="E126" s="207">
        <v>0.56000000000000005</v>
      </c>
      <c r="F126" s="207">
        <v>0.62</v>
      </c>
      <c r="G126" s="171"/>
      <c r="H126" s="207">
        <v>0.01</v>
      </c>
      <c r="I126" s="207">
        <v>0.03</v>
      </c>
      <c r="J126" s="207">
        <v>0.05</v>
      </c>
      <c r="K126" s="220" t="s">
        <v>298</v>
      </c>
      <c r="L126" s="141">
        <v>11167.8</v>
      </c>
      <c r="M126" s="187"/>
      <c r="N126"/>
    </row>
    <row r="127" spans="1:17" ht="20.100000000000001" customHeight="1" x14ac:dyDescent="0.25">
      <c r="A127" s="126">
        <v>42292</v>
      </c>
      <c r="B127" s="71" t="s">
        <v>155</v>
      </c>
      <c r="C127" s="220" t="s">
        <v>95</v>
      </c>
      <c r="D127" s="207">
        <v>0.04</v>
      </c>
      <c r="E127" s="207">
        <v>0.54</v>
      </c>
      <c r="F127" s="207">
        <v>0.45</v>
      </c>
      <c r="G127" s="171"/>
      <c r="H127" s="207">
        <v>0.03</v>
      </c>
      <c r="I127" s="207">
        <v>0.03</v>
      </c>
      <c r="J127" s="207">
        <v>0.01</v>
      </c>
      <c r="K127" s="220"/>
      <c r="L127" s="141"/>
      <c r="M127" s="187"/>
      <c r="N127"/>
    </row>
    <row r="128" spans="1:17" ht="20.100000000000001" customHeight="1" x14ac:dyDescent="0.25">
      <c r="A128" s="126">
        <v>42292</v>
      </c>
      <c r="B128" s="71" t="s">
        <v>156</v>
      </c>
      <c r="C128" s="220" t="s">
        <v>16</v>
      </c>
      <c r="D128" s="207">
        <v>0.08</v>
      </c>
      <c r="E128" s="207">
        <v>0.52</v>
      </c>
      <c r="F128" s="207">
        <v>0.61</v>
      </c>
      <c r="G128" s="171"/>
      <c r="H128" s="207">
        <v>0.04</v>
      </c>
      <c r="I128" s="207">
        <v>0.04</v>
      </c>
      <c r="J128" s="207">
        <v>0.15</v>
      </c>
      <c r="K128" s="220" t="s">
        <v>298</v>
      </c>
      <c r="L128" s="141">
        <v>11174.2</v>
      </c>
      <c r="M128" s="130">
        <f>L128-L126</f>
        <v>6.4000000000014552</v>
      </c>
      <c r="N128" t="s">
        <v>331</v>
      </c>
    </row>
    <row r="129" spans="1:14" ht="20.100000000000001" customHeight="1" x14ac:dyDescent="0.25">
      <c r="A129" s="126">
        <v>42293</v>
      </c>
      <c r="B129" s="71" t="s">
        <v>71</v>
      </c>
      <c r="C129" s="220" t="s">
        <v>95</v>
      </c>
      <c r="D129" s="137">
        <v>0.03</v>
      </c>
      <c r="E129" s="207">
        <v>0.48</v>
      </c>
      <c r="F129" s="207">
        <v>0.44</v>
      </c>
      <c r="G129" s="171"/>
      <c r="H129" s="207">
        <v>0</v>
      </c>
      <c r="I129" s="207">
        <v>0.01</v>
      </c>
      <c r="J129" s="207">
        <v>0.03</v>
      </c>
      <c r="K129" s="220"/>
      <c r="L129" s="141"/>
      <c r="M129" s="187"/>
      <c r="N129"/>
    </row>
    <row r="130" spans="1:14" ht="20.100000000000001" customHeight="1" x14ac:dyDescent="0.25">
      <c r="A130" s="126">
        <v>42293</v>
      </c>
      <c r="B130" s="71" t="s">
        <v>157</v>
      </c>
      <c r="C130" s="220" t="s">
        <v>16</v>
      </c>
      <c r="D130" s="207">
        <v>0.02</v>
      </c>
      <c r="E130" s="207">
        <v>0.49</v>
      </c>
      <c r="F130" s="207">
        <v>0.56999999999999995</v>
      </c>
      <c r="G130" s="171"/>
      <c r="H130" s="207">
        <v>0.02</v>
      </c>
      <c r="I130" s="207">
        <v>0.03</v>
      </c>
      <c r="J130" s="207">
        <v>0.12</v>
      </c>
      <c r="K130" s="220" t="s">
        <v>298</v>
      </c>
      <c r="L130" s="141">
        <v>11179.3</v>
      </c>
      <c r="M130" s="130">
        <f>L130-L128</f>
        <v>5.0999999999985448</v>
      </c>
      <c r="N130" t="s">
        <v>331</v>
      </c>
    </row>
    <row r="131" spans="1:14" ht="20.100000000000001" customHeight="1" x14ac:dyDescent="0.25">
      <c r="A131" s="126">
        <v>42294</v>
      </c>
      <c r="B131" s="134" t="s">
        <v>93</v>
      </c>
      <c r="C131" s="135"/>
      <c r="D131" s="300" t="s">
        <v>334</v>
      </c>
      <c r="E131" s="301"/>
      <c r="F131" s="302"/>
      <c r="G131" s="171"/>
      <c r="H131" s="288" t="s">
        <v>334</v>
      </c>
      <c r="I131" s="289"/>
      <c r="J131" s="290"/>
      <c r="K131" s="220"/>
      <c r="L131" s="141"/>
      <c r="M131" s="187"/>
      <c r="N131"/>
    </row>
    <row r="132" spans="1:14" ht="20.100000000000001" customHeight="1" x14ac:dyDescent="0.25">
      <c r="A132" s="126">
        <v>42295</v>
      </c>
      <c r="B132" s="134" t="s">
        <v>94</v>
      </c>
      <c r="C132" s="135"/>
      <c r="D132" s="300" t="s">
        <v>334</v>
      </c>
      <c r="E132" s="301"/>
      <c r="F132" s="302"/>
      <c r="G132" s="171"/>
      <c r="H132" s="288" t="s">
        <v>334</v>
      </c>
      <c r="I132" s="289"/>
      <c r="J132" s="290"/>
      <c r="K132" s="220"/>
      <c r="L132" s="141"/>
      <c r="M132" s="187"/>
      <c r="N132"/>
    </row>
    <row r="133" spans="1:14" ht="20.100000000000001" customHeight="1" x14ac:dyDescent="0.25">
      <c r="A133" s="126">
        <v>42296</v>
      </c>
      <c r="B133" s="74" t="s">
        <v>66</v>
      </c>
      <c r="C133" s="71" t="s">
        <v>95</v>
      </c>
      <c r="D133" s="220">
        <v>0.01</v>
      </c>
      <c r="E133" s="207">
        <v>0.44</v>
      </c>
      <c r="F133" s="207">
        <v>0.39</v>
      </c>
      <c r="G133" s="171"/>
      <c r="H133" s="207">
        <v>0.03</v>
      </c>
      <c r="I133" s="207">
        <v>0.04</v>
      </c>
      <c r="J133" s="207">
        <v>0.04</v>
      </c>
      <c r="K133" s="220"/>
      <c r="L133" s="141"/>
      <c r="M133" s="187"/>
      <c r="N133"/>
    </row>
    <row r="134" spans="1:14" ht="20.100000000000001" customHeight="1" x14ac:dyDescent="0.25">
      <c r="A134" s="126">
        <v>42296</v>
      </c>
      <c r="B134" s="71" t="s">
        <v>158</v>
      </c>
      <c r="C134" s="220" t="s">
        <v>16</v>
      </c>
      <c r="D134" s="207">
        <v>0.03</v>
      </c>
      <c r="E134" s="207">
        <v>0.42</v>
      </c>
      <c r="F134" s="207">
        <v>0.45</v>
      </c>
      <c r="G134" s="171"/>
      <c r="H134" s="207">
        <v>0.01</v>
      </c>
      <c r="I134" s="207">
        <v>0</v>
      </c>
      <c r="J134" s="207">
        <v>0.17</v>
      </c>
      <c r="K134" s="220" t="s">
        <v>298</v>
      </c>
      <c r="L134" s="141">
        <v>11183.8</v>
      </c>
      <c r="M134" s="130">
        <f>L134-L130</f>
        <v>4.5</v>
      </c>
      <c r="N134" t="s">
        <v>331</v>
      </c>
    </row>
    <row r="135" spans="1:14" ht="20.100000000000001" customHeight="1" x14ac:dyDescent="0.25">
      <c r="A135" s="126">
        <v>42297</v>
      </c>
      <c r="B135" s="71" t="s">
        <v>71</v>
      </c>
      <c r="C135" s="220" t="s">
        <v>95</v>
      </c>
      <c r="D135" s="207">
        <v>0.04</v>
      </c>
      <c r="E135" s="207">
        <v>0.41</v>
      </c>
      <c r="F135" s="207">
        <v>0.38</v>
      </c>
      <c r="G135" s="171"/>
      <c r="H135" s="207">
        <v>0.01</v>
      </c>
      <c r="I135" s="207">
        <v>0.01</v>
      </c>
      <c r="J135" s="207">
        <v>0.03</v>
      </c>
      <c r="K135" s="220"/>
      <c r="L135" s="141"/>
      <c r="M135" s="187"/>
      <c r="N135"/>
    </row>
    <row r="136" spans="1:14" ht="20.100000000000001" customHeight="1" x14ac:dyDescent="0.25">
      <c r="A136" s="126">
        <v>42297</v>
      </c>
      <c r="B136" s="71" t="s">
        <v>159</v>
      </c>
      <c r="C136" s="220" t="s">
        <v>16</v>
      </c>
      <c r="D136" s="220">
        <v>0.03</v>
      </c>
      <c r="E136" s="220">
        <v>0.39</v>
      </c>
      <c r="F136" s="220">
        <v>0.12</v>
      </c>
      <c r="G136" s="171"/>
      <c r="H136" s="207">
        <v>0.01</v>
      </c>
      <c r="I136" s="207">
        <v>0.02</v>
      </c>
      <c r="J136" s="220">
        <v>0.13</v>
      </c>
      <c r="K136" s="220" t="s">
        <v>298</v>
      </c>
      <c r="L136" s="141">
        <v>11188.7</v>
      </c>
      <c r="M136" s="130">
        <f>L136-L134</f>
        <v>4.9000000000014552</v>
      </c>
      <c r="N136" t="s">
        <v>331</v>
      </c>
    </row>
    <row r="137" spans="1:14" ht="20.100000000000001" customHeight="1" x14ac:dyDescent="0.25">
      <c r="A137" s="126">
        <v>42298</v>
      </c>
      <c r="B137" s="71" t="s">
        <v>160</v>
      </c>
      <c r="C137" s="220" t="s">
        <v>95</v>
      </c>
      <c r="D137" s="220">
        <v>0.02</v>
      </c>
      <c r="E137" s="220">
        <v>0.41</v>
      </c>
      <c r="F137" s="220">
        <v>0.39</v>
      </c>
      <c r="G137" s="171"/>
      <c r="H137" s="207">
        <v>0.01</v>
      </c>
      <c r="I137" s="207">
        <v>0.04</v>
      </c>
      <c r="J137" s="220">
        <v>0.04</v>
      </c>
      <c r="K137" s="220"/>
      <c r="L137" s="141"/>
      <c r="M137" s="187"/>
      <c r="N137"/>
    </row>
    <row r="138" spans="1:14" ht="20.100000000000001" customHeight="1" x14ac:dyDescent="0.25">
      <c r="A138" s="126">
        <v>42298</v>
      </c>
      <c r="B138" s="71" t="s">
        <v>161</v>
      </c>
      <c r="C138" s="220" t="s">
        <v>16</v>
      </c>
      <c r="D138" s="220">
        <v>0.04</v>
      </c>
      <c r="E138" s="220">
        <v>0.36</v>
      </c>
      <c r="F138" s="220">
        <v>0.48</v>
      </c>
      <c r="G138" s="171"/>
      <c r="H138" s="207">
        <v>0.02</v>
      </c>
      <c r="I138" s="207">
        <v>0.03</v>
      </c>
      <c r="J138" s="220">
        <v>0.09</v>
      </c>
      <c r="K138" s="220" t="s">
        <v>298</v>
      </c>
      <c r="L138" s="141">
        <v>11194.3</v>
      </c>
      <c r="M138" s="130">
        <f>L138-L136</f>
        <v>5.5999999999985448</v>
      </c>
      <c r="N138" t="s">
        <v>331</v>
      </c>
    </row>
    <row r="139" spans="1:14" ht="20.100000000000001" customHeight="1" x14ac:dyDescent="0.25">
      <c r="A139" s="126">
        <v>42299</v>
      </c>
      <c r="B139" s="71" t="s">
        <v>73</v>
      </c>
      <c r="C139" s="220" t="s">
        <v>95</v>
      </c>
      <c r="D139" s="220">
        <v>0.04</v>
      </c>
      <c r="E139" s="220">
        <v>0.35</v>
      </c>
      <c r="F139" s="220">
        <v>0.36</v>
      </c>
      <c r="G139" s="171"/>
      <c r="H139" s="207">
        <v>0.01</v>
      </c>
      <c r="I139" s="207">
        <v>7.0000000000000007E-2</v>
      </c>
      <c r="J139" s="220">
        <v>0.08</v>
      </c>
      <c r="K139" s="220"/>
      <c r="L139" s="141"/>
      <c r="M139" s="187"/>
      <c r="N139"/>
    </row>
    <row r="140" spans="1:14" ht="20.100000000000001" customHeight="1" x14ac:dyDescent="0.25">
      <c r="A140" s="126">
        <v>42299</v>
      </c>
      <c r="B140" s="71" t="s">
        <v>153</v>
      </c>
      <c r="C140" s="220" t="s">
        <v>16</v>
      </c>
      <c r="D140" s="220">
        <v>0.03</v>
      </c>
      <c r="E140" s="220">
        <v>0.34</v>
      </c>
      <c r="F140" s="220">
        <v>0.36</v>
      </c>
      <c r="G140" s="171"/>
      <c r="H140" s="207">
        <v>0</v>
      </c>
      <c r="I140" s="207">
        <v>0</v>
      </c>
      <c r="J140" s="220">
        <v>0.04</v>
      </c>
      <c r="K140" s="220" t="s">
        <v>298</v>
      </c>
      <c r="L140" s="141">
        <v>11201.2</v>
      </c>
      <c r="M140" s="130">
        <f>L140-L138</f>
        <v>6.9000000000014552</v>
      </c>
      <c r="N140" t="s">
        <v>331</v>
      </c>
    </row>
    <row r="141" spans="1:14" ht="20.100000000000001" customHeight="1" x14ac:dyDescent="0.25">
      <c r="A141" s="126">
        <v>42300</v>
      </c>
      <c r="B141" s="71" t="s">
        <v>70</v>
      </c>
      <c r="C141" s="220" t="s">
        <v>16</v>
      </c>
      <c r="D141" s="220">
        <v>0.02</v>
      </c>
      <c r="E141" s="220">
        <v>0.35</v>
      </c>
      <c r="F141" s="220">
        <v>0.56000000000000005</v>
      </c>
      <c r="G141" s="171"/>
      <c r="H141" s="207">
        <v>0</v>
      </c>
      <c r="I141" s="207">
        <v>0</v>
      </c>
      <c r="J141" s="220">
        <v>0.12</v>
      </c>
      <c r="K141" s="220"/>
      <c r="L141" s="141"/>
      <c r="M141" s="187"/>
      <c r="N141"/>
    </row>
    <row r="142" spans="1:14" ht="20.100000000000001" customHeight="1" x14ac:dyDescent="0.25">
      <c r="A142" s="126">
        <v>42300</v>
      </c>
      <c r="B142" s="71" t="s">
        <v>162</v>
      </c>
      <c r="C142" s="220" t="s">
        <v>16</v>
      </c>
      <c r="D142" s="220">
        <v>0.05</v>
      </c>
      <c r="E142" s="220">
        <v>0.33</v>
      </c>
      <c r="F142" s="220">
        <v>0.39</v>
      </c>
      <c r="G142" s="171"/>
      <c r="H142" s="207">
        <v>0.02</v>
      </c>
      <c r="I142" s="207">
        <v>0.01</v>
      </c>
      <c r="J142" s="220">
        <v>0.11</v>
      </c>
      <c r="K142" s="220" t="s">
        <v>298</v>
      </c>
      <c r="L142" s="141">
        <v>11208.5</v>
      </c>
      <c r="M142" s="130">
        <f>L142-L140</f>
        <v>7.2999999999992724</v>
      </c>
      <c r="N142" t="s">
        <v>331</v>
      </c>
    </row>
    <row r="143" spans="1:14" ht="20.100000000000001" customHeight="1" x14ac:dyDescent="0.25">
      <c r="A143" s="126">
        <v>42301</v>
      </c>
      <c r="B143" s="134" t="s">
        <v>93</v>
      </c>
      <c r="C143" s="135"/>
      <c r="D143" s="300" t="s">
        <v>334</v>
      </c>
      <c r="E143" s="301"/>
      <c r="F143" s="302"/>
      <c r="G143" s="171"/>
      <c r="H143" s="288" t="s">
        <v>334</v>
      </c>
      <c r="I143" s="289"/>
      <c r="J143" s="290"/>
      <c r="K143" s="220"/>
      <c r="L143" s="141"/>
      <c r="M143" s="187"/>
      <c r="N143"/>
    </row>
    <row r="144" spans="1:14" ht="20.100000000000001" customHeight="1" x14ac:dyDescent="0.25">
      <c r="A144" s="126">
        <v>42302</v>
      </c>
      <c r="B144" s="134" t="s">
        <v>94</v>
      </c>
      <c r="C144" s="135"/>
      <c r="D144" s="300" t="s">
        <v>334</v>
      </c>
      <c r="E144" s="301"/>
      <c r="F144" s="302"/>
      <c r="G144" s="171"/>
      <c r="H144" s="288" t="s">
        <v>334</v>
      </c>
      <c r="I144" s="289"/>
      <c r="J144" s="290"/>
      <c r="K144" s="220"/>
      <c r="L144" s="141"/>
      <c r="M144" s="187"/>
      <c r="N144"/>
    </row>
    <row r="145" spans="1:14" ht="20.100000000000001" customHeight="1" x14ac:dyDescent="0.25">
      <c r="A145" s="126">
        <v>42303</v>
      </c>
      <c r="B145" s="71" t="s">
        <v>163</v>
      </c>
      <c r="C145" s="220" t="s">
        <v>95</v>
      </c>
      <c r="D145" s="220">
        <v>0.01</v>
      </c>
      <c r="E145" s="220">
        <v>0.27</v>
      </c>
      <c r="F145" s="220">
        <v>0.28999999999999998</v>
      </c>
      <c r="G145" s="171"/>
      <c r="H145" s="207">
        <v>0</v>
      </c>
      <c r="I145" s="207">
        <v>0.01</v>
      </c>
      <c r="J145" s="220">
        <v>0.04</v>
      </c>
      <c r="K145" s="220"/>
      <c r="L145" s="141"/>
      <c r="M145" s="187"/>
      <c r="N145"/>
    </row>
    <row r="146" spans="1:14" ht="20.100000000000001" customHeight="1" x14ac:dyDescent="0.25">
      <c r="A146" s="126">
        <v>42303</v>
      </c>
      <c r="B146" s="71" t="s">
        <v>154</v>
      </c>
      <c r="C146" s="220" t="s">
        <v>16</v>
      </c>
      <c r="D146" s="220">
        <v>0.04</v>
      </c>
      <c r="E146" s="220">
        <v>0.28999999999999998</v>
      </c>
      <c r="F146" s="220">
        <v>0.45</v>
      </c>
      <c r="G146" s="171"/>
      <c r="H146" s="207">
        <v>0</v>
      </c>
      <c r="I146" s="207">
        <v>0.02</v>
      </c>
      <c r="J146" s="220" t="s">
        <v>329</v>
      </c>
      <c r="K146" s="220" t="s">
        <v>298</v>
      </c>
      <c r="L146" s="141">
        <v>11213.9</v>
      </c>
      <c r="M146" s="130">
        <f>L146-L142</f>
        <v>5.3999999999996362</v>
      </c>
      <c r="N146" t="s">
        <v>331</v>
      </c>
    </row>
    <row r="147" spans="1:14" ht="20.100000000000001" customHeight="1" x14ac:dyDescent="0.25">
      <c r="A147" s="126">
        <v>42304</v>
      </c>
      <c r="B147" s="71" t="s">
        <v>73</v>
      </c>
      <c r="C147" s="220" t="s">
        <v>95</v>
      </c>
      <c r="D147" s="220">
        <v>0.02</v>
      </c>
      <c r="E147" s="220">
        <v>0.26</v>
      </c>
      <c r="F147" s="1" t="s">
        <v>336</v>
      </c>
      <c r="G147" s="171"/>
      <c r="H147" s="207">
        <v>0.01</v>
      </c>
      <c r="I147" s="207">
        <v>0.02</v>
      </c>
      <c r="J147" s="1" t="s">
        <v>336</v>
      </c>
      <c r="K147" s="220"/>
      <c r="L147" s="141"/>
      <c r="M147" s="187"/>
      <c r="N147"/>
    </row>
    <row r="148" spans="1:14" ht="20.100000000000001" customHeight="1" x14ac:dyDescent="0.25">
      <c r="A148" s="126">
        <v>42304</v>
      </c>
      <c r="B148" s="71" t="s">
        <v>89</v>
      </c>
      <c r="C148" s="220" t="s">
        <v>16</v>
      </c>
      <c r="D148" s="220" t="s">
        <v>329</v>
      </c>
      <c r="E148" s="220" t="s">
        <v>329</v>
      </c>
      <c r="F148" s="207">
        <v>0.3</v>
      </c>
      <c r="G148" s="171"/>
      <c r="H148" s="220" t="s">
        <v>329</v>
      </c>
      <c r="I148" s="220" t="s">
        <v>329</v>
      </c>
      <c r="J148" s="220">
        <v>0.06</v>
      </c>
      <c r="K148" s="220"/>
      <c r="L148" s="141"/>
      <c r="M148" s="187"/>
      <c r="N148"/>
    </row>
    <row r="149" spans="1:14" ht="20.100000000000001" customHeight="1" x14ac:dyDescent="0.25">
      <c r="A149" s="126">
        <v>42304</v>
      </c>
      <c r="B149" s="71" t="s">
        <v>164</v>
      </c>
      <c r="C149" s="220" t="s">
        <v>16</v>
      </c>
      <c r="D149" s="220">
        <v>0.02</v>
      </c>
      <c r="E149" s="220">
        <v>0.24</v>
      </c>
      <c r="F149" s="207">
        <v>0.42</v>
      </c>
      <c r="G149" s="171"/>
      <c r="H149" s="207">
        <v>0.04</v>
      </c>
      <c r="I149" s="207">
        <v>0.02</v>
      </c>
      <c r="J149" s="220">
        <v>0.26</v>
      </c>
      <c r="K149" s="220" t="s">
        <v>298</v>
      </c>
      <c r="L149" s="141">
        <v>11223</v>
      </c>
      <c r="M149" s="130">
        <f>L149-L146</f>
        <v>9.1000000000003638</v>
      </c>
      <c r="N149" t="s">
        <v>331</v>
      </c>
    </row>
    <row r="150" spans="1:14" ht="20.100000000000001" customHeight="1" x14ac:dyDescent="0.25">
      <c r="A150" s="126">
        <v>42305</v>
      </c>
      <c r="B150" s="71" t="s">
        <v>165</v>
      </c>
      <c r="C150" s="220" t="s">
        <v>95</v>
      </c>
      <c r="D150" s="220">
        <v>0.02</v>
      </c>
      <c r="E150" s="220">
        <v>0.18</v>
      </c>
      <c r="F150" s="207">
        <v>0.18</v>
      </c>
      <c r="G150" s="171"/>
      <c r="H150" s="207">
        <v>0</v>
      </c>
      <c r="I150" s="207">
        <v>0</v>
      </c>
      <c r="J150" s="220">
        <v>0.01</v>
      </c>
      <c r="K150" s="220"/>
      <c r="L150" s="141"/>
      <c r="M150" s="187"/>
      <c r="N150"/>
    </row>
    <row r="151" spans="1:14" ht="20.100000000000001" customHeight="1" x14ac:dyDescent="0.25">
      <c r="A151" s="126">
        <v>42305</v>
      </c>
      <c r="B151" s="71" t="s">
        <v>153</v>
      </c>
      <c r="C151" s="220" t="s">
        <v>16</v>
      </c>
      <c r="D151" s="220">
        <v>0.02</v>
      </c>
      <c r="E151" s="220">
        <v>0.19</v>
      </c>
      <c r="F151" s="207">
        <v>0.24</v>
      </c>
      <c r="G151" s="171"/>
      <c r="H151" s="207">
        <v>0.01</v>
      </c>
      <c r="I151" s="207">
        <v>0.01</v>
      </c>
      <c r="J151" s="220">
        <v>0.18</v>
      </c>
      <c r="K151" s="220" t="s">
        <v>298</v>
      </c>
      <c r="L151" s="141">
        <v>11235.5</v>
      </c>
      <c r="M151" s="130">
        <f>L151-L149</f>
        <v>12.5</v>
      </c>
      <c r="N151" t="s">
        <v>331</v>
      </c>
    </row>
    <row r="152" spans="1:14" ht="20.100000000000001" customHeight="1" x14ac:dyDescent="0.25">
      <c r="A152" s="126">
        <v>42306</v>
      </c>
      <c r="B152" s="71" t="s">
        <v>166</v>
      </c>
      <c r="C152" s="220" t="s">
        <v>95</v>
      </c>
      <c r="D152" s="220">
        <v>0.03</v>
      </c>
      <c r="E152" s="220">
        <v>0.12</v>
      </c>
      <c r="F152" s="207">
        <v>0.12</v>
      </c>
      <c r="G152" s="171"/>
      <c r="H152" s="207">
        <v>0.02</v>
      </c>
      <c r="I152" s="207">
        <v>0.02</v>
      </c>
      <c r="J152" s="220">
        <v>0.03</v>
      </c>
      <c r="K152" s="220"/>
      <c r="L152" s="141"/>
      <c r="M152" s="187"/>
      <c r="N152"/>
    </row>
    <row r="153" spans="1:14" ht="20.100000000000001" customHeight="1" x14ac:dyDescent="0.25">
      <c r="A153" s="126">
        <v>42306</v>
      </c>
      <c r="B153" s="297" t="s">
        <v>167</v>
      </c>
      <c r="C153" s="298"/>
      <c r="D153" s="298"/>
      <c r="E153" s="298"/>
      <c r="F153" s="299"/>
      <c r="G153" s="171"/>
      <c r="H153" s="207"/>
      <c r="I153" s="207"/>
      <c r="J153" s="220"/>
      <c r="K153" s="220"/>
      <c r="L153" s="141"/>
      <c r="M153" s="187"/>
      <c r="N153"/>
    </row>
    <row r="154" spans="1:14" ht="20.100000000000001" customHeight="1" x14ac:dyDescent="0.25">
      <c r="A154" s="126">
        <v>42306</v>
      </c>
      <c r="B154" s="71" t="s">
        <v>153</v>
      </c>
      <c r="C154" s="220" t="s">
        <v>16</v>
      </c>
      <c r="D154" s="220">
        <v>0.04</v>
      </c>
      <c r="E154" s="220">
        <v>0.36</v>
      </c>
      <c r="F154" s="207">
        <v>0.36</v>
      </c>
      <c r="G154" s="171"/>
      <c r="H154" s="207">
        <v>7.0000000000000007E-2</v>
      </c>
      <c r="I154" s="207">
        <v>0.01</v>
      </c>
      <c r="J154" s="220">
        <v>0.13</v>
      </c>
      <c r="K154" s="220" t="s">
        <v>298</v>
      </c>
      <c r="L154" s="141">
        <v>11244.9</v>
      </c>
      <c r="M154" s="130">
        <f>L154-L151</f>
        <v>9.3999999999996362</v>
      </c>
      <c r="N154" t="s">
        <v>331</v>
      </c>
    </row>
    <row r="155" spans="1:14" ht="20.100000000000001" customHeight="1" x14ac:dyDescent="0.25">
      <c r="A155" s="126">
        <v>42307</v>
      </c>
      <c r="B155" s="71" t="s">
        <v>73</v>
      </c>
      <c r="C155" s="220" t="s">
        <v>95</v>
      </c>
      <c r="D155" s="220">
        <v>0.02</v>
      </c>
      <c r="E155" s="220">
        <v>0.28999999999999998</v>
      </c>
      <c r="F155" s="207">
        <v>0.28000000000000003</v>
      </c>
      <c r="G155" s="171"/>
      <c r="H155" s="207">
        <v>0.01</v>
      </c>
      <c r="I155" s="207">
        <v>0.02</v>
      </c>
      <c r="J155" s="220">
        <v>0.04</v>
      </c>
      <c r="K155" s="220"/>
      <c r="L155" s="141"/>
      <c r="M155" s="187"/>
      <c r="N155"/>
    </row>
    <row r="156" spans="1:14" ht="20.100000000000001" customHeight="1" x14ac:dyDescent="0.25">
      <c r="A156" s="126">
        <v>42307</v>
      </c>
      <c r="B156" s="71" t="s">
        <v>168</v>
      </c>
      <c r="C156" s="220" t="s">
        <v>16</v>
      </c>
      <c r="D156" s="220">
        <v>0.01</v>
      </c>
      <c r="E156" s="220">
        <v>0.27</v>
      </c>
      <c r="F156" s="207">
        <v>0.31</v>
      </c>
      <c r="G156" s="171"/>
      <c r="H156" s="207">
        <v>0.01</v>
      </c>
      <c r="I156" s="207">
        <v>0.01</v>
      </c>
      <c r="J156" s="220">
        <v>0.03</v>
      </c>
      <c r="K156" s="220" t="s">
        <v>298</v>
      </c>
      <c r="L156" s="141">
        <v>11261.7</v>
      </c>
      <c r="M156" s="130">
        <f>L156-L154</f>
        <v>16.800000000001091</v>
      </c>
      <c r="N156" t="s">
        <v>331</v>
      </c>
    </row>
    <row r="157" spans="1:14" ht="20.100000000000001" customHeight="1" x14ac:dyDescent="0.25">
      <c r="A157" s="126">
        <v>42308</v>
      </c>
      <c r="B157" s="71" t="s">
        <v>93</v>
      </c>
      <c r="C157" s="285" t="s">
        <v>334</v>
      </c>
      <c r="D157" s="286"/>
      <c r="E157" s="286"/>
      <c r="F157" s="287"/>
      <c r="G157" s="171"/>
      <c r="H157" s="288" t="s">
        <v>334</v>
      </c>
      <c r="I157" s="289"/>
      <c r="J157" s="290"/>
      <c r="K157" s="220"/>
      <c r="L157" s="141"/>
      <c r="M157" s="187"/>
      <c r="N157"/>
    </row>
    <row r="158" spans="1:14" ht="20.100000000000001" customHeight="1" x14ac:dyDescent="0.25">
      <c r="A158" s="126">
        <v>42309</v>
      </c>
      <c r="B158" s="71" t="s">
        <v>94</v>
      </c>
      <c r="C158" s="285" t="s">
        <v>334</v>
      </c>
      <c r="D158" s="286"/>
      <c r="E158" s="286"/>
      <c r="F158" s="287"/>
      <c r="G158" s="171"/>
      <c r="H158" s="288" t="s">
        <v>334</v>
      </c>
      <c r="I158" s="289"/>
      <c r="J158" s="290"/>
      <c r="K158" s="220"/>
      <c r="L158" s="141"/>
      <c r="M158" s="187"/>
      <c r="N158"/>
    </row>
    <row r="159" spans="1:14" ht="20.100000000000001" customHeight="1" x14ac:dyDescent="0.25">
      <c r="A159" s="126">
        <v>42310</v>
      </c>
      <c r="B159" s="71" t="s">
        <v>66</v>
      </c>
      <c r="C159" s="220" t="s">
        <v>95</v>
      </c>
      <c r="D159" s="220">
        <v>0.03</v>
      </c>
      <c r="E159" s="220">
        <v>0.05</v>
      </c>
      <c r="F159" s="207">
        <v>7.0000000000000007E-2</v>
      </c>
      <c r="G159" s="171"/>
      <c r="H159" s="207">
        <v>0.03</v>
      </c>
      <c r="I159" s="207">
        <v>0.01</v>
      </c>
      <c r="J159" s="220">
        <v>0.04</v>
      </c>
      <c r="K159" s="220"/>
      <c r="L159" s="141"/>
      <c r="M159" s="187"/>
      <c r="N159"/>
    </row>
    <row r="160" spans="1:14" ht="20.100000000000001" customHeight="1" x14ac:dyDescent="0.25">
      <c r="A160" s="126">
        <v>42310</v>
      </c>
      <c r="B160" s="297" t="s">
        <v>335</v>
      </c>
      <c r="C160" s="298"/>
      <c r="D160" s="298"/>
      <c r="E160" s="298"/>
      <c r="F160" s="299"/>
      <c r="G160" s="171"/>
      <c r="H160" s="288" t="s">
        <v>337</v>
      </c>
      <c r="I160" s="289"/>
      <c r="J160" s="289"/>
      <c r="K160" s="290"/>
      <c r="L160" s="141"/>
      <c r="M160" s="187"/>
      <c r="N160"/>
    </row>
    <row r="161" spans="1:14" ht="20.100000000000001" customHeight="1" x14ac:dyDescent="0.25">
      <c r="A161" s="126">
        <v>42311</v>
      </c>
      <c r="B161" s="71" t="s">
        <v>169</v>
      </c>
      <c r="C161" s="220" t="s">
        <v>95</v>
      </c>
      <c r="D161" s="220">
        <v>0.01</v>
      </c>
      <c r="E161" s="220">
        <v>0.02</v>
      </c>
      <c r="F161" s="207">
        <v>0.05</v>
      </c>
      <c r="G161" s="171"/>
      <c r="H161" s="207">
        <v>0.05</v>
      </c>
      <c r="I161" s="207">
        <v>0.02</v>
      </c>
      <c r="J161" s="220">
        <v>0.04</v>
      </c>
      <c r="K161" s="220"/>
      <c r="L161" s="141"/>
      <c r="M161" s="187"/>
      <c r="N161"/>
    </row>
    <row r="162" spans="1:14" ht="20.100000000000001" customHeight="1" x14ac:dyDescent="0.25">
      <c r="A162" s="126">
        <v>42311</v>
      </c>
      <c r="B162" s="71" t="s">
        <v>170</v>
      </c>
      <c r="C162" s="220" t="s">
        <v>16</v>
      </c>
      <c r="D162" s="285" t="s">
        <v>171</v>
      </c>
      <c r="E162" s="286"/>
      <c r="F162" s="287"/>
      <c r="G162" s="171"/>
      <c r="H162" s="288" t="s">
        <v>171</v>
      </c>
      <c r="I162" s="289"/>
      <c r="J162" s="290"/>
      <c r="K162" s="220" t="s">
        <v>298</v>
      </c>
      <c r="L162" s="141">
        <v>11271.9</v>
      </c>
      <c r="M162" s="130">
        <f>L162-L156</f>
        <v>10.199999999998909</v>
      </c>
      <c r="N162" t="s">
        <v>331</v>
      </c>
    </row>
    <row r="163" spans="1:14" ht="20.100000000000001" customHeight="1" x14ac:dyDescent="0.25">
      <c r="A163" s="126">
        <v>42312</v>
      </c>
      <c r="B163" s="71" t="s">
        <v>66</v>
      </c>
      <c r="C163" s="220" t="s">
        <v>95</v>
      </c>
      <c r="D163" s="220">
        <v>0.03</v>
      </c>
      <c r="E163" s="220">
        <v>0.02</v>
      </c>
      <c r="F163" s="207">
        <v>0.02</v>
      </c>
      <c r="G163" s="171"/>
      <c r="H163" s="207">
        <v>0</v>
      </c>
      <c r="I163" s="207">
        <v>0.03</v>
      </c>
      <c r="J163" s="220">
        <v>0.05</v>
      </c>
      <c r="K163" s="220"/>
      <c r="L163" s="141"/>
      <c r="M163" s="187"/>
      <c r="N163"/>
    </row>
    <row r="164" spans="1:14" ht="20.100000000000001" customHeight="1" x14ac:dyDescent="0.25">
      <c r="A164" s="126">
        <v>42312</v>
      </c>
      <c r="B164" s="71" t="s">
        <v>90</v>
      </c>
      <c r="C164" s="220" t="s">
        <v>16</v>
      </c>
      <c r="D164" s="220">
        <v>0.1</v>
      </c>
      <c r="E164" s="220">
        <v>0.12</v>
      </c>
      <c r="F164" s="207">
        <v>0.06</v>
      </c>
      <c r="G164" s="171"/>
      <c r="H164" s="207">
        <v>0</v>
      </c>
      <c r="I164" s="207">
        <v>0.04</v>
      </c>
      <c r="J164" s="220">
        <v>0.05</v>
      </c>
      <c r="K164" s="220" t="s">
        <v>298</v>
      </c>
      <c r="L164" s="141">
        <v>11286.5</v>
      </c>
      <c r="M164" s="130">
        <f>L164-L162</f>
        <v>14.600000000000364</v>
      </c>
      <c r="N164" t="s">
        <v>331</v>
      </c>
    </row>
    <row r="165" spans="1:14" ht="20.100000000000001" customHeight="1" x14ac:dyDescent="0.25">
      <c r="A165" s="126">
        <v>42313</v>
      </c>
      <c r="B165" s="71" t="s">
        <v>74</v>
      </c>
      <c r="C165" s="220" t="s">
        <v>16</v>
      </c>
      <c r="D165" s="220">
        <v>0.01</v>
      </c>
      <c r="E165" s="220">
        <v>0.02</v>
      </c>
      <c r="F165" s="220">
        <v>0.06</v>
      </c>
      <c r="G165" s="171"/>
      <c r="H165" s="207">
        <v>0</v>
      </c>
      <c r="I165" s="207">
        <v>0.01</v>
      </c>
      <c r="J165" s="220">
        <v>7.0000000000000007E-2</v>
      </c>
      <c r="K165" s="220"/>
      <c r="L165" s="141"/>
      <c r="M165" s="187"/>
      <c r="N165"/>
    </row>
    <row r="166" spans="1:14" ht="20.100000000000001" customHeight="1" x14ac:dyDescent="0.25">
      <c r="A166" s="126">
        <v>42313</v>
      </c>
      <c r="B166" s="297" t="s">
        <v>167</v>
      </c>
      <c r="C166" s="298"/>
      <c r="D166" s="298"/>
      <c r="E166" s="298"/>
      <c r="F166" s="299"/>
      <c r="G166" s="171"/>
      <c r="H166" s="207"/>
      <c r="I166" s="207"/>
      <c r="J166" s="220"/>
      <c r="K166" s="220"/>
      <c r="L166" s="141"/>
      <c r="M166" s="187"/>
      <c r="N166"/>
    </row>
    <row r="167" spans="1:14" ht="20.100000000000001" customHeight="1" x14ac:dyDescent="0.25">
      <c r="A167" s="126">
        <v>42313</v>
      </c>
      <c r="B167" s="71" t="s">
        <v>172</v>
      </c>
      <c r="C167" s="220" t="s">
        <v>16</v>
      </c>
      <c r="D167" s="220">
        <v>0.13</v>
      </c>
      <c r="E167" s="220">
        <v>0.28000000000000003</v>
      </c>
      <c r="F167" s="220">
        <v>0.28000000000000003</v>
      </c>
      <c r="G167" s="171"/>
      <c r="H167" s="288" t="s">
        <v>338</v>
      </c>
      <c r="I167" s="289"/>
      <c r="J167" s="289"/>
      <c r="K167" s="290"/>
      <c r="L167" s="141"/>
      <c r="M167" s="187"/>
      <c r="N167"/>
    </row>
    <row r="168" spans="1:14" ht="20.100000000000001" customHeight="1" x14ac:dyDescent="0.25">
      <c r="A168" s="126">
        <v>42313</v>
      </c>
      <c r="B168" s="71" t="s">
        <v>90</v>
      </c>
      <c r="C168" s="220" t="s">
        <v>16</v>
      </c>
      <c r="D168" s="220">
        <v>0.02</v>
      </c>
      <c r="E168" s="220">
        <v>0.28000000000000003</v>
      </c>
      <c r="F168" s="220">
        <v>0.28000000000000003</v>
      </c>
      <c r="G168" s="171"/>
      <c r="H168" s="207">
        <v>0.01</v>
      </c>
      <c r="I168" s="207">
        <v>0.04</v>
      </c>
      <c r="J168" s="220">
        <v>7.0000000000000007E-2</v>
      </c>
      <c r="K168" s="220" t="s">
        <v>298</v>
      </c>
      <c r="L168" s="141">
        <v>11292.4</v>
      </c>
      <c r="M168" s="130">
        <f>L168-L164</f>
        <v>5.8999999999996362</v>
      </c>
      <c r="N168" t="s">
        <v>331</v>
      </c>
    </row>
    <row r="169" spans="1:14" ht="20.100000000000001" customHeight="1" x14ac:dyDescent="0.25">
      <c r="A169" s="126">
        <v>42313</v>
      </c>
      <c r="B169" s="71" t="s">
        <v>173</v>
      </c>
      <c r="C169" s="220" t="s">
        <v>16</v>
      </c>
      <c r="D169" s="214"/>
      <c r="E169" s="215" t="s">
        <v>174</v>
      </c>
      <c r="F169" s="216"/>
      <c r="G169" s="171"/>
      <c r="H169" s="220" t="s">
        <v>81</v>
      </c>
      <c r="I169" s="220" t="s">
        <v>81</v>
      </c>
      <c r="J169" s="220" t="s">
        <v>81</v>
      </c>
      <c r="K169" s="220" t="s">
        <v>81</v>
      </c>
      <c r="L169" s="141"/>
      <c r="M169" s="130"/>
      <c r="N169"/>
    </row>
    <row r="170" spans="1:14" ht="20.100000000000001" customHeight="1" x14ac:dyDescent="0.25">
      <c r="A170" s="126">
        <v>42314</v>
      </c>
      <c r="B170" s="71" t="s">
        <v>175</v>
      </c>
      <c r="C170" s="220" t="s">
        <v>95</v>
      </c>
      <c r="D170" s="285" t="s">
        <v>339</v>
      </c>
      <c r="E170" s="286"/>
      <c r="F170" s="287"/>
      <c r="G170" s="171"/>
      <c r="H170" s="207">
        <v>0</v>
      </c>
      <c r="I170" s="207">
        <v>0</v>
      </c>
      <c r="J170" s="207">
        <v>0</v>
      </c>
      <c r="K170" s="220" t="s">
        <v>297</v>
      </c>
      <c r="L170" s="141"/>
      <c r="M170" s="187"/>
      <c r="N170"/>
    </row>
    <row r="171" spans="1:14" ht="20.100000000000001" customHeight="1" x14ac:dyDescent="0.25">
      <c r="A171" s="126">
        <v>42314</v>
      </c>
      <c r="B171" s="71" t="s">
        <v>66</v>
      </c>
      <c r="C171" s="220" t="s">
        <v>16</v>
      </c>
      <c r="D171" s="285" t="s">
        <v>176</v>
      </c>
      <c r="E171" s="286"/>
      <c r="F171" s="287"/>
      <c r="G171" s="171"/>
      <c r="H171" s="207">
        <v>0</v>
      </c>
      <c r="I171" s="207">
        <v>0</v>
      </c>
      <c r="J171" s="220" t="s">
        <v>81</v>
      </c>
      <c r="K171" s="220" t="s">
        <v>297</v>
      </c>
      <c r="L171" s="141">
        <v>11300</v>
      </c>
      <c r="M171" s="130">
        <f>L171-L168</f>
        <v>7.6000000000003638</v>
      </c>
      <c r="N171" t="s">
        <v>330</v>
      </c>
    </row>
    <row r="172" spans="1:14" ht="20.100000000000001" customHeight="1" x14ac:dyDescent="0.25">
      <c r="A172" s="126">
        <v>42314</v>
      </c>
      <c r="B172" s="71" t="s">
        <v>177</v>
      </c>
      <c r="C172" s="303" t="s">
        <v>178</v>
      </c>
      <c r="D172" s="304"/>
      <c r="E172" s="304"/>
      <c r="F172" s="305"/>
      <c r="G172" s="171"/>
      <c r="H172" s="207"/>
      <c r="I172" s="207"/>
      <c r="J172" s="220"/>
      <c r="K172" s="220"/>
      <c r="L172" s="141"/>
      <c r="M172" s="130"/>
      <c r="N172"/>
    </row>
    <row r="173" spans="1:14" ht="20.100000000000001" customHeight="1" x14ac:dyDescent="0.25">
      <c r="A173" s="126">
        <v>42314</v>
      </c>
      <c r="B173" s="71" t="s">
        <v>179</v>
      </c>
      <c r="C173" s="138" t="s">
        <v>81</v>
      </c>
      <c r="D173" s="138" t="s">
        <v>81</v>
      </c>
      <c r="E173" s="138" t="s">
        <v>81</v>
      </c>
      <c r="F173" s="138" t="s">
        <v>81</v>
      </c>
      <c r="G173" s="172"/>
      <c r="H173" s="139">
        <v>0</v>
      </c>
      <c r="I173" s="139">
        <v>0</v>
      </c>
      <c r="J173" s="138" t="s">
        <v>81</v>
      </c>
      <c r="K173" s="138" t="s">
        <v>297</v>
      </c>
      <c r="L173" s="173">
        <v>11300.1</v>
      </c>
      <c r="M173" s="130">
        <f>L173-L171</f>
        <v>0.1000000000003638</v>
      </c>
      <c r="N173" t="s">
        <v>330</v>
      </c>
    </row>
    <row r="174" spans="1:14" ht="20.100000000000001" customHeight="1" x14ac:dyDescent="0.25">
      <c r="A174" s="126">
        <v>42315</v>
      </c>
      <c r="B174" s="134" t="s">
        <v>93</v>
      </c>
      <c r="C174" s="135"/>
      <c r="D174" s="300" t="s">
        <v>334</v>
      </c>
      <c r="E174" s="301"/>
      <c r="F174" s="302"/>
      <c r="G174" s="171"/>
      <c r="H174" s="288" t="s">
        <v>334</v>
      </c>
      <c r="I174" s="289"/>
      <c r="J174" s="290"/>
      <c r="K174" s="220"/>
      <c r="L174" s="141"/>
      <c r="M174" s="187"/>
      <c r="N174"/>
    </row>
    <row r="175" spans="1:14" ht="20.100000000000001" customHeight="1" x14ac:dyDescent="0.25">
      <c r="A175" s="126">
        <v>42316</v>
      </c>
      <c r="B175" s="134" t="s">
        <v>94</v>
      </c>
      <c r="C175" s="135"/>
      <c r="D175" s="300" t="s">
        <v>334</v>
      </c>
      <c r="E175" s="301"/>
      <c r="F175" s="302"/>
      <c r="G175" s="171"/>
      <c r="H175" s="288" t="s">
        <v>334</v>
      </c>
      <c r="I175" s="289"/>
      <c r="J175" s="290"/>
      <c r="K175" s="220"/>
      <c r="L175" s="141"/>
      <c r="M175" s="187"/>
      <c r="N175"/>
    </row>
    <row r="176" spans="1:14" ht="20.100000000000001" customHeight="1" x14ac:dyDescent="0.25">
      <c r="A176" s="126">
        <v>42317</v>
      </c>
      <c r="B176" s="71" t="s">
        <v>73</v>
      </c>
      <c r="C176" s="285" t="s">
        <v>180</v>
      </c>
      <c r="D176" s="286"/>
      <c r="E176" s="286"/>
      <c r="F176" s="287"/>
      <c r="G176" s="171"/>
      <c r="H176" s="207">
        <v>0</v>
      </c>
      <c r="I176" s="207"/>
      <c r="J176" s="220"/>
      <c r="K176" s="220"/>
      <c r="L176" s="141"/>
      <c r="M176" s="187"/>
      <c r="N176"/>
    </row>
    <row r="177" spans="1:14" ht="20.100000000000001" customHeight="1" x14ac:dyDescent="0.25">
      <c r="A177" s="126">
        <v>42318</v>
      </c>
      <c r="B177" s="71" t="s">
        <v>181</v>
      </c>
      <c r="C177" s="220" t="s">
        <v>16</v>
      </c>
      <c r="D177" s="220" t="s">
        <v>81</v>
      </c>
      <c r="E177" s="207">
        <v>0</v>
      </c>
      <c r="F177" s="220" t="s">
        <v>81</v>
      </c>
      <c r="G177" s="171"/>
      <c r="H177" s="285" t="s">
        <v>182</v>
      </c>
      <c r="I177" s="286"/>
      <c r="J177" s="286"/>
      <c r="K177" s="287"/>
      <c r="L177" s="141"/>
      <c r="M177" s="187"/>
      <c r="N177"/>
    </row>
    <row r="178" spans="1:14" ht="20.100000000000001" customHeight="1" x14ac:dyDescent="0.25">
      <c r="A178" s="126">
        <v>42318</v>
      </c>
      <c r="B178" s="71" t="s">
        <v>183</v>
      </c>
      <c r="C178" s="220" t="s">
        <v>16</v>
      </c>
      <c r="D178" s="207">
        <v>0</v>
      </c>
      <c r="E178" s="207">
        <v>0.01</v>
      </c>
      <c r="F178" s="220" t="s">
        <v>81</v>
      </c>
      <c r="G178" s="171"/>
      <c r="H178" s="207">
        <v>0</v>
      </c>
      <c r="I178" s="207">
        <v>0.02</v>
      </c>
      <c r="J178" s="220" t="s">
        <v>81</v>
      </c>
      <c r="K178" s="220"/>
      <c r="L178" s="141"/>
      <c r="M178" s="187"/>
      <c r="N178"/>
    </row>
    <row r="179" spans="1:14" ht="20.100000000000001" customHeight="1" x14ac:dyDescent="0.25">
      <c r="A179" s="126">
        <v>42319</v>
      </c>
      <c r="B179" s="71" t="s">
        <v>106</v>
      </c>
      <c r="C179" s="285" t="s">
        <v>334</v>
      </c>
      <c r="D179" s="286"/>
      <c r="E179" s="286"/>
      <c r="F179" s="287"/>
      <c r="G179" s="171"/>
      <c r="H179" s="288" t="s">
        <v>334</v>
      </c>
      <c r="I179" s="289"/>
      <c r="J179" s="290"/>
      <c r="K179" s="220"/>
      <c r="L179" s="141"/>
      <c r="M179" s="187"/>
      <c r="N179"/>
    </row>
    <row r="180" spans="1:14" ht="20.100000000000001" customHeight="1" x14ac:dyDescent="0.25">
      <c r="A180" s="126">
        <v>42320</v>
      </c>
      <c r="B180" s="71" t="s">
        <v>184</v>
      </c>
      <c r="C180" s="220" t="s">
        <v>16</v>
      </c>
      <c r="D180" s="207">
        <v>0</v>
      </c>
      <c r="E180" s="207">
        <v>0.01</v>
      </c>
      <c r="F180" s="220" t="s">
        <v>81</v>
      </c>
      <c r="G180" s="171"/>
      <c r="H180" s="207">
        <v>0</v>
      </c>
      <c r="I180" s="207">
        <v>0.01</v>
      </c>
      <c r="J180" s="220" t="s">
        <v>81</v>
      </c>
      <c r="K180" s="220" t="s">
        <v>298</v>
      </c>
      <c r="L180" s="141">
        <v>11350.1</v>
      </c>
      <c r="M180" s="130">
        <f>L180-L173</f>
        <v>50</v>
      </c>
      <c r="N180" t="s">
        <v>330</v>
      </c>
    </row>
    <row r="181" spans="1:14" ht="20.100000000000001" customHeight="1" x14ac:dyDescent="0.25">
      <c r="A181" s="126">
        <v>42321</v>
      </c>
      <c r="B181" s="71" t="s">
        <v>101</v>
      </c>
      <c r="C181" s="220"/>
      <c r="D181" s="220"/>
      <c r="E181" s="220"/>
      <c r="F181" s="220"/>
      <c r="G181" s="171"/>
      <c r="H181" s="207"/>
      <c r="I181" s="207"/>
      <c r="J181" s="220"/>
      <c r="K181" s="220"/>
      <c r="L181" s="141"/>
      <c r="M181" s="187"/>
      <c r="N181"/>
    </row>
    <row r="182" spans="1:14" ht="20.100000000000001" customHeight="1" x14ac:dyDescent="0.25">
      <c r="A182" s="126">
        <v>42322</v>
      </c>
      <c r="B182" s="134" t="s">
        <v>93</v>
      </c>
      <c r="C182" s="135"/>
      <c r="D182" s="300" t="s">
        <v>334</v>
      </c>
      <c r="E182" s="301"/>
      <c r="F182" s="302"/>
      <c r="G182" s="171"/>
      <c r="H182" s="207"/>
      <c r="I182" s="207"/>
      <c r="J182" s="220"/>
      <c r="K182" s="220"/>
      <c r="L182" s="141"/>
      <c r="M182" s="187"/>
      <c r="N182"/>
    </row>
    <row r="183" spans="1:14" ht="20.100000000000001" customHeight="1" x14ac:dyDescent="0.25">
      <c r="A183" s="126">
        <v>42323</v>
      </c>
      <c r="B183" s="134" t="s">
        <v>94</v>
      </c>
      <c r="C183" s="135"/>
      <c r="D183" s="300" t="s">
        <v>334</v>
      </c>
      <c r="E183" s="301"/>
      <c r="F183" s="302"/>
      <c r="G183" s="174"/>
      <c r="H183" s="207"/>
      <c r="I183" s="207"/>
      <c r="J183" s="220"/>
      <c r="K183" s="220"/>
      <c r="L183" s="141"/>
      <c r="M183" s="187"/>
      <c r="N183"/>
    </row>
    <row r="184" spans="1:14" ht="20.100000000000001" customHeight="1" x14ac:dyDescent="0.25">
      <c r="A184" s="126">
        <v>42324</v>
      </c>
      <c r="B184" s="71" t="s">
        <v>162</v>
      </c>
      <c r="C184" s="220" t="s">
        <v>16</v>
      </c>
      <c r="D184" s="207">
        <v>0</v>
      </c>
      <c r="E184" s="207">
        <v>0.01</v>
      </c>
      <c r="F184" s="220" t="s">
        <v>81</v>
      </c>
      <c r="G184" s="174"/>
      <c r="H184" s="288" t="s">
        <v>334</v>
      </c>
      <c r="I184" s="289"/>
      <c r="J184" s="290"/>
      <c r="K184" s="220" t="s">
        <v>297</v>
      </c>
      <c r="L184" s="141"/>
      <c r="M184" s="187"/>
      <c r="N184"/>
    </row>
    <row r="185" spans="1:14" ht="20.100000000000001" customHeight="1" x14ac:dyDescent="0.25">
      <c r="A185" s="126">
        <v>42325</v>
      </c>
      <c r="B185" s="71" t="s">
        <v>156</v>
      </c>
      <c r="C185" s="220" t="s">
        <v>16</v>
      </c>
      <c r="D185" s="207">
        <v>0</v>
      </c>
      <c r="E185" s="207">
        <v>0</v>
      </c>
      <c r="F185" s="220" t="s">
        <v>81</v>
      </c>
      <c r="G185" s="174"/>
      <c r="H185" s="288" t="s">
        <v>334</v>
      </c>
      <c r="I185" s="289"/>
      <c r="J185" s="290"/>
      <c r="K185" s="220" t="s">
        <v>298</v>
      </c>
      <c r="L185" s="141">
        <v>11375.9</v>
      </c>
      <c r="M185" s="130">
        <f>L185-L180</f>
        <v>25.799999999999272</v>
      </c>
      <c r="N185" t="s">
        <v>330</v>
      </c>
    </row>
    <row r="186" spans="1:14" ht="20.100000000000001" customHeight="1" x14ac:dyDescent="0.25">
      <c r="A186" s="126">
        <v>42326</v>
      </c>
      <c r="B186" s="71" t="s">
        <v>159</v>
      </c>
      <c r="C186" s="220" t="s">
        <v>16</v>
      </c>
      <c r="D186" s="285" t="s">
        <v>334</v>
      </c>
      <c r="E186" s="286"/>
      <c r="F186" s="287"/>
      <c r="G186" s="174"/>
      <c r="H186" s="288" t="s">
        <v>334</v>
      </c>
      <c r="I186" s="289"/>
      <c r="J186" s="290"/>
      <c r="K186" s="220" t="s">
        <v>298</v>
      </c>
      <c r="L186" s="141">
        <v>11385.3</v>
      </c>
      <c r="M186" s="130">
        <f>L186-L185</f>
        <v>9.3999999999996362</v>
      </c>
      <c r="N186" t="s">
        <v>330</v>
      </c>
    </row>
    <row r="187" spans="1:14" ht="20.100000000000001" customHeight="1" x14ac:dyDescent="0.25">
      <c r="A187" s="126">
        <v>42327</v>
      </c>
      <c r="B187" s="71" t="s">
        <v>185</v>
      </c>
      <c r="C187" s="220" t="s">
        <v>16</v>
      </c>
      <c r="D187" s="285" t="s">
        <v>334</v>
      </c>
      <c r="E187" s="286"/>
      <c r="F187" s="287"/>
      <c r="G187" s="174"/>
      <c r="H187" s="288" t="s">
        <v>334</v>
      </c>
      <c r="I187" s="289"/>
      <c r="J187" s="290"/>
      <c r="K187" s="220" t="s">
        <v>298</v>
      </c>
      <c r="L187" s="141">
        <v>11394.1</v>
      </c>
      <c r="M187" s="130">
        <f>L187-L186</f>
        <v>8.8000000000010914</v>
      </c>
      <c r="N187" t="s">
        <v>330</v>
      </c>
    </row>
    <row r="188" spans="1:14" ht="20.100000000000001" customHeight="1" x14ac:dyDescent="0.25">
      <c r="A188" s="126">
        <v>42328</v>
      </c>
      <c r="B188" s="73" t="s">
        <v>101</v>
      </c>
      <c r="C188" s="211"/>
      <c r="D188" s="306" t="s">
        <v>334</v>
      </c>
      <c r="E188" s="307"/>
      <c r="F188" s="308"/>
      <c r="G188" s="174"/>
      <c r="H188" s="288" t="s">
        <v>334</v>
      </c>
      <c r="I188" s="289"/>
      <c r="J188" s="290"/>
      <c r="K188" s="220"/>
      <c r="L188" s="141"/>
      <c r="M188" s="187"/>
      <c r="N188"/>
    </row>
    <row r="189" spans="1:14" ht="20.100000000000001" customHeight="1" x14ac:dyDescent="0.25">
      <c r="A189" s="126">
        <v>42329</v>
      </c>
      <c r="B189" s="134" t="s">
        <v>93</v>
      </c>
      <c r="C189" s="135"/>
      <c r="D189" s="300" t="s">
        <v>334</v>
      </c>
      <c r="E189" s="301"/>
      <c r="F189" s="302"/>
      <c r="G189" s="174"/>
      <c r="H189" s="288" t="s">
        <v>334</v>
      </c>
      <c r="I189" s="289"/>
      <c r="J189" s="290"/>
      <c r="K189" s="220"/>
      <c r="L189" s="141"/>
      <c r="M189" s="187"/>
      <c r="N189"/>
    </row>
    <row r="190" spans="1:14" ht="20.100000000000001" customHeight="1" x14ac:dyDescent="0.25">
      <c r="A190" s="126">
        <v>42330</v>
      </c>
      <c r="B190" s="134" t="s">
        <v>94</v>
      </c>
      <c r="C190" s="135"/>
      <c r="D190" s="300" t="s">
        <v>334</v>
      </c>
      <c r="E190" s="301"/>
      <c r="F190" s="302"/>
      <c r="G190" s="174"/>
      <c r="H190" s="288" t="s">
        <v>334</v>
      </c>
      <c r="I190" s="289"/>
      <c r="J190" s="290"/>
      <c r="K190" s="220"/>
      <c r="L190" s="141"/>
      <c r="M190" s="187"/>
      <c r="N190"/>
    </row>
    <row r="191" spans="1:14" ht="20.100000000000001" customHeight="1" x14ac:dyDescent="0.25">
      <c r="A191" s="126">
        <v>42331</v>
      </c>
      <c r="B191" s="71" t="s">
        <v>186</v>
      </c>
      <c r="C191" s="220" t="s">
        <v>16</v>
      </c>
      <c r="D191" s="285" t="s">
        <v>334</v>
      </c>
      <c r="E191" s="286"/>
      <c r="F191" s="287"/>
      <c r="G191" s="174"/>
      <c r="H191" s="288" t="s">
        <v>334</v>
      </c>
      <c r="I191" s="289"/>
      <c r="J191" s="290"/>
      <c r="K191" s="220" t="s">
        <v>298</v>
      </c>
      <c r="L191" s="141">
        <v>11402.5</v>
      </c>
      <c r="M191" s="130">
        <f>L191-L187</f>
        <v>8.3999999999996362</v>
      </c>
      <c r="N191" t="s">
        <v>330</v>
      </c>
    </row>
    <row r="192" spans="1:14" ht="20.100000000000001" customHeight="1" x14ac:dyDescent="0.25">
      <c r="A192" s="126">
        <v>42332</v>
      </c>
      <c r="B192" s="71" t="s">
        <v>187</v>
      </c>
      <c r="C192" s="220" t="s">
        <v>16</v>
      </c>
      <c r="D192" s="285" t="s">
        <v>334</v>
      </c>
      <c r="E192" s="286"/>
      <c r="F192" s="287"/>
      <c r="G192" s="174"/>
      <c r="H192" s="288" t="s">
        <v>334</v>
      </c>
      <c r="I192" s="289"/>
      <c r="J192" s="290"/>
      <c r="K192" s="220" t="s">
        <v>298</v>
      </c>
      <c r="L192" s="141">
        <v>11410.1</v>
      </c>
      <c r="M192" s="130">
        <f>L192-L191</f>
        <v>7.6000000000003638</v>
      </c>
      <c r="N192" t="s">
        <v>330</v>
      </c>
    </row>
    <row r="193" spans="1:14" ht="20.100000000000001" customHeight="1" x14ac:dyDescent="0.25">
      <c r="A193" s="126">
        <v>42333</v>
      </c>
      <c r="B193" s="71" t="s">
        <v>173</v>
      </c>
      <c r="C193" s="220" t="s">
        <v>16</v>
      </c>
      <c r="D193" s="285" t="s">
        <v>334</v>
      </c>
      <c r="E193" s="286"/>
      <c r="F193" s="287"/>
      <c r="G193" s="174"/>
      <c r="H193" s="288" t="s">
        <v>334</v>
      </c>
      <c r="I193" s="289"/>
      <c r="J193" s="290"/>
      <c r="K193" s="220" t="s">
        <v>298</v>
      </c>
      <c r="L193" s="141">
        <v>11413.8</v>
      </c>
      <c r="M193" s="130">
        <f>L193-L192</f>
        <v>3.6999999999989086</v>
      </c>
      <c r="N193" t="s">
        <v>330</v>
      </c>
    </row>
    <row r="194" spans="1:14" ht="20.100000000000001" customHeight="1" x14ac:dyDescent="0.25">
      <c r="A194" s="126">
        <v>42334</v>
      </c>
      <c r="B194" s="71" t="s">
        <v>188</v>
      </c>
      <c r="C194" s="220"/>
      <c r="D194" s="220"/>
      <c r="E194" s="220"/>
      <c r="F194" s="220"/>
      <c r="G194" s="174"/>
      <c r="H194" s="288" t="s">
        <v>334</v>
      </c>
      <c r="I194" s="289"/>
      <c r="J194" s="290"/>
      <c r="K194" s="220"/>
      <c r="L194" s="141"/>
      <c r="M194" s="187"/>
      <c r="N194"/>
    </row>
    <row r="195" spans="1:14" ht="20.100000000000001" customHeight="1" x14ac:dyDescent="0.25">
      <c r="A195" s="126">
        <v>42335</v>
      </c>
      <c r="B195" s="71" t="s">
        <v>189</v>
      </c>
      <c r="C195" s="220"/>
      <c r="D195" s="220"/>
      <c r="E195" s="220"/>
      <c r="F195" s="220"/>
      <c r="G195" s="174"/>
      <c r="H195" s="288" t="s">
        <v>334</v>
      </c>
      <c r="I195" s="289"/>
      <c r="J195" s="290"/>
      <c r="K195" s="220"/>
      <c r="L195" s="141"/>
      <c r="M195" s="187"/>
      <c r="N195"/>
    </row>
    <row r="196" spans="1:14" ht="20.100000000000001" customHeight="1" x14ac:dyDescent="0.25">
      <c r="A196" s="126">
        <v>42336</v>
      </c>
      <c r="B196" s="134" t="s">
        <v>93</v>
      </c>
      <c r="C196" s="135"/>
      <c r="D196" s="300" t="s">
        <v>334</v>
      </c>
      <c r="E196" s="301"/>
      <c r="F196" s="302"/>
      <c r="G196" s="174"/>
      <c r="H196" s="288" t="s">
        <v>334</v>
      </c>
      <c r="I196" s="289"/>
      <c r="J196" s="290"/>
      <c r="K196" s="220"/>
      <c r="L196" s="141"/>
      <c r="M196" s="187"/>
      <c r="N196"/>
    </row>
    <row r="197" spans="1:14" ht="20.100000000000001" customHeight="1" x14ac:dyDescent="0.25">
      <c r="A197" s="126">
        <v>42337</v>
      </c>
      <c r="B197" s="134" t="s">
        <v>94</v>
      </c>
      <c r="C197" s="135"/>
      <c r="D197" s="300" t="s">
        <v>334</v>
      </c>
      <c r="E197" s="301"/>
      <c r="F197" s="302"/>
      <c r="G197" s="174"/>
      <c r="H197" s="288" t="s">
        <v>334</v>
      </c>
      <c r="I197" s="289"/>
      <c r="J197" s="290"/>
      <c r="K197" s="220"/>
      <c r="L197" s="141"/>
      <c r="M197" s="187"/>
      <c r="N197"/>
    </row>
    <row r="198" spans="1:14" ht="20.100000000000001" customHeight="1" x14ac:dyDescent="0.25">
      <c r="A198" s="126">
        <v>42338</v>
      </c>
      <c r="B198" s="71" t="s">
        <v>173</v>
      </c>
      <c r="C198" s="220" t="s">
        <v>16</v>
      </c>
      <c r="D198" s="207">
        <v>0</v>
      </c>
      <c r="E198" s="207">
        <v>0</v>
      </c>
      <c r="F198" s="220" t="s">
        <v>81</v>
      </c>
      <c r="G198" s="174"/>
      <c r="H198" s="288" t="s">
        <v>334</v>
      </c>
      <c r="I198" s="289"/>
      <c r="J198" s="290"/>
      <c r="K198" s="220" t="s">
        <v>298</v>
      </c>
      <c r="L198" s="141">
        <v>11430.5</v>
      </c>
      <c r="M198" s="130">
        <f>L198-L192</f>
        <v>20.399999999999636</v>
      </c>
      <c r="N198" t="s">
        <v>330</v>
      </c>
    </row>
    <row r="199" spans="1:14" ht="20.100000000000001" customHeight="1" x14ac:dyDescent="0.25">
      <c r="A199" s="126">
        <v>42339</v>
      </c>
      <c r="B199" s="71" t="s">
        <v>186</v>
      </c>
      <c r="C199" s="220"/>
      <c r="D199" s="285" t="s">
        <v>334</v>
      </c>
      <c r="E199" s="286"/>
      <c r="F199" s="287"/>
      <c r="G199" s="174"/>
      <c r="H199" s="288" t="s">
        <v>334</v>
      </c>
      <c r="I199" s="289"/>
      <c r="J199" s="290"/>
      <c r="K199" s="220" t="s">
        <v>298</v>
      </c>
      <c r="L199" s="141">
        <v>11449.7</v>
      </c>
      <c r="M199" s="130">
        <f>L199-L198</f>
        <v>19.200000000000728</v>
      </c>
      <c r="N199" t="s">
        <v>330</v>
      </c>
    </row>
    <row r="200" spans="1:14" ht="20.100000000000001" customHeight="1" x14ac:dyDescent="0.25">
      <c r="A200" s="126">
        <v>42340</v>
      </c>
      <c r="B200" s="297" t="s">
        <v>190</v>
      </c>
      <c r="C200" s="298"/>
      <c r="D200" s="298"/>
      <c r="E200" s="298"/>
      <c r="F200" s="299"/>
      <c r="G200" s="174"/>
      <c r="H200" s="288" t="s">
        <v>191</v>
      </c>
      <c r="I200" s="289"/>
      <c r="J200" s="290"/>
      <c r="K200" s="220" t="s">
        <v>297</v>
      </c>
      <c r="L200" s="141"/>
      <c r="M200" s="187"/>
      <c r="N200"/>
    </row>
    <row r="201" spans="1:14" ht="20.100000000000001" customHeight="1" x14ac:dyDescent="0.25">
      <c r="A201" s="126">
        <v>42341</v>
      </c>
      <c r="B201" s="297" t="s">
        <v>340</v>
      </c>
      <c r="C201" s="298"/>
      <c r="D201" s="298"/>
      <c r="E201" s="298"/>
      <c r="F201" s="299"/>
      <c r="G201" s="174"/>
      <c r="H201" s="288" t="s">
        <v>334</v>
      </c>
      <c r="I201" s="289"/>
      <c r="J201" s="290"/>
      <c r="K201" s="220" t="s">
        <v>297</v>
      </c>
      <c r="L201" s="141"/>
      <c r="M201" s="187"/>
      <c r="N201"/>
    </row>
    <row r="202" spans="1:14" ht="20.100000000000001" customHeight="1" x14ac:dyDescent="0.25">
      <c r="A202" s="126">
        <v>42342</v>
      </c>
      <c r="B202" s="71" t="s">
        <v>76</v>
      </c>
      <c r="C202" s="1" t="s">
        <v>16</v>
      </c>
      <c r="D202" s="220">
        <v>0.08</v>
      </c>
      <c r="E202" s="220">
        <v>0.48</v>
      </c>
      <c r="F202" s="220">
        <v>0.56000000000000005</v>
      </c>
      <c r="G202" s="174"/>
      <c r="H202" s="288" t="s">
        <v>334</v>
      </c>
      <c r="I202" s="289"/>
      <c r="J202" s="290"/>
      <c r="K202" s="220"/>
      <c r="L202" s="141"/>
      <c r="M202" s="187"/>
      <c r="N202"/>
    </row>
    <row r="203" spans="1:14" ht="20.100000000000001" customHeight="1" x14ac:dyDescent="0.25">
      <c r="A203" s="126">
        <v>42342</v>
      </c>
      <c r="B203" s="71" t="s">
        <v>192</v>
      </c>
      <c r="C203" s="220" t="s">
        <v>16</v>
      </c>
      <c r="D203" s="207">
        <v>0</v>
      </c>
      <c r="E203" s="220">
        <v>0.48</v>
      </c>
      <c r="F203" s="220">
        <v>0.56000000000000005</v>
      </c>
      <c r="G203" s="174"/>
      <c r="H203" s="207">
        <v>0</v>
      </c>
      <c r="I203" s="207">
        <v>0.37</v>
      </c>
      <c r="J203" s="220">
        <v>0.59</v>
      </c>
      <c r="K203" s="220" t="s">
        <v>298</v>
      </c>
      <c r="L203" s="141">
        <v>11476</v>
      </c>
      <c r="M203" s="130">
        <f>L203-L199</f>
        <v>26.299999999999272</v>
      </c>
      <c r="N203" t="s">
        <v>330</v>
      </c>
    </row>
    <row r="204" spans="1:14" ht="20.100000000000001" customHeight="1" x14ac:dyDescent="0.25">
      <c r="A204" s="126">
        <v>42343</v>
      </c>
      <c r="B204" s="134" t="s">
        <v>93</v>
      </c>
      <c r="C204" s="135"/>
      <c r="D204" s="300" t="s">
        <v>334</v>
      </c>
      <c r="E204" s="301"/>
      <c r="F204" s="302"/>
      <c r="G204" s="174"/>
      <c r="H204" s="288" t="s">
        <v>334</v>
      </c>
      <c r="I204" s="289"/>
      <c r="J204" s="290"/>
      <c r="K204" s="220"/>
      <c r="L204" s="141"/>
      <c r="M204" s="187"/>
      <c r="N204"/>
    </row>
    <row r="205" spans="1:14" ht="20.100000000000001" customHeight="1" x14ac:dyDescent="0.25">
      <c r="A205" s="126">
        <v>42344</v>
      </c>
      <c r="B205" s="134" t="s">
        <v>94</v>
      </c>
      <c r="C205" s="135"/>
      <c r="D205" s="300" t="s">
        <v>334</v>
      </c>
      <c r="E205" s="301"/>
      <c r="F205" s="302"/>
      <c r="G205" s="174"/>
      <c r="H205" s="288" t="s">
        <v>334</v>
      </c>
      <c r="I205" s="289"/>
      <c r="J205" s="290"/>
      <c r="K205" s="220"/>
      <c r="L205" s="141"/>
      <c r="M205" s="187"/>
      <c r="N205"/>
    </row>
    <row r="206" spans="1:14" ht="20.100000000000001" customHeight="1" x14ac:dyDescent="0.25">
      <c r="A206" s="126">
        <v>42345</v>
      </c>
      <c r="B206" s="71" t="s">
        <v>66</v>
      </c>
      <c r="C206" s="220" t="s">
        <v>95</v>
      </c>
      <c r="D206" s="207">
        <v>0.05</v>
      </c>
      <c r="E206" s="220">
        <v>0.42</v>
      </c>
      <c r="F206" s="220">
        <v>0.39</v>
      </c>
      <c r="G206" s="174"/>
      <c r="H206" s="207">
        <v>0.02</v>
      </c>
      <c r="I206" s="207">
        <v>0.32</v>
      </c>
      <c r="J206" s="220">
        <v>0.39</v>
      </c>
      <c r="K206" s="220" t="s">
        <v>297</v>
      </c>
      <c r="L206" s="141"/>
      <c r="M206" s="187"/>
      <c r="N206"/>
    </row>
    <row r="207" spans="1:14" ht="20.100000000000001" customHeight="1" x14ac:dyDescent="0.25">
      <c r="A207" s="126">
        <v>42346</v>
      </c>
      <c r="B207" s="71" t="s">
        <v>193</v>
      </c>
      <c r="C207" s="220" t="s">
        <v>95</v>
      </c>
      <c r="D207" s="207">
        <v>0.04</v>
      </c>
      <c r="E207" s="220">
        <v>0.41</v>
      </c>
      <c r="F207" s="220">
        <v>0.44</v>
      </c>
      <c r="G207" s="174"/>
      <c r="H207" s="207">
        <v>0.03</v>
      </c>
      <c r="I207" s="207">
        <v>0.31</v>
      </c>
      <c r="J207" s="220">
        <v>0.36</v>
      </c>
      <c r="K207" s="220"/>
      <c r="L207" s="141"/>
      <c r="M207" s="187"/>
      <c r="N207"/>
    </row>
    <row r="208" spans="1:14" ht="20.100000000000001" customHeight="1" x14ac:dyDescent="0.25">
      <c r="A208" s="126">
        <v>42346</v>
      </c>
      <c r="B208" s="71" t="s">
        <v>194</v>
      </c>
      <c r="C208" s="220" t="s">
        <v>16</v>
      </c>
      <c r="D208" s="207">
        <v>0.05</v>
      </c>
      <c r="E208" s="220">
        <v>0.41</v>
      </c>
      <c r="F208" s="220">
        <v>0.59</v>
      </c>
      <c r="G208" s="174"/>
      <c r="H208" s="207">
        <v>0.01</v>
      </c>
      <c r="I208" s="207">
        <v>0.26</v>
      </c>
      <c r="J208" s="220">
        <v>0.45</v>
      </c>
      <c r="K208" s="220" t="s">
        <v>298</v>
      </c>
      <c r="L208" s="141">
        <v>11508</v>
      </c>
      <c r="M208" s="130">
        <f>L208-L203</f>
        <v>32</v>
      </c>
      <c r="N208" t="s">
        <v>330</v>
      </c>
    </row>
    <row r="209" spans="1:14" ht="20.100000000000001" customHeight="1" x14ac:dyDescent="0.25">
      <c r="A209" s="126">
        <v>42347</v>
      </c>
      <c r="B209" s="71" t="s">
        <v>73</v>
      </c>
      <c r="C209" s="220" t="s">
        <v>95</v>
      </c>
      <c r="D209" s="207">
        <v>0.08</v>
      </c>
      <c r="E209" s="220">
        <v>0.38</v>
      </c>
      <c r="F209" s="220">
        <v>0.36</v>
      </c>
      <c r="G209" s="174"/>
      <c r="H209" s="207">
        <v>0.01</v>
      </c>
      <c r="I209" s="207">
        <v>0.28999999999999998</v>
      </c>
      <c r="J209" s="220">
        <v>0.26</v>
      </c>
      <c r="K209" s="220"/>
      <c r="L209" s="141"/>
      <c r="M209" s="187"/>
      <c r="N209"/>
    </row>
    <row r="210" spans="1:14" ht="20.100000000000001" customHeight="1" x14ac:dyDescent="0.25">
      <c r="A210" s="126">
        <v>42347</v>
      </c>
      <c r="B210" s="71" t="s">
        <v>195</v>
      </c>
      <c r="C210" s="220" t="s">
        <v>81</v>
      </c>
      <c r="D210" s="285" t="s">
        <v>334</v>
      </c>
      <c r="E210" s="286"/>
      <c r="F210" s="287"/>
      <c r="G210" s="174"/>
      <c r="H210" s="207"/>
      <c r="I210" s="207"/>
      <c r="J210" s="220"/>
      <c r="K210" s="220"/>
      <c r="L210" s="141"/>
      <c r="M210" s="187"/>
      <c r="N210"/>
    </row>
    <row r="211" spans="1:14" ht="20.100000000000001" customHeight="1" x14ac:dyDescent="0.25">
      <c r="A211" s="126">
        <v>42348</v>
      </c>
      <c r="B211" s="71" t="s">
        <v>74</v>
      </c>
      <c r="C211" s="220" t="s">
        <v>95</v>
      </c>
      <c r="D211" s="207">
        <v>0.02</v>
      </c>
      <c r="E211" s="220">
        <v>0.36</v>
      </c>
      <c r="F211" s="220">
        <v>0.34</v>
      </c>
      <c r="G211" s="174"/>
      <c r="H211" s="207">
        <v>0.01</v>
      </c>
      <c r="I211" s="207">
        <v>0.23</v>
      </c>
      <c r="J211" s="220">
        <v>0.2</v>
      </c>
      <c r="K211" s="220" t="s">
        <v>297</v>
      </c>
      <c r="L211" s="141"/>
      <c r="M211" s="187"/>
      <c r="N211"/>
    </row>
    <row r="212" spans="1:14" ht="20.100000000000001" customHeight="1" x14ac:dyDescent="0.25">
      <c r="A212" s="126">
        <v>42348</v>
      </c>
      <c r="B212" s="71" t="s">
        <v>90</v>
      </c>
      <c r="C212" s="220" t="s">
        <v>16</v>
      </c>
      <c r="D212" s="207">
        <v>0.01</v>
      </c>
      <c r="E212" s="220">
        <v>0.34</v>
      </c>
      <c r="F212" s="220">
        <v>0.37</v>
      </c>
      <c r="G212" s="174"/>
      <c r="H212" s="207">
        <v>0.01</v>
      </c>
      <c r="I212" s="207">
        <v>0.16</v>
      </c>
      <c r="J212" s="220">
        <v>0.2</v>
      </c>
      <c r="K212" s="220" t="s">
        <v>298</v>
      </c>
      <c r="L212" s="141">
        <v>11548.2</v>
      </c>
      <c r="M212" s="130">
        <f>L212-L208</f>
        <v>40.200000000000728</v>
      </c>
      <c r="N212" t="s">
        <v>330</v>
      </c>
    </row>
    <row r="213" spans="1:14" ht="20.100000000000001" customHeight="1" x14ac:dyDescent="0.25">
      <c r="A213" s="126">
        <v>42349</v>
      </c>
      <c r="B213" s="71" t="s">
        <v>66</v>
      </c>
      <c r="C213" s="220" t="s">
        <v>95</v>
      </c>
      <c r="D213" s="207">
        <v>0.02</v>
      </c>
      <c r="E213" s="220">
        <v>0.38</v>
      </c>
      <c r="F213" s="220">
        <v>0.4</v>
      </c>
      <c r="G213" s="174"/>
      <c r="H213" s="207">
        <v>0.02</v>
      </c>
      <c r="I213" s="207">
        <v>0.24</v>
      </c>
      <c r="J213" s="220">
        <v>0.3</v>
      </c>
      <c r="K213" s="220" t="s">
        <v>297</v>
      </c>
      <c r="L213" s="141"/>
      <c r="M213" s="187"/>
      <c r="N213"/>
    </row>
    <row r="214" spans="1:14" ht="20.100000000000001" customHeight="1" x14ac:dyDescent="0.25">
      <c r="A214" s="126">
        <v>42349</v>
      </c>
      <c r="B214" s="71" t="s">
        <v>196</v>
      </c>
      <c r="C214" s="220" t="s">
        <v>197</v>
      </c>
      <c r="D214" s="207">
        <v>0.03</v>
      </c>
      <c r="E214" s="220">
        <v>0.37</v>
      </c>
      <c r="F214" s="220">
        <v>0.39</v>
      </c>
      <c r="G214" s="174"/>
      <c r="H214" s="207">
        <v>0.01</v>
      </c>
      <c r="I214" s="207">
        <v>0.22</v>
      </c>
      <c r="J214" s="220">
        <v>0.32</v>
      </c>
      <c r="K214" s="220" t="s">
        <v>298</v>
      </c>
      <c r="L214" s="141">
        <v>11555.6</v>
      </c>
      <c r="M214" s="130">
        <f>L214-L212</f>
        <v>7.3999999999996362</v>
      </c>
      <c r="N214" t="s">
        <v>330</v>
      </c>
    </row>
    <row r="215" spans="1:14" ht="20.100000000000001" customHeight="1" x14ac:dyDescent="0.25">
      <c r="A215" s="126">
        <v>42350</v>
      </c>
      <c r="B215" s="134" t="s">
        <v>93</v>
      </c>
      <c r="C215" s="135"/>
      <c r="D215" s="300" t="s">
        <v>334</v>
      </c>
      <c r="E215" s="301"/>
      <c r="F215" s="302"/>
      <c r="G215" s="174"/>
      <c r="H215" s="207"/>
      <c r="I215" s="207"/>
      <c r="J215" s="220"/>
      <c r="K215" s="220"/>
      <c r="L215" s="141"/>
      <c r="M215" s="187"/>
      <c r="N215"/>
    </row>
    <row r="216" spans="1:14" ht="20.100000000000001" customHeight="1" x14ac:dyDescent="0.25">
      <c r="A216" s="126">
        <v>42351</v>
      </c>
      <c r="B216" s="134" t="s">
        <v>94</v>
      </c>
      <c r="C216" s="135"/>
      <c r="D216" s="300" t="s">
        <v>334</v>
      </c>
      <c r="E216" s="301"/>
      <c r="F216" s="302"/>
      <c r="G216" s="174"/>
      <c r="H216" s="207"/>
      <c r="I216" s="207"/>
      <c r="J216" s="220"/>
      <c r="K216" s="220"/>
      <c r="L216" s="141"/>
      <c r="M216" s="187"/>
      <c r="N216"/>
    </row>
    <row r="217" spans="1:14" ht="20.100000000000001" customHeight="1" x14ac:dyDescent="0.25">
      <c r="A217" s="126">
        <v>42352</v>
      </c>
      <c r="B217" s="71" t="s">
        <v>166</v>
      </c>
      <c r="C217" s="220" t="s">
        <v>95</v>
      </c>
      <c r="D217" s="207">
        <v>0.02</v>
      </c>
      <c r="E217" s="220">
        <v>0.26</v>
      </c>
      <c r="F217" s="220">
        <v>0.33</v>
      </c>
      <c r="G217" s="174"/>
      <c r="H217" s="207">
        <v>0</v>
      </c>
      <c r="I217" s="207">
        <v>0</v>
      </c>
      <c r="J217" s="220">
        <v>0.11</v>
      </c>
      <c r="K217" s="220" t="s">
        <v>297</v>
      </c>
      <c r="L217" s="141"/>
      <c r="M217" s="187"/>
      <c r="N217"/>
    </row>
    <row r="218" spans="1:14" ht="20.100000000000001" customHeight="1" x14ac:dyDescent="0.25">
      <c r="A218" s="126">
        <v>42352</v>
      </c>
      <c r="B218" s="71" t="s">
        <v>198</v>
      </c>
      <c r="C218" s="220" t="s">
        <v>16</v>
      </c>
      <c r="D218" s="207">
        <v>0.01</v>
      </c>
      <c r="E218" s="220">
        <v>0.25</v>
      </c>
      <c r="F218" s="220">
        <v>0.37</v>
      </c>
      <c r="G218" s="174"/>
      <c r="H218" s="207">
        <v>0.01</v>
      </c>
      <c r="I218" s="207">
        <v>0</v>
      </c>
      <c r="J218" s="220">
        <v>0.12</v>
      </c>
      <c r="K218" s="220" t="s">
        <v>298</v>
      </c>
      <c r="L218" s="141">
        <v>11563.2</v>
      </c>
      <c r="M218" s="130">
        <f>L218-L214</f>
        <v>7.6000000000003638</v>
      </c>
      <c r="N218" t="s">
        <v>330</v>
      </c>
    </row>
    <row r="219" spans="1:14" ht="20.100000000000001" customHeight="1" x14ac:dyDescent="0.25">
      <c r="A219" s="126">
        <v>42353</v>
      </c>
      <c r="B219" s="71" t="s">
        <v>169</v>
      </c>
      <c r="C219" s="220" t="s">
        <v>95</v>
      </c>
      <c r="D219" s="207">
        <v>0.04</v>
      </c>
      <c r="E219" s="220">
        <v>0.06</v>
      </c>
      <c r="F219" s="220">
        <v>0.23</v>
      </c>
      <c r="G219" s="174"/>
      <c r="H219" s="207">
        <v>0</v>
      </c>
      <c r="I219" s="207">
        <v>0.01</v>
      </c>
      <c r="J219" s="220">
        <v>0.06</v>
      </c>
      <c r="K219" s="220"/>
      <c r="L219" s="141"/>
      <c r="M219" s="187"/>
      <c r="N219"/>
    </row>
    <row r="220" spans="1:14" ht="20.100000000000001" customHeight="1" x14ac:dyDescent="0.25">
      <c r="A220" s="126">
        <v>42353</v>
      </c>
      <c r="B220" s="71" t="s">
        <v>199</v>
      </c>
      <c r="C220" s="220" t="s">
        <v>16</v>
      </c>
      <c r="D220" s="207">
        <v>0</v>
      </c>
      <c r="E220" s="220">
        <v>0</v>
      </c>
      <c r="F220" s="220">
        <v>0.24</v>
      </c>
      <c r="G220" s="174"/>
      <c r="H220" s="207">
        <v>0</v>
      </c>
      <c r="I220" s="207">
        <v>0</v>
      </c>
      <c r="J220" s="220">
        <v>0.03</v>
      </c>
      <c r="K220" s="220" t="s">
        <v>297</v>
      </c>
      <c r="L220" s="141">
        <v>11569.3</v>
      </c>
      <c r="M220" s="130">
        <f>L220-L218</f>
        <v>6.0999999999985448</v>
      </c>
      <c r="N220" t="s">
        <v>330</v>
      </c>
    </row>
    <row r="221" spans="1:14" ht="20.100000000000001" customHeight="1" x14ac:dyDescent="0.25">
      <c r="A221" s="126">
        <v>42354</v>
      </c>
      <c r="B221" s="71" t="s">
        <v>200</v>
      </c>
      <c r="C221" s="220" t="s">
        <v>95</v>
      </c>
      <c r="D221" s="207">
        <v>0.04</v>
      </c>
      <c r="E221" s="220">
        <v>0.21</v>
      </c>
      <c r="F221" s="220">
        <v>0.21</v>
      </c>
      <c r="G221" s="174"/>
      <c r="H221" s="207">
        <v>0.01</v>
      </c>
      <c r="I221" s="207">
        <v>0.01</v>
      </c>
      <c r="J221" s="220">
        <v>0.04</v>
      </c>
      <c r="K221" s="220" t="s">
        <v>297</v>
      </c>
      <c r="L221" s="141"/>
      <c r="M221" s="187"/>
      <c r="N221"/>
    </row>
    <row r="222" spans="1:14" ht="20.100000000000001" customHeight="1" x14ac:dyDescent="0.25">
      <c r="A222" s="126">
        <v>42355</v>
      </c>
      <c r="B222" s="71" t="s">
        <v>163</v>
      </c>
      <c r="C222" s="220" t="s">
        <v>95</v>
      </c>
      <c r="D222" s="207">
        <v>0.05</v>
      </c>
      <c r="E222" s="220">
        <v>0.04</v>
      </c>
      <c r="F222" s="220">
        <v>0.04</v>
      </c>
      <c r="G222" s="174"/>
      <c r="H222" s="207">
        <v>0</v>
      </c>
      <c r="I222" s="207">
        <v>0.01</v>
      </c>
      <c r="J222" s="220">
        <v>0.04</v>
      </c>
      <c r="K222" s="220" t="s">
        <v>298</v>
      </c>
      <c r="L222" s="141">
        <v>11578.6</v>
      </c>
      <c r="M222" s="130">
        <f>L222-L220</f>
        <v>9.3000000000010914</v>
      </c>
      <c r="N222" t="s">
        <v>330</v>
      </c>
    </row>
    <row r="223" spans="1:14" ht="20.100000000000001" customHeight="1" x14ac:dyDescent="0.25">
      <c r="A223" s="126">
        <v>42355</v>
      </c>
      <c r="B223" s="71" t="s">
        <v>201</v>
      </c>
      <c r="C223" s="220" t="s">
        <v>16</v>
      </c>
      <c r="D223" s="207">
        <v>0.03</v>
      </c>
      <c r="E223" s="220">
        <v>0.46</v>
      </c>
      <c r="F223" s="220">
        <v>0.48</v>
      </c>
      <c r="G223" s="174"/>
      <c r="H223" s="288" t="s">
        <v>341</v>
      </c>
      <c r="I223" s="289"/>
      <c r="J223" s="289"/>
      <c r="K223" s="289"/>
      <c r="L223" s="290"/>
      <c r="M223" s="130"/>
      <c r="N223"/>
    </row>
    <row r="224" spans="1:14" ht="20.100000000000001" customHeight="1" x14ac:dyDescent="0.25">
      <c r="A224" s="126">
        <v>42355</v>
      </c>
      <c r="B224" s="71" t="s">
        <v>156</v>
      </c>
      <c r="C224" s="220" t="s">
        <v>16</v>
      </c>
      <c r="D224" s="288" t="s">
        <v>202</v>
      </c>
      <c r="E224" s="289"/>
      <c r="F224" s="290"/>
      <c r="G224" s="174"/>
      <c r="H224" s="288" t="s">
        <v>342</v>
      </c>
      <c r="I224" s="289"/>
      <c r="J224" s="289"/>
      <c r="K224" s="289"/>
      <c r="L224" s="140">
        <v>11581.2</v>
      </c>
      <c r="M224" s="130">
        <f>L224-L222</f>
        <v>2.6000000000003638</v>
      </c>
      <c r="N224" t="s">
        <v>330</v>
      </c>
    </row>
    <row r="225" spans="1:14" ht="20.100000000000001" customHeight="1" x14ac:dyDescent="0.25">
      <c r="A225" s="126">
        <v>42356</v>
      </c>
      <c r="B225" s="71" t="s">
        <v>88</v>
      </c>
      <c r="C225" s="220" t="s">
        <v>16</v>
      </c>
      <c r="D225" s="207">
        <v>0.02</v>
      </c>
      <c r="E225" s="220">
        <v>0.41</v>
      </c>
      <c r="F225" s="220">
        <v>0.44</v>
      </c>
      <c r="G225" s="174"/>
      <c r="H225" s="207">
        <v>0.02</v>
      </c>
      <c r="I225" s="207">
        <v>0.16</v>
      </c>
      <c r="J225" s="220">
        <v>0.22</v>
      </c>
      <c r="K225" s="220" t="s">
        <v>297</v>
      </c>
      <c r="L225" s="141"/>
      <c r="M225" s="187"/>
      <c r="N225"/>
    </row>
    <row r="226" spans="1:14" ht="20.100000000000001" customHeight="1" x14ac:dyDescent="0.25">
      <c r="A226" s="126">
        <v>42356</v>
      </c>
      <c r="B226" s="71" t="s">
        <v>179</v>
      </c>
      <c r="C226" s="220" t="s">
        <v>16</v>
      </c>
      <c r="D226" s="207">
        <v>0</v>
      </c>
      <c r="E226" s="220">
        <v>0.39</v>
      </c>
      <c r="F226" s="220">
        <v>0.46</v>
      </c>
      <c r="G226" s="174"/>
      <c r="H226" s="207">
        <v>0</v>
      </c>
      <c r="I226" s="207">
        <v>0.25</v>
      </c>
      <c r="J226" s="220">
        <v>0.3</v>
      </c>
      <c r="K226" s="220" t="s">
        <v>298</v>
      </c>
      <c r="L226" s="141">
        <v>11586</v>
      </c>
      <c r="M226" s="130">
        <f>L226-L224</f>
        <v>4.7999999999992724</v>
      </c>
      <c r="N226" t="s">
        <v>330</v>
      </c>
    </row>
    <row r="227" spans="1:14" ht="20.100000000000001" customHeight="1" x14ac:dyDescent="0.25">
      <c r="A227" s="126">
        <v>42357</v>
      </c>
      <c r="B227" s="134" t="s">
        <v>93</v>
      </c>
      <c r="C227" s="135"/>
      <c r="D227" s="300" t="s">
        <v>334</v>
      </c>
      <c r="E227" s="301"/>
      <c r="F227" s="302"/>
      <c r="G227" s="174"/>
      <c r="H227" s="207"/>
      <c r="I227" s="207"/>
      <c r="J227" s="220"/>
      <c r="K227" s="220"/>
      <c r="L227" s="141"/>
      <c r="M227" s="128"/>
    </row>
    <row r="228" spans="1:14" ht="20.100000000000001" customHeight="1" x14ac:dyDescent="0.25">
      <c r="A228" s="126">
        <v>42358</v>
      </c>
      <c r="B228" s="134" t="s">
        <v>94</v>
      </c>
      <c r="C228" s="135"/>
      <c r="D228" s="300" t="s">
        <v>334</v>
      </c>
      <c r="E228" s="301"/>
      <c r="F228" s="302"/>
      <c r="G228" s="174"/>
      <c r="H228" s="207"/>
      <c r="I228" s="207"/>
      <c r="J228" s="220"/>
      <c r="K228" s="220"/>
      <c r="L228" s="141"/>
      <c r="M228" s="128"/>
    </row>
    <row r="229" spans="1:14" ht="20.100000000000001" customHeight="1" x14ac:dyDescent="0.25">
      <c r="A229" s="126">
        <v>42359</v>
      </c>
      <c r="B229" s="71" t="s">
        <v>76</v>
      </c>
      <c r="C229" s="220" t="s">
        <v>16</v>
      </c>
      <c r="D229" s="207">
        <v>0</v>
      </c>
      <c r="E229" s="220">
        <v>0.32</v>
      </c>
      <c r="F229" s="220">
        <v>0.32</v>
      </c>
      <c r="G229" s="174"/>
      <c r="H229" s="207">
        <v>0</v>
      </c>
      <c r="I229" s="207">
        <v>0.05</v>
      </c>
      <c r="J229" s="220">
        <v>7.0000000000000007E-2</v>
      </c>
      <c r="K229" s="220"/>
      <c r="L229" s="141"/>
      <c r="M229" s="128"/>
    </row>
    <row r="230" spans="1:14" ht="20.100000000000001" customHeight="1" x14ac:dyDescent="0.25">
      <c r="A230" s="126">
        <v>42359</v>
      </c>
      <c r="B230" s="71" t="s">
        <v>211</v>
      </c>
      <c r="C230" s="220" t="s">
        <v>16</v>
      </c>
      <c r="D230" s="207">
        <v>0.04</v>
      </c>
      <c r="E230" s="220">
        <v>0.33</v>
      </c>
      <c r="F230" s="220">
        <v>0.16</v>
      </c>
      <c r="G230" s="174"/>
      <c r="H230" s="207">
        <v>0.01</v>
      </c>
      <c r="I230" s="207">
        <v>0.04</v>
      </c>
      <c r="J230" s="220">
        <v>0.11</v>
      </c>
      <c r="K230" s="220" t="s">
        <v>298</v>
      </c>
      <c r="L230" s="141">
        <v>11590.6</v>
      </c>
      <c r="M230" s="128">
        <f>L230-L226</f>
        <v>4.6000000000003638</v>
      </c>
      <c r="N230" s="187" t="s">
        <v>330</v>
      </c>
    </row>
    <row r="231" spans="1:14" ht="20.100000000000001" customHeight="1" x14ac:dyDescent="0.25">
      <c r="A231" s="126">
        <v>42360</v>
      </c>
      <c r="B231" s="71" t="s">
        <v>66</v>
      </c>
      <c r="C231" s="220" t="s">
        <v>95</v>
      </c>
      <c r="D231" s="207">
        <v>0.01</v>
      </c>
      <c r="E231" s="220">
        <v>0.34</v>
      </c>
      <c r="F231" s="220">
        <v>0.32</v>
      </c>
      <c r="G231" s="174"/>
      <c r="H231" s="207">
        <v>0</v>
      </c>
      <c r="I231" s="207">
        <v>0.05</v>
      </c>
      <c r="J231" s="220">
        <v>0.06</v>
      </c>
      <c r="K231" s="220" t="s">
        <v>297</v>
      </c>
      <c r="L231" s="141">
        <v>11593.3</v>
      </c>
      <c r="M231" s="128">
        <f>L231-L230</f>
        <v>2.6999999999989086</v>
      </c>
      <c r="N231" s="187" t="s">
        <v>330</v>
      </c>
    </row>
    <row r="232" spans="1:14" ht="20.100000000000001" customHeight="1" x14ac:dyDescent="0.25">
      <c r="A232" s="126">
        <v>42361</v>
      </c>
      <c r="B232" s="71" t="s">
        <v>212</v>
      </c>
      <c r="C232" s="220" t="s">
        <v>16</v>
      </c>
      <c r="D232" s="207">
        <v>0</v>
      </c>
      <c r="E232" s="220">
        <v>0.31</v>
      </c>
      <c r="F232" s="220">
        <v>0.37</v>
      </c>
      <c r="G232" s="174"/>
      <c r="H232" s="207">
        <v>0</v>
      </c>
      <c r="I232" s="207">
        <v>0</v>
      </c>
      <c r="J232" s="220">
        <v>0.04</v>
      </c>
      <c r="K232" s="220" t="s">
        <v>298</v>
      </c>
      <c r="L232" s="141">
        <v>11598.9</v>
      </c>
      <c r="M232" s="128">
        <f>L232-L231</f>
        <v>5.6000000000003638</v>
      </c>
      <c r="N232" s="187" t="s">
        <v>330</v>
      </c>
    </row>
    <row r="233" spans="1:14" ht="20.100000000000001" customHeight="1" x14ac:dyDescent="0.25">
      <c r="A233" s="126">
        <v>42362</v>
      </c>
      <c r="B233" s="142" t="s">
        <v>213</v>
      </c>
      <c r="C233" s="143" t="s">
        <v>16</v>
      </c>
      <c r="D233" s="144">
        <v>0.01</v>
      </c>
      <c r="E233" s="143">
        <v>0.27</v>
      </c>
      <c r="F233" s="143">
        <v>0.37</v>
      </c>
      <c r="G233" s="174"/>
      <c r="H233" s="207">
        <v>0</v>
      </c>
      <c r="I233" s="207">
        <v>0</v>
      </c>
      <c r="J233" s="220">
        <v>7.0000000000000007E-2</v>
      </c>
      <c r="K233" s="220" t="s">
        <v>298</v>
      </c>
      <c r="L233" s="141">
        <v>11604.1</v>
      </c>
      <c r="M233" s="128">
        <f>L233-L232</f>
        <v>5.2000000000007276</v>
      </c>
      <c r="N233" s="187" t="s">
        <v>330</v>
      </c>
    </row>
    <row r="234" spans="1:14" ht="20.100000000000001" customHeight="1" x14ac:dyDescent="0.25">
      <c r="A234" s="126">
        <v>42363</v>
      </c>
      <c r="B234" s="145" t="s">
        <v>76</v>
      </c>
      <c r="C234" s="146" t="s">
        <v>16</v>
      </c>
      <c r="D234" s="147">
        <v>0</v>
      </c>
      <c r="E234" s="146">
        <v>0.25</v>
      </c>
      <c r="F234" s="146">
        <v>0.33</v>
      </c>
      <c r="G234" s="174"/>
      <c r="H234" s="207">
        <v>0</v>
      </c>
      <c r="I234" s="207">
        <v>0.02</v>
      </c>
      <c r="J234" s="220">
        <v>0.13</v>
      </c>
      <c r="K234" s="220" t="s">
        <v>298</v>
      </c>
      <c r="L234" s="141">
        <v>11609.3</v>
      </c>
      <c r="M234" s="128">
        <f>L234-L233</f>
        <v>5.1999999999989086</v>
      </c>
      <c r="N234" s="187" t="s">
        <v>330</v>
      </c>
    </row>
    <row r="235" spans="1:14" ht="20.100000000000001" customHeight="1" x14ac:dyDescent="0.25">
      <c r="A235" s="126">
        <v>42364</v>
      </c>
      <c r="B235" s="134" t="s">
        <v>93</v>
      </c>
      <c r="C235" s="135"/>
      <c r="D235" s="300" t="s">
        <v>334</v>
      </c>
      <c r="E235" s="301"/>
      <c r="F235" s="302"/>
      <c r="G235" s="174"/>
      <c r="H235" s="207"/>
      <c r="I235" s="207"/>
      <c r="J235" s="220"/>
      <c r="K235" s="220"/>
      <c r="L235" s="141"/>
      <c r="M235" s="128"/>
    </row>
    <row r="236" spans="1:14" ht="20.100000000000001" customHeight="1" x14ac:dyDescent="0.25">
      <c r="A236" s="126">
        <v>42365</v>
      </c>
      <c r="B236" s="134" t="s">
        <v>94</v>
      </c>
      <c r="C236" s="135"/>
      <c r="D236" s="300" t="s">
        <v>334</v>
      </c>
      <c r="E236" s="301"/>
      <c r="F236" s="302"/>
      <c r="G236" s="174"/>
      <c r="H236" s="207"/>
      <c r="I236" s="207"/>
      <c r="J236" s="220"/>
      <c r="K236" s="220"/>
      <c r="L236" s="141"/>
      <c r="M236" s="128"/>
    </row>
    <row r="237" spans="1:14" ht="20.100000000000001" customHeight="1" x14ac:dyDescent="0.25">
      <c r="A237" s="126">
        <v>42366</v>
      </c>
      <c r="B237" s="71" t="s">
        <v>73</v>
      </c>
      <c r="C237" s="220" t="s">
        <v>95</v>
      </c>
      <c r="D237" s="207">
        <v>0.02</v>
      </c>
      <c r="E237" s="220">
        <v>0.08</v>
      </c>
      <c r="F237" s="220">
        <v>0.08</v>
      </c>
      <c r="G237" s="174"/>
      <c r="H237" s="207">
        <v>0</v>
      </c>
      <c r="I237" s="207">
        <v>0</v>
      </c>
      <c r="J237" s="220">
        <v>0.1</v>
      </c>
      <c r="K237" s="220" t="s">
        <v>297</v>
      </c>
      <c r="L237" s="141"/>
      <c r="M237" s="128"/>
    </row>
    <row r="238" spans="1:14" ht="20.100000000000001" customHeight="1" x14ac:dyDescent="0.25">
      <c r="A238" s="126">
        <v>42366</v>
      </c>
      <c r="B238" s="71" t="s">
        <v>214</v>
      </c>
      <c r="C238" s="220" t="s">
        <v>16</v>
      </c>
      <c r="D238" s="207">
        <v>0.01</v>
      </c>
      <c r="E238" s="220">
        <v>0.05</v>
      </c>
      <c r="F238" s="220">
        <v>0.17</v>
      </c>
      <c r="G238" s="174"/>
      <c r="H238" s="207">
        <v>0.01</v>
      </c>
      <c r="I238" s="207">
        <v>0.02</v>
      </c>
      <c r="J238" s="220">
        <v>0.06</v>
      </c>
      <c r="K238" s="220"/>
      <c r="L238" s="141"/>
      <c r="M238" s="128"/>
    </row>
    <row r="239" spans="1:14" ht="20.100000000000001" customHeight="1" x14ac:dyDescent="0.25">
      <c r="A239" s="126">
        <v>42366</v>
      </c>
      <c r="B239" s="71" t="s">
        <v>215</v>
      </c>
      <c r="C239" s="220" t="s">
        <v>16</v>
      </c>
      <c r="D239" s="288" t="s">
        <v>216</v>
      </c>
      <c r="E239" s="289"/>
      <c r="F239" s="290"/>
      <c r="G239" s="174"/>
      <c r="H239" s="207"/>
      <c r="I239" s="207"/>
      <c r="J239" s="220"/>
      <c r="K239" s="220"/>
      <c r="L239" s="141"/>
      <c r="M239" s="128"/>
    </row>
    <row r="240" spans="1:14" ht="20.100000000000001" customHeight="1" x14ac:dyDescent="0.25">
      <c r="A240" s="126">
        <v>42366</v>
      </c>
      <c r="B240" s="71" t="s">
        <v>201</v>
      </c>
      <c r="C240" s="220" t="s">
        <v>16</v>
      </c>
      <c r="D240" s="208">
        <v>0.01</v>
      </c>
      <c r="E240" s="209">
        <v>0.37</v>
      </c>
      <c r="F240" s="210">
        <v>0.37</v>
      </c>
      <c r="G240" s="174"/>
      <c r="H240" s="288" t="s">
        <v>343</v>
      </c>
      <c r="I240" s="289"/>
      <c r="J240" s="290"/>
      <c r="K240" s="220" t="s">
        <v>298</v>
      </c>
      <c r="L240" s="141">
        <v>11617.3</v>
      </c>
      <c r="M240" s="128">
        <f>L240-L234</f>
        <v>8</v>
      </c>
      <c r="N240" s="187" t="s">
        <v>330</v>
      </c>
    </row>
    <row r="241" spans="1:14" ht="20.100000000000001" customHeight="1" x14ac:dyDescent="0.25">
      <c r="A241" s="126">
        <v>42367</v>
      </c>
      <c r="B241" s="71" t="s">
        <v>75</v>
      </c>
      <c r="C241" s="220" t="s">
        <v>16</v>
      </c>
      <c r="D241" s="207">
        <v>0.05</v>
      </c>
      <c r="E241" s="220">
        <v>0.28000000000000003</v>
      </c>
      <c r="F241" s="220">
        <v>0.28000000000000003</v>
      </c>
      <c r="G241" s="174"/>
      <c r="H241" s="207">
        <v>0</v>
      </c>
      <c r="I241" s="207">
        <v>0.01</v>
      </c>
      <c r="J241" s="220">
        <v>0.05</v>
      </c>
      <c r="K241" s="285" t="s">
        <v>217</v>
      </c>
      <c r="L241" s="287"/>
      <c r="M241" s="128"/>
    </row>
    <row r="242" spans="1:14" ht="20.100000000000001" customHeight="1" x14ac:dyDescent="0.25">
      <c r="A242" s="126">
        <v>42367</v>
      </c>
      <c r="B242" s="71" t="s">
        <v>73</v>
      </c>
      <c r="C242" s="220" t="s">
        <v>16</v>
      </c>
      <c r="D242" s="288" t="s">
        <v>334</v>
      </c>
      <c r="E242" s="289"/>
      <c r="F242" s="290"/>
      <c r="G242" s="174"/>
      <c r="H242" s="207">
        <v>0</v>
      </c>
      <c r="I242" s="207">
        <v>0</v>
      </c>
      <c r="J242" s="220">
        <v>0.03</v>
      </c>
      <c r="K242" s="285" t="s">
        <v>218</v>
      </c>
      <c r="L242" s="287"/>
      <c r="M242" s="128"/>
    </row>
    <row r="243" spans="1:14" ht="20.100000000000001" customHeight="1" x14ac:dyDescent="0.25">
      <c r="A243" s="126">
        <v>42367</v>
      </c>
      <c r="B243" s="71" t="s">
        <v>90</v>
      </c>
      <c r="C243" s="220" t="s">
        <v>219</v>
      </c>
      <c r="D243" s="288" t="s">
        <v>334</v>
      </c>
      <c r="E243" s="289"/>
      <c r="F243" s="290"/>
      <c r="G243" s="174"/>
      <c r="H243" s="288" t="s">
        <v>334</v>
      </c>
      <c r="I243" s="289"/>
      <c r="J243" s="290"/>
      <c r="K243" s="220"/>
      <c r="L243" s="220">
        <v>11623.8</v>
      </c>
      <c r="M243" s="128">
        <f>L243-L240</f>
        <v>6.5</v>
      </c>
      <c r="N243" s="187" t="s">
        <v>330</v>
      </c>
    </row>
    <row r="244" spans="1:14" ht="20.100000000000001" customHeight="1" x14ac:dyDescent="0.25">
      <c r="A244" s="126">
        <v>42368</v>
      </c>
      <c r="B244" s="71" t="s">
        <v>76</v>
      </c>
      <c r="C244" s="220" t="s">
        <v>219</v>
      </c>
      <c r="D244" s="207">
        <v>0</v>
      </c>
      <c r="E244" s="220">
        <v>0.13</v>
      </c>
      <c r="F244" s="220">
        <v>0.26</v>
      </c>
      <c r="G244" s="174"/>
      <c r="H244" s="207">
        <v>0</v>
      </c>
      <c r="I244" s="207">
        <v>0.01</v>
      </c>
      <c r="J244" s="220">
        <v>0.15</v>
      </c>
      <c r="K244" s="285" t="s">
        <v>217</v>
      </c>
      <c r="L244" s="287"/>
      <c r="M244" s="128"/>
    </row>
    <row r="245" spans="1:14" ht="20.100000000000001" customHeight="1" x14ac:dyDescent="0.25">
      <c r="A245" s="126">
        <v>42368</v>
      </c>
      <c r="B245" s="71" t="s">
        <v>73</v>
      </c>
      <c r="C245" s="220" t="s">
        <v>219</v>
      </c>
      <c r="D245" s="207">
        <v>0</v>
      </c>
      <c r="E245" s="220">
        <v>0.12</v>
      </c>
      <c r="F245" s="220">
        <v>0.18</v>
      </c>
      <c r="G245" s="174"/>
      <c r="H245" s="207">
        <v>0</v>
      </c>
      <c r="I245" s="207">
        <v>0.01</v>
      </c>
      <c r="J245" s="220">
        <v>0.09</v>
      </c>
      <c r="K245" s="220" t="s">
        <v>297</v>
      </c>
      <c r="L245" s="141">
        <v>11630.1</v>
      </c>
      <c r="M245" s="128">
        <f>L245-L243</f>
        <v>6.3000000000010914</v>
      </c>
      <c r="N245" s="187" t="s">
        <v>330</v>
      </c>
    </row>
    <row r="246" spans="1:14" ht="20.100000000000001" customHeight="1" x14ac:dyDescent="0.25">
      <c r="A246" s="126">
        <v>42368</v>
      </c>
      <c r="B246" s="71" t="s">
        <v>220</v>
      </c>
      <c r="C246" s="220" t="s">
        <v>219</v>
      </c>
      <c r="D246" s="207">
        <v>0.01</v>
      </c>
      <c r="E246" s="220">
        <v>0.14000000000000001</v>
      </c>
      <c r="F246" s="220">
        <v>0.17</v>
      </c>
      <c r="G246" s="174"/>
      <c r="H246" s="207">
        <v>0</v>
      </c>
      <c r="I246" s="207">
        <v>0.01</v>
      </c>
      <c r="J246" s="220">
        <v>0.15</v>
      </c>
      <c r="K246" s="220" t="s">
        <v>298</v>
      </c>
      <c r="L246" s="141">
        <v>11639</v>
      </c>
      <c r="M246" s="128">
        <f>L246-L245</f>
        <v>8.8999999999996362</v>
      </c>
      <c r="N246" s="187" t="s">
        <v>330</v>
      </c>
    </row>
    <row r="247" spans="1:14" ht="20.100000000000001" customHeight="1" x14ac:dyDescent="0.25">
      <c r="A247" s="126">
        <v>42369</v>
      </c>
      <c r="B247" s="71" t="s">
        <v>63</v>
      </c>
      <c r="C247" s="220" t="s">
        <v>219</v>
      </c>
      <c r="D247" s="207">
        <v>0</v>
      </c>
      <c r="E247" s="220">
        <v>7.0000000000000007E-2</v>
      </c>
      <c r="F247" s="220">
        <v>0.17</v>
      </c>
      <c r="G247" s="174"/>
      <c r="H247" s="207">
        <v>0</v>
      </c>
      <c r="I247" s="207">
        <v>0</v>
      </c>
      <c r="J247" s="220">
        <v>0.09</v>
      </c>
      <c r="K247" s="220" t="s">
        <v>297</v>
      </c>
      <c r="L247" s="141">
        <v>11640.2</v>
      </c>
      <c r="M247" s="128">
        <f>L247-L246</f>
        <v>1.2000000000007276</v>
      </c>
      <c r="N247" s="187" t="s">
        <v>330</v>
      </c>
    </row>
    <row r="248" spans="1:14" ht="20.100000000000001" customHeight="1" x14ac:dyDescent="0.25">
      <c r="A248" s="126">
        <v>42370</v>
      </c>
      <c r="B248" s="134" t="s">
        <v>189</v>
      </c>
      <c r="C248" s="135"/>
      <c r="D248" s="300" t="s">
        <v>334</v>
      </c>
      <c r="E248" s="301"/>
      <c r="F248" s="302"/>
      <c r="G248" s="174"/>
      <c r="H248" s="207"/>
      <c r="I248" s="207"/>
      <c r="J248" s="220"/>
      <c r="K248" s="220"/>
      <c r="L248" s="141"/>
      <c r="M248" s="128"/>
    </row>
    <row r="249" spans="1:14" ht="20.100000000000001" customHeight="1" x14ac:dyDescent="0.25">
      <c r="A249" s="126">
        <v>42371</v>
      </c>
      <c r="B249" s="134" t="s">
        <v>93</v>
      </c>
      <c r="C249" s="135"/>
      <c r="D249" s="300" t="s">
        <v>334</v>
      </c>
      <c r="E249" s="301"/>
      <c r="F249" s="302"/>
      <c r="G249" s="174"/>
      <c r="H249" s="207"/>
      <c r="I249" s="207"/>
      <c r="J249" s="220"/>
      <c r="K249" s="220"/>
      <c r="L249" s="141"/>
      <c r="M249" s="128"/>
    </row>
    <row r="250" spans="1:14" ht="20.100000000000001" customHeight="1" x14ac:dyDescent="0.25">
      <c r="A250" s="126">
        <v>42372</v>
      </c>
      <c r="B250" s="134" t="s">
        <v>94</v>
      </c>
      <c r="C250" s="135"/>
      <c r="D250" s="300" t="s">
        <v>334</v>
      </c>
      <c r="E250" s="301"/>
      <c r="F250" s="302"/>
      <c r="G250" s="174"/>
      <c r="H250" s="207"/>
      <c r="I250" s="207"/>
      <c r="J250" s="220"/>
      <c r="K250" s="220"/>
      <c r="L250" s="141"/>
      <c r="M250" s="128"/>
    </row>
    <row r="251" spans="1:14" ht="20.100000000000001" customHeight="1" x14ac:dyDescent="0.25">
      <c r="A251" s="126">
        <v>42373</v>
      </c>
      <c r="B251" s="71" t="s">
        <v>65</v>
      </c>
      <c r="C251" s="220" t="s">
        <v>95</v>
      </c>
      <c r="D251" s="207">
        <v>0.01</v>
      </c>
      <c r="E251" s="220">
        <v>0.02</v>
      </c>
      <c r="F251" s="220">
        <v>0.02</v>
      </c>
      <c r="G251" s="174"/>
      <c r="H251" s="207">
        <v>0</v>
      </c>
      <c r="I251" s="207">
        <v>0.01</v>
      </c>
      <c r="J251" s="220">
        <v>0.04</v>
      </c>
      <c r="K251" s="285" t="s">
        <v>217</v>
      </c>
      <c r="L251" s="287"/>
      <c r="M251" s="128"/>
    </row>
    <row r="252" spans="1:14" ht="20.100000000000001" customHeight="1" x14ac:dyDescent="0.25">
      <c r="A252" s="126">
        <v>42373</v>
      </c>
      <c r="B252" s="71" t="s">
        <v>221</v>
      </c>
      <c r="C252" s="220" t="s">
        <v>16</v>
      </c>
      <c r="D252" s="207">
        <v>0</v>
      </c>
      <c r="E252" s="220">
        <v>0.02</v>
      </c>
      <c r="F252" s="220">
        <v>0.16</v>
      </c>
      <c r="G252" s="174"/>
      <c r="H252" s="207">
        <v>0</v>
      </c>
      <c r="I252" s="207">
        <v>0.02</v>
      </c>
      <c r="J252" s="220">
        <v>0.12</v>
      </c>
      <c r="K252" s="220" t="s">
        <v>298</v>
      </c>
      <c r="L252" s="141">
        <v>11659.5</v>
      </c>
      <c r="M252" s="128">
        <f>L252-L247</f>
        <v>19.299999999999272</v>
      </c>
      <c r="N252" s="187" t="s">
        <v>330</v>
      </c>
    </row>
    <row r="253" spans="1:14" ht="20.100000000000001" customHeight="1" x14ac:dyDescent="0.25">
      <c r="A253" s="126">
        <v>42374</v>
      </c>
      <c r="B253" s="71" t="s">
        <v>222</v>
      </c>
      <c r="C253" s="220" t="s">
        <v>95</v>
      </c>
      <c r="D253" s="207">
        <v>0</v>
      </c>
      <c r="E253" s="207">
        <v>0</v>
      </c>
      <c r="F253" s="220">
        <v>0.02</v>
      </c>
      <c r="G253" s="174"/>
      <c r="H253" s="207">
        <v>0</v>
      </c>
      <c r="I253" s="207">
        <v>0.02</v>
      </c>
      <c r="J253" s="220">
        <v>0.02</v>
      </c>
      <c r="K253" s="220" t="s">
        <v>297</v>
      </c>
      <c r="L253" s="141"/>
      <c r="M253" s="128"/>
    </row>
    <row r="254" spans="1:14" ht="20.100000000000001" customHeight="1" x14ac:dyDescent="0.25">
      <c r="A254" s="126">
        <v>42374</v>
      </c>
      <c r="B254" s="71" t="s">
        <v>198</v>
      </c>
      <c r="C254" s="220" t="s">
        <v>16</v>
      </c>
      <c r="D254" s="207">
        <v>0</v>
      </c>
      <c r="E254" s="207">
        <v>0</v>
      </c>
      <c r="F254" s="220">
        <v>0.17</v>
      </c>
      <c r="G254" s="174"/>
      <c r="H254" s="207">
        <v>0</v>
      </c>
      <c r="I254" s="207">
        <v>0.02</v>
      </c>
      <c r="J254" s="220">
        <v>0.15</v>
      </c>
      <c r="K254" s="220" t="s">
        <v>298</v>
      </c>
      <c r="L254" s="141">
        <v>11665.2</v>
      </c>
      <c r="M254" s="128">
        <f>L254-L252</f>
        <v>5.7000000000007276</v>
      </c>
      <c r="N254" s="187" t="s">
        <v>330</v>
      </c>
    </row>
    <row r="255" spans="1:14" ht="20.100000000000001" customHeight="1" x14ac:dyDescent="0.25">
      <c r="A255" s="126">
        <v>42375</v>
      </c>
      <c r="B255" s="71" t="s">
        <v>75</v>
      </c>
      <c r="C255" s="220" t="s">
        <v>16</v>
      </c>
      <c r="D255" s="207">
        <v>0</v>
      </c>
      <c r="E255" s="207">
        <v>0</v>
      </c>
      <c r="F255" s="207">
        <v>0.1</v>
      </c>
      <c r="G255" s="174"/>
      <c r="H255" s="207">
        <v>0</v>
      </c>
      <c r="I255" s="207">
        <v>0</v>
      </c>
      <c r="J255" s="220">
        <v>0.13</v>
      </c>
      <c r="K255" s="220" t="s">
        <v>297</v>
      </c>
      <c r="L255" s="141"/>
      <c r="M255" s="128"/>
    </row>
    <row r="256" spans="1:14" ht="20.100000000000001" customHeight="1" x14ac:dyDescent="0.25">
      <c r="A256" s="126">
        <v>42375</v>
      </c>
      <c r="B256" s="71" t="s">
        <v>223</v>
      </c>
      <c r="C256" s="220" t="s">
        <v>95</v>
      </c>
      <c r="D256" s="288" t="s">
        <v>216</v>
      </c>
      <c r="E256" s="289"/>
      <c r="F256" s="290"/>
      <c r="G256" s="171"/>
      <c r="H256" s="207"/>
      <c r="I256" s="207"/>
      <c r="J256" s="207"/>
      <c r="K256" s="220"/>
      <c r="L256" s="141"/>
      <c r="M256" s="128"/>
    </row>
    <row r="257" spans="1:14" ht="20.100000000000001" customHeight="1" x14ac:dyDescent="0.25">
      <c r="A257" s="126">
        <v>42375</v>
      </c>
      <c r="B257" s="71" t="s">
        <v>224</v>
      </c>
      <c r="C257" s="220" t="s">
        <v>219</v>
      </c>
      <c r="D257" s="207">
        <v>0.01</v>
      </c>
      <c r="E257" s="207">
        <v>0.3</v>
      </c>
      <c r="F257" s="207">
        <v>0.31</v>
      </c>
      <c r="G257" s="171"/>
      <c r="H257" s="207">
        <v>0</v>
      </c>
      <c r="I257" s="207">
        <v>0.81</v>
      </c>
      <c r="J257" s="207">
        <v>0.05</v>
      </c>
      <c r="K257" s="220" t="s">
        <v>298</v>
      </c>
      <c r="L257" s="141">
        <v>11680</v>
      </c>
      <c r="M257" s="128">
        <f>L257-L254</f>
        <v>14.799999999999272</v>
      </c>
      <c r="N257" s="187" t="s">
        <v>330</v>
      </c>
    </row>
    <row r="258" spans="1:14" ht="20.100000000000001" customHeight="1" x14ac:dyDescent="0.25">
      <c r="A258" s="126">
        <v>42376</v>
      </c>
      <c r="B258" s="71" t="s">
        <v>213</v>
      </c>
      <c r="C258" s="220" t="s">
        <v>95</v>
      </c>
      <c r="D258" s="207">
        <v>0.01</v>
      </c>
      <c r="E258" s="207">
        <v>0.23</v>
      </c>
      <c r="F258" s="207">
        <v>0.21</v>
      </c>
      <c r="G258" s="171"/>
      <c r="H258" s="207">
        <v>0.02</v>
      </c>
      <c r="I258" s="207">
        <v>0.02</v>
      </c>
      <c r="J258" s="207">
        <v>0.01</v>
      </c>
      <c r="K258" s="220" t="s">
        <v>297</v>
      </c>
      <c r="L258" s="141"/>
      <c r="M258" s="128"/>
    </row>
    <row r="259" spans="1:14" ht="20.100000000000001" customHeight="1" x14ac:dyDescent="0.25">
      <c r="A259" s="126">
        <v>42376</v>
      </c>
      <c r="B259" s="71" t="s">
        <v>164</v>
      </c>
      <c r="C259" s="1" t="s">
        <v>219</v>
      </c>
      <c r="D259" s="220">
        <v>0.03</v>
      </c>
      <c r="E259" s="207">
        <v>0.18</v>
      </c>
      <c r="F259" s="207">
        <v>0.2</v>
      </c>
      <c r="G259" s="171"/>
      <c r="H259" s="207">
        <v>0</v>
      </c>
      <c r="I259" s="207">
        <v>0.01</v>
      </c>
      <c r="J259" s="207">
        <v>0.05</v>
      </c>
      <c r="K259" s="220" t="s">
        <v>298</v>
      </c>
      <c r="L259" s="141">
        <v>11690</v>
      </c>
      <c r="M259" s="128">
        <f>L259-L257</f>
        <v>10</v>
      </c>
      <c r="N259" s="187" t="s">
        <v>330</v>
      </c>
    </row>
    <row r="260" spans="1:14" ht="20.100000000000001" customHeight="1" x14ac:dyDescent="0.25">
      <c r="A260" s="126">
        <v>42377</v>
      </c>
      <c r="B260" s="71" t="s">
        <v>75</v>
      </c>
      <c r="C260" s="220" t="s">
        <v>95</v>
      </c>
      <c r="D260" s="207">
        <v>0.02</v>
      </c>
      <c r="E260" s="207">
        <v>0.15</v>
      </c>
      <c r="F260" s="207">
        <v>0.13</v>
      </c>
      <c r="G260" s="171"/>
      <c r="H260" s="207">
        <v>0.02</v>
      </c>
      <c r="I260" s="207">
        <v>0.02</v>
      </c>
      <c r="J260" s="207">
        <v>0.02</v>
      </c>
      <c r="K260" s="220" t="s">
        <v>297</v>
      </c>
      <c r="L260" s="141"/>
      <c r="M260" s="128"/>
    </row>
    <row r="261" spans="1:14" ht="20.100000000000001" customHeight="1" x14ac:dyDescent="0.25">
      <c r="A261" s="126">
        <v>42377</v>
      </c>
      <c r="B261" s="71" t="s">
        <v>157</v>
      </c>
      <c r="C261" s="220" t="s">
        <v>16</v>
      </c>
      <c r="D261" s="207">
        <v>0.04</v>
      </c>
      <c r="E261" s="207">
        <v>0.11</v>
      </c>
      <c r="F261" s="207">
        <v>0.35</v>
      </c>
      <c r="G261" s="171"/>
      <c r="H261" s="207">
        <v>0.02</v>
      </c>
      <c r="I261" s="207">
        <v>0.02</v>
      </c>
      <c r="J261" s="207">
        <v>0.15</v>
      </c>
      <c r="K261" s="220" t="s">
        <v>298</v>
      </c>
      <c r="L261" s="141">
        <v>11697.2</v>
      </c>
      <c r="M261" s="128">
        <f>L261-L259</f>
        <v>7.2000000000007276</v>
      </c>
      <c r="N261" s="187" t="s">
        <v>330</v>
      </c>
    </row>
    <row r="262" spans="1:14" ht="20.100000000000001" customHeight="1" x14ac:dyDescent="0.25">
      <c r="A262" s="126">
        <v>42378</v>
      </c>
      <c r="B262" s="134" t="s">
        <v>93</v>
      </c>
      <c r="C262" s="135"/>
      <c r="D262" s="300" t="s">
        <v>334</v>
      </c>
      <c r="E262" s="301"/>
      <c r="F262" s="302"/>
      <c r="G262" s="171"/>
      <c r="H262" s="207"/>
      <c r="I262" s="207"/>
      <c r="J262" s="207"/>
      <c r="K262" s="220"/>
      <c r="L262" s="141"/>
      <c r="M262" s="128"/>
    </row>
    <row r="263" spans="1:14" ht="20.100000000000001" customHeight="1" x14ac:dyDescent="0.25">
      <c r="A263" s="126">
        <v>42379</v>
      </c>
      <c r="B263" s="134" t="s">
        <v>94</v>
      </c>
      <c r="C263" s="135"/>
      <c r="D263" s="300" t="s">
        <v>334</v>
      </c>
      <c r="E263" s="301"/>
      <c r="F263" s="302"/>
      <c r="G263" s="171"/>
      <c r="H263" s="207"/>
      <c r="I263" s="207"/>
      <c r="J263" s="207"/>
      <c r="K263" s="220"/>
      <c r="L263" s="141"/>
      <c r="M263" s="128"/>
    </row>
    <row r="264" spans="1:14" ht="20.100000000000001" customHeight="1" x14ac:dyDescent="0.25">
      <c r="A264" s="126">
        <v>42380</v>
      </c>
      <c r="B264" s="71" t="s">
        <v>155</v>
      </c>
      <c r="C264" s="1" t="s">
        <v>16</v>
      </c>
      <c r="D264" s="220">
        <v>0.01</v>
      </c>
      <c r="E264" s="207">
        <v>0.03</v>
      </c>
      <c r="F264" s="207">
        <v>0.13</v>
      </c>
      <c r="G264" s="171"/>
      <c r="H264" s="207">
        <v>0</v>
      </c>
      <c r="I264" s="207">
        <v>0</v>
      </c>
      <c r="J264" s="207">
        <v>0.1</v>
      </c>
      <c r="K264" s="220" t="s">
        <v>297</v>
      </c>
      <c r="L264" s="141"/>
      <c r="M264" s="128"/>
    </row>
    <row r="265" spans="1:14" ht="20.100000000000001" customHeight="1" x14ac:dyDescent="0.25">
      <c r="A265" s="126">
        <v>42380</v>
      </c>
      <c r="B265" s="71" t="s">
        <v>225</v>
      </c>
      <c r="C265" s="220" t="s">
        <v>16</v>
      </c>
      <c r="D265" s="207">
        <v>0</v>
      </c>
      <c r="E265" s="207">
        <v>0.02</v>
      </c>
      <c r="F265" s="207">
        <v>0.26</v>
      </c>
      <c r="G265" s="171"/>
      <c r="H265" s="207">
        <v>0</v>
      </c>
      <c r="I265" s="207">
        <v>0</v>
      </c>
      <c r="J265" s="207">
        <v>0.02</v>
      </c>
      <c r="K265" s="220" t="s">
        <v>298</v>
      </c>
      <c r="L265" s="141">
        <v>11702.1</v>
      </c>
      <c r="M265" s="128">
        <f>L265-L261</f>
        <v>4.8999999999996362</v>
      </c>
      <c r="N265" s="187" t="s">
        <v>330</v>
      </c>
    </row>
    <row r="266" spans="1:14" ht="20.100000000000001" customHeight="1" x14ac:dyDescent="0.25">
      <c r="A266" s="126">
        <v>42381</v>
      </c>
      <c r="B266" s="71" t="s">
        <v>177</v>
      </c>
      <c r="C266" s="220" t="s">
        <v>16</v>
      </c>
      <c r="D266" s="207">
        <v>0</v>
      </c>
      <c r="E266" s="207">
        <v>0.02</v>
      </c>
      <c r="F266" s="207">
        <v>0.13</v>
      </c>
      <c r="G266" s="171"/>
      <c r="H266" s="207">
        <v>0</v>
      </c>
      <c r="I266" s="207">
        <v>0.02</v>
      </c>
      <c r="J266" s="207">
        <v>0.08</v>
      </c>
      <c r="K266" s="220" t="s">
        <v>297</v>
      </c>
      <c r="L266" s="141"/>
      <c r="M266" s="128"/>
    </row>
    <row r="267" spans="1:14" ht="20.100000000000001" customHeight="1" x14ac:dyDescent="0.25">
      <c r="A267" s="126">
        <v>42381</v>
      </c>
      <c r="B267" s="71" t="s">
        <v>164</v>
      </c>
      <c r="C267" s="220" t="s">
        <v>16</v>
      </c>
      <c r="D267" s="207">
        <v>0</v>
      </c>
      <c r="E267" s="207">
        <v>0.01</v>
      </c>
      <c r="F267" s="207">
        <v>7.0000000000000007E-2</v>
      </c>
      <c r="G267" s="171"/>
      <c r="H267" s="207">
        <v>0</v>
      </c>
      <c r="I267" s="207">
        <v>0</v>
      </c>
      <c r="J267" s="207">
        <v>0.09</v>
      </c>
      <c r="K267" s="220" t="s">
        <v>298</v>
      </c>
      <c r="L267" s="141">
        <v>11705.7</v>
      </c>
      <c r="M267" s="128">
        <f>L267-L265</f>
        <v>3.6000000000003638</v>
      </c>
      <c r="N267" s="187" t="s">
        <v>330</v>
      </c>
    </row>
    <row r="268" spans="1:14" ht="20.100000000000001" customHeight="1" x14ac:dyDescent="0.25">
      <c r="A268" s="126">
        <v>42382</v>
      </c>
      <c r="B268" s="71" t="s">
        <v>226</v>
      </c>
      <c r="C268" s="220" t="s">
        <v>95</v>
      </c>
      <c r="D268" s="207">
        <v>0.01</v>
      </c>
      <c r="E268" s="207">
        <v>0.01</v>
      </c>
      <c r="F268" s="207">
        <v>0.02</v>
      </c>
      <c r="G268" s="171"/>
      <c r="H268" s="207">
        <v>0.02</v>
      </c>
      <c r="I268" s="207">
        <v>0</v>
      </c>
      <c r="J268" s="207">
        <v>0</v>
      </c>
      <c r="K268" s="220" t="s">
        <v>297</v>
      </c>
      <c r="L268" s="141"/>
      <c r="M268" s="128"/>
    </row>
    <row r="269" spans="1:14" ht="20.100000000000001" customHeight="1" x14ac:dyDescent="0.25">
      <c r="A269" s="126">
        <v>42382</v>
      </c>
      <c r="B269" s="71"/>
      <c r="C269" s="285" t="s">
        <v>216</v>
      </c>
      <c r="D269" s="286"/>
      <c r="E269" s="286"/>
      <c r="F269" s="287"/>
      <c r="G269" s="171"/>
      <c r="H269" s="207"/>
      <c r="I269" s="207"/>
      <c r="J269" s="207"/>
      <c r="K269" s="220"/>
      <c r="L269" s="141"/>
      <c r="M269" s="128"/>
    </row>
    <row r="270" spans="1:14" ht="20.100000000000001" customHeight="1" x14ac:dyDescent="0.25">
      <c r="A270" s="126">
        <v>42382</v>
      </c>
      <c r="B270" s="71" t="s">
        <v>90</v>
      </c>
      <c r="C270" s="220" t="s">
        <v>16</v>
      </c>
      <c r="D270" s="207">
        <v>0.02</v>
      </c>
      <c r="E270" s="207">
        <v>0.3</v>
      </c>
      <c r="F270" s="207">
        <v>0.49</v>
      </c>
      <c r="G270" s="171"/>
      <c r="H270" s="288" t="s">
        <v>334</v>
      </c>
      <c r="I270" s="289"/>
      <c r="J270" s="290"/>
      <c r="K270" s="220" t="s">
        <v>298</v>
      </c>
      <c r="L270" s="141">
        <v>11727.9</v>
      </c>
      <c r="M270" s="148">
        <f>L270-L267</f>
        <v>22.199999999998909</v>
      </c>
      <c r="N270" s="187" t="s">
        <v>330</v>
      </c>
    </row>
    <row r="271" spans="1:14" ht="20.100000000000001" customHeight="1" x14ac:dyDescent="0.25">
      <c r="A271" s="126">
        <v>42383</v>
      </c>
      <c r="B271" s="71" t="s">
        <v>75</v>
      </c>
      <c r="C271" s="220" t="s">
        <v>95</v>
      </c>
      <c r="D271" s="207">
        <v>0.01</v>
      </c>
      <c r="E271" s="207">
        <v>0.22</v>
      </c>
      <c r="F271" s="207">
        <v>0.21</v>
      </c>
      <c r="G271" s="171"/>
      <c r="H271" s="207">
        <v>0.02</v>
      </c>
      <c r="I271" s="207">
        <v>0</v>
      </c>
      <c r="J271" s="207">
        <v>0</v>
      </c>
      <c r="K271" s="220" t="s">
        <v>297</v>
      </c>
      <c r="L271" s="141"/>
      <c r="M271" s="128"/>
    </row>
    <row r="272" spans="1:14" ht="20.100000000000001" customHeight="1" x14ac:dyDescent="0.25">
      <c r="A272" s="126">
        <v>42383</v>
      </c>
      <c r="B272" s="71" t="s">
        <v>184</v>
      </c>
      <c r="C272" s="220" t="s">
        <v>16</v>
      </c>
      <c r="D272" s="207">
        <v>0.01</v>
      </c>
      <c r="E272" s="207">
        <v>0.18</v>
      </c>
      <c r="F272" s="207">
        <v>0.2</v>
      </c>
      <c r="G272" s="171"/>
      <c r="H272" s="207">
        <v>0</v>
      </c>
      <c r="I272" s="207">
        <v>0.01</v>
      </c>
      <c r="J272" s="207">
        <v>0.16</v>
      </c>
      <c r="K272" s="220" t="s">
        <v>298</v>
      </c>
      <c r="L272" s="141">
        <v>11738.2</v>
      </c>
      <c r="M272" s="128">
        <f>L272-L270</f>
        <v>10.300000000001091</v>
      </c>
      <c r="N272" s="187" t="s">
        <v>330</v>
      </c>
    </row>
    <row r="273" spans="1:14" ht="20.100000000000001" customHeight="1" x14ac:dyDescent="0.25">
      <c r="A273" s="126">
        <v>42384</v>
      </c>
      <c r="B273" s="71" t="s">
        <v>227</v>
      </c>
      <c r="C273" s="220" t="s">
        <v>228</v>
      </c>
      <c r="D273" s="207">
        <v>0</v>
      </c>
      <c r="E273" s="207">
        <v>0.09</v>
      </c>
      <c r="F273" s="207">
        <v>0.12</v>
      </c>
      <c r="G273" s="171"/>
      <c r="H273" s="207">
        <v>0</v>
      </c>
      <c r="I273" s="207">
        <v>0.01</v>
      </c>
      <c r="J273" s="207">
        <v>0.03</v>
      </c>
      <c r="K273" s="220" t="s">
        <v>298</v>
      </c>
      <c r="L273" s="141">
        <v>11750</v>
      </c>
      <c r="M273" s="128">
        <f>L273-L272</f>
        <v>11.799999999999272</v>
      </c>
      <c r="N273" s="187" t="s">
        <v>330</v>
      </c>
    </row>
    <row r="274" spans="1:14" ht="20.100000000000001" customHeight="1" x14ac:dyDescent="0.25">
      <c r="A274" s="126">
        <v>42385</v>
      </c>
      <c r="B274" s="134" t="s">
        <v>93</v>
      </c>
      <c r="C274" s="135"/>
      <c r="D274" s="300" t="s">
        <v>334</v>
      </c>
      <c r="E274" s="301"/>
      <c r="F274" s="302"/>
      <c r="G274" s="171"/>
      <c r="H274" s="207"/>
      <c r="I274" s="207"/>
      <c r="J274" s="207"/>
      <c r="K274" s="220"/>
      <c r="L274" s="141"/>
      <c r="M274" s="128"/>
    </row>
    <row r="275" spans="1:14" ht="20.100000000000001" customHeight="1" x14ac:dyDescent="0.25">
      <c r="A275" s="126">
        <v>42386</v>
      </c>
      <c r="B275" s="134" t="s">
        <v>94</v>
      </c>
      <c r="C275" s="135"/>
      <c r="D275" s="300" t="s">
        <v>334</v>
      </c>
      <c r="E275" s="301"/>
      <c r="F275" s="302"/>
      <c r="G275" s="171"/>
      <c r="H275" s="207"/>
      <c r="I275" s="207"/>
      <c r="J275" s="207"/>
      <c r="K275" s="220"/>
      <c r="L275" s="141"/>
      <c r="M275" s="128"/>
    </row>
    <row r="276" spans="1:14" ht="20.100000000000001" customHeight="1" x14ac:dyDescent="0.25">
      <c r="A276" s="126">
        <v>42387</v>
      </c>
      <c r="B276" s="71" t="s">
        <v>229</v>
      </c>
      <c r="C276" s="220" t="s">
        <v>16</v>
      </c>
      <c r="D276" s="207">
        <v>0.01</v>
      </c>
      <c r="E276" s="207">
        <v>0.03</v>
      </c>
      <c r="F276" s="207">
        <v>0.21</v>
      </c>
      <c r="G276" s="171"/>
      <c r="H276" s="207">
        <v>0.01</v>
      </c>
      <c r="I276" s="207">
        <v>0.02</v>
      </c>
      <c r="J276" s="207">
        <v>0.28999999999999998</v>
      </c>
      <c r="K276" s="220" t="s">
        <v>298</v>
      </c>
      <c r="L276" s="141">
        <v>11754</v>
      </c>
      <c r="M276" s="128">
        <f>L276-L273</f>
        <v>4</v>
      </c>
      <c r="N276" s="187" t="s">
        <v>330</v>
      </c>
    </row>
    <row r="277" spans="1:14" ht="20.100000000000001" customHeight="1" x14ac:dyDescent="0.25">
      <c r="A277" s="126">
        <v>42388</v>
      </c>
      <c r="B277" s="71" t="s">
        <v>75</v>
      </c>
      <c r="C277" s="220" t="s">
        <v>95</v>
      </c>
      <c r="D277" s="207">
        <v>0.02</v>
      </c>
      <c r="E277" s="207">
        <v>0.04</v>
      </c>
      <c r="F277" s="207">
        <v>0.02</v>
      </c>
      <c r="G277" s="171"/>
      <c r="H277" s="207">
        <v>0</v>
      </c>
      <c r="I277" s="207">
        <v>0.02</v>
      </c>
      <c r="J277" s="207">
        <v>0.02</v>
      </c>
      <c r="K277" s="220" t="s">
        <v>297</v>
      </c>
      <c r="L277" s="141"/>
      <c r="M277" s="128"/>
    </row>
    <row r="278" spans="1:14" ht="20.100000000000001" customHeight="1" x14ac:dyDescent="0.25">
      <c r="A278" s="126">
        <v>42388</v>
      </c>
      <c r="B278" s="71" t="s">
        <v>230</v>
      </c>
      <c r="C278" s="220" t="s">
        <v>95</v>
      </c>
      <c r="D278" s="207">
        <v>0.03</v>
      </c>
      <c r="E278" s="207">
        <v>0.02</v>
      </c>
      <c r="F278" s="207">
        <v>0.01</v>
      </c>
      <c r="G278" s="171"/>
      <c r="H278" s="207">
        <v>0</v>
      </c>
      <c r="I278" s="207">
        <v>0</v>
      </c>
      <c r="J278" s="207">
        <v>0.02</v>
      </c>
      <c r="K278" s="220" t="s">
        <v>298</v>
      </c>
      <c r="L278" s="141">
        <v>11762.6</v>
      </c>
      <c r="M278" s="128">
        <f>L278-L276</f>
        <v>8.6000000000003638</v>
      </c>
      <c r="N278" s="187" t="s">
        <v>330</v>
      </c>
    </row>
    <row r="279" spans="1:14" ht="20.100000000000001" customHeight="1" x14ac:dyDescent="0.25">
      <c r="A279" s="126">
        <v>42389</v>
      </c>
      <c r="B279" s="71" t="s">
        <v>226</v>
      </c>
      <c r="C279" s="220" t="s">
        <v>95</v>
      </c>
      <c r="D279" s="207">
        <v>0.01</v>
      </c>
      <c r="E279" s="207">
        <v>0.02</v>
      </c>
      <c r="F279" s="207">
        <v>0.05</v>
      </c>
      <c r="G279" s="171"/>
      <c r="H279" s="207">
        <v>0</v>
      </c>
      <c r="I279" s="207">
        <v>0</v>
      </c>
      <c r="J279" s="207">
        <v>0.02</v>
      </c>
      <c r="K279" s="220" t="s">
        <v>297</v>
      </c>
      <c r="L279" s="141"/>
      <c r="M279" s="128"/>
    </row>
    <row r="280" spans="1:14" ht="20.100000000000001" customHeight="1" x14ac:dyDescent="0.25">
      <c r="A280" s="126">
        <v>42389</v>
      </c>
      <c r="B280" s="71" t="s">
        <v>231</v>
      </c>
      <c r="C280" s="220" t="s">
        <v>16</v>
      </c>
      <c r="D280" s="207">
        <v>0</v>
      </c>
      <c r="E280" s="207">
        <v>0</v>
      </c>
      <c r="F280" s="207">
        <v>0.08</v>
      </c>
      <c r="G280" s="171"/>
      <c r="H280" s="207">
        <v>0</v>
      </c>
      <c r="I280" s="207">
        <v>0</v>
      </c>
      <c r="J280" s="207">
        <v>0.06</v>
      </c>
      <c r="K280" s="220" t="s">
        <v>298</v>
      </c>
      <c r="L280" s="141">
        <v>11771.6</v>
      </c>
      <c r="M280" s="128">
        <f>L280-L278</f>
        <v>9</v>
      </c>
      <c r="N280" s="187" t="s">
        <v>330</v>
      </c>
    </row>
    <row r="281" spans="1:14" ht="20.100000000000001" customHeight="1" x14ac:dyDescent="0.25">
      <c r="A281" s="126">
        <v>42390</v>
      </c>
      <c r="B281" s="71" t="s">
        <v>75</v>
      </c>
      <c r="C281" s="220" t="s">
        <v>95</v>
      </c>
      <c r="D281" s="207">
        <v>0.02</v>
      </c>
      <c r="E281" s="207">
        <v>0.02</v>
      </c>
      <c r="F281" s="207">
        <v>0</v>
      </c>
      <c r="G281" s="171"/>
      <c r="H281" s="207">
        <v>0.02</v>
      </c>
      <c r="I281" s="207">
        <v>0.02</v>
      </c>
      <c r="J281" s="207">
        <v>0.02</v>
      </c>
      <c r="K281" s="220" t="s">
        <v>297</v>
      </c>
      <c r="L281" s="141"/>
      <c r="M281" s="128"/>
    </row>
    <row r="282" spans="1:14" ht="20.100000000000001" customHeight="1" x14ac:dyDescent="0.25">
      <c r="A282" s="126">
        <v>42391</v>
      </c>
      <c r="B282" s="71" t="s">
        <v>75</v>
      </c>
      <c r="C282" s="220" t="s">
        <v>95</v>
      </c>
      <c r="D282" s="207">
        <v>0.01</v>
      </c>
      <c r="E282" s="207">
        <v>0.02</v>
      </c>
      <c r="F282" s="207">
        <v>0.01</v>
      </c>
      <c r="G282" s="171"/>
      <c r="H282" s="207">
        <v>0.01</v>
      </c>
      <c r="I282" s="207">
        <v>0.01</v>
      </c>
      <c r="J282" s="207">
        <v>0.04</v>
      </c>
      <c r="K282" s="220" t="s">
        <v>298</v>
      </c>
      <c r="L282" s="141">
        <v>11788.9</v>
      </c>
      <c r="M282" s="128">
        <f>L282-L280</f>
        <v>17.299999999999272</v>
      </c>
      <c r="N282" s="187" t="s">
        <v>330</v>
      </c>
    </row>
    <row r="283" spans="1:14" ht="20.100000000000001" customHeight="1" x14ac:dyDescent="0.25">
      <c r="A283" s="126">
        <v>42392</v>
      </c>
      <c r="B283" s="134" t="s">
        <v>93</v>
      </c>
      <c r="C283" s="135"/>
      <c r="D283" s="300" t="s">
        <v>334</v>
      </c>
      <c r="E283" s="301"/>
      <c r="F283" s="302"/>
      <c r="G283" s="171"/>
      <c r="H283" s="207"/>
      <c r="I283" s="207"/>
      <c r="J283" s="207"/>
      <c r="K283" s="220"/>
      <c r="L283" s="141"/>
      <c r="M283" s="128"/>
    </row>
    <row r="284" spans="1:14" ht="20.100000000000001" customHeight="1" x14ac:dyDescent="0.25">
      <c r="A284" s="126">
        <v>42393</v>
      </c>
      <c r="B284" s="134" t="s">
        <v>94</v>
      </c>
      <c r="C284" s="135"/>
      <c r="D284" s="300" t="s">
        <v>334</v>
      </c>
      <c r="E284" s="301"/>
      <c r="F284" s="302"/>
      <c r="G284" s="171"/>
      <c r="H284" s="207"/>
      <c r="I284" s="207"/>
      <c r="J284" s="207"/>
      <c r="K284" s="220"/>
      <c r="L284" s="141"/>
      <c r="M284" s="128"/>
    </row>
    <row r="285" spans="1:14" ht="20.100000000000001" customHeight="1" x14ac:dyDescent="0.25">
      <c r="A285" s="126">
        <v>42394</v>
      </c>
      <c r="B285" s="71" t="s">
        <v>66</v>
      </c>
      <c r="C285" s="220" t="s">
        <v>95</v>
      </c>
      <c r="D285" s="207">
        <v>0.02</v>
      </c>
      <c r="E285" s="207">
        <v>0.05</v>
      </c>
      <c r="F285" s="207">
        <v>0.01</v>
      </c>
      <c r="G285" s="171"/>
      <c r="H285" s="207">
        <v>0</v>
      </c>
      <c r="I285" s="207">
        <v>0.03</v>
      </c>
      <c r="J285" s="207">
        <v>0.02</v>
      </c>
      <c r="K285" s="220" t="s">
        <v>297</v>
      </c>
      <c r="L285" s="141"/>
      <c r="M285" s="128"/>
    </row>
    <row r="286" spans="1:14" ht="20.100000000000001" customHeight="1" x14ac:dyDescent="0.25">
      <c r="A286" s="126">
        <v>42394</v>
      </c>
      <c r="B286" s="71" t="s">
        <v>198</v>
      </c>
      <c r="C286" s="220" t="s">
        <v>16</v>
      </c>
      <c r="D286" s="207">
        <v>0.01</v>
      </c>
      <c r="E286" s="207">
        <v>0.36</v>
      </c>
      <c r="F286" s="207">
        <v>0.44</v>
      </c>
      <c r="G286" s="171"/>
      <c r="H286" s="288" t="s">
        <v>232</v>
      </c>
      <c r="I286" s="289"/>
      <c r="J286" s="289"/>
      <c r="K286" s="290"/>
      <c r="L286" s="141"/>
      <c r="M286" s="128"/>
    </row>
    <row r="287" spans="1:14" ht="20.100000000000001" customHeight="1" x14ac:dyDescent="0.25">
      <c r="A287" s="126">
        <v>42394</v>
      </c>
      <c r="B287" s="71" t="s">
        <v>90</v>
      </c>
      <c r="C287" s="220" t="s">
        <v>16</v>
      </c>
      <c r="D287" s="288" t="s">
        <v>233</v>
      </c>
      <c r="E287" s="289"/>
      <c r="F287" s="290"/>
      <c r="G287" s="171"/>
      <c r="H287" s="207">
        <v>0.01</v>
      </c>
      <c r="I287" s="207">
        <v>0.28000000000000003</v>
      </c>
      <c r="J287" s="207">
        <v>0.39</v>
      </c>
      <c r="K287" s="220" t="s">
        <v>298</v>
      </c>
      <c r="L287" s="141">
        <v>11797.7</v>
      </c>
      <c r="M287" s="128">
        <f>L287-L282</f>
        <v>8.8000000000010914</v>
      </c>
      <c r="N287" s="187" t="s">
        <v>330</v>
      </c>
    </row>
    <row r="288" spans="1:14" ht="20.100000000000001" customHeight="1" x14ac:dyDescent="0.25">
      <c r="A288" s="126">
        <v>42395</v>
      </c>
      <c r="B288" s="71" t="s">
        <v>75</v>
      </c>
      <c r="C288" s="220" t="s">
        <v>95</v>
      </c>
      <c r="D288" s="207">
        <v>0</v>
      </c>
      <c r="E288" s="207">
        <v>0.26</v>
      </c>
      <c r="F288" s="207">
        <v>0.22</v>
      </c>
      <c r="G288" s="171"/>
      <c r="H288" s="207">
        <v>0</v>
      </c>
      <c r="I288" s="207">
        <v>0.04</v>
      </c>
      <c r="J288" s="207">
        <v>0.05</v>
      </c>
      <c r="K288" s="220" t="s">
        <v>297</v>
      </c>
      <c r="L288" s="141"/>
      <c r="M288" s="128"/>
    </row>
    <row r="289" spans="1:14" ht="20.100000000000001" customHeight="1" x14ac:dyDescent="0.25">
      <c r="A289" s="126">
        <v>42396</v>
      </c>
      <c r="B289" s="71" t="s">
        <v>66</v>
      </c>
      <c r="C289" s="220" t="s">
        <v>95</v>
      </c>
      <c r="D289" s="207">
        <v>0.04</v>
      </c>
      <c r="E289" s="207">
        <v>0.18</v>
      </c>
      <c r="F289" s="207">
        <v>0.14000000000000001</v>
      </c>
      <c r="G289" s="171"/>
      <c r="H289" s="207">
        <v>0.04</v>
      </c>
      <c r="I289" s="207">
        <v>0.03</v>
      </c>
      <c r="J289" s="207">
        <v>0.05</v>
      </c>
      <c r="K289" s="220" t="s">
        <v>297</v>
      </c>
      <c r="L289" s="141"/>
      <c r="M289" s="128"/>
    </row>
    <row r="290" spans="1:14" ht="20.100000000000001" customHeight="1" x14ac:dyDescent="0.25">
      <c r="A290" s="126">
        <v>42397</v>
      </c>
      <c r="B290" s="71" t="s">
        <v>66</v>
      </c>
      <c r="C290" s="220" t="s">
        <v>95</v>
      </c>
      <c r="D290" s="207">
        <v>0.04</v>
      </c>
      <c r="E290" s="207">
        <v>0.11</v>
      </c>
      <c r="F290" s="207">
        <v>0.08</v>
      </c>
      <c r="G290" s="171"/>
      <c r="H290" s="207">
        <v>0</v>
      </c>
      <c r="I290" s="207">
        <v>0.02</v>
      </c>
      <c r="J290" s="207">
        <v>0.04</v>
      </c>
      <c r="K290" s="220" t="s">
        <v>298</v>
      </c>
      <c r="L290" s="141">
        <v>11815.5</v>
      </c>
      <c r="M290" s="128">
        <f>L290-L287</f>
        <v>17.799999999999272</v>
      </c>
      <c r="N290" s="187" t="s">
        <v>330</v>
      </c>
    </row>
    <row r="291" spans="1:14" ht="20.100000000000001" customHeight="1" x14ac:dyDescent="0.25">
      <c r="A291" s="126">
        <v>42397</v>
      </c>
      <c r="B291" s="71" t="s">
        <v>159</v>
      </c>
      <c r="C291" s="220" t="s">
        <v>16</v>
      </c>
      <c r="D291" s="207">
        <v>0.01</v>
      </c>
      <c r="E291" s="207">
        <v>0.09</v>
      </c>
      <c r="F291" s="207">
        <v>0.33</v>
      </c>
      <c r="G291" s="171"/>
      <c r="H291" s="207">
        <v>0</v>
      </c>
      <c r="I291" s="207">
        <v>0.03</v>
      </c>
      <c r="J291" s="207">
        <v>0.17</v>
      </c>
      <c r="K291" s="220" t="s">
        <v>298</v>
      </c>
      <c r="L291" s="141">
        <v>11821.9</v>
      </c>
      <c r="M291" s="128">
        <f>L291-L290</f>
        <v>6.3999999999996362</v>
      </c>
      <c r="N291" s="187" t="s">
        <v>330</v>
      </c>
    </row>
    <row r="292" spans="1:14" ht="20.100000000000001" customHeight="1" x14ac:dyDescent="0.25">
      <c r="A292" s="126">
        <v>42398</v>
      </c>
      <c r="B292" s="71" t="s">
        <v>226</v>
      </c>
      <c r="C292" s="220" t="s">
        <v>95</v>
      </c>
      <c r="D292" s="207">
        <v>0.01</v>
      </c>
      <c r="E292" s="207">
        <v>0.09</v>
      </c>
      <c r="F292" s="207">
        <v>0.1</v>
      </c>
      <c r="G292" s="171"/>
      <c r="H292" s="207">
        <v>0</v>
      </c>
      <c r="I292" s="207">
        <v>0.01</v>
      </c>
      <c r="J292" s="207">
        <v>0.05</v>
      </c>
      <c r="K292" s="220" t="s">
        <v>297</v>
      </c>
      <c r="L292" s="141"/>
      <c r="M292" s="128"/>
    </row>
    <row r="293" spans="1:14" ht="20.100000000000001" customHeight="1" x14ac:dyDescent="0.25">
      <c r="A293" s="126">
        <v>42398</v>
      </c>
      <c r="B293" s="71" t="s">
        <v>234</v>
      </c>
      <c r="C293" s="220" t="s">
        <v>16</v>
      </c>
      <c r="D293" s="207">
        <v>0.01</v>
      </c>
      <c r="E293" s="207">
        <v>0.05</v>
      </c>
      <c r="F293" s="207">
        <v>0.09</v>
      </c>
      <c r="G293" s="171"/>
      <c r="H293" s="207">
        <v>0</v>
      </c>
      <c r="I293" s="207">
        <v>0.02</v>
      </c>
      <c r="J293" s="207">
        <v>0.05</v>
      </c>
      <c r="K293" s="220" t="s">
        <v>298</v>
      </c>
      <c r="L293" s="141">
        <v>11824</v>
      </c>
      <c r="M293" s="128">
        <f>L293-L291</f>
        <v>2.1000000000003638</v>
      </c>
      <c r="N293" s="187" t="s">
        <v>330</v>
      </c>
    </row>
    <row r="294" spans="1:14" ht="20.100000000000001" customHeight="1" x14ac:dyDescent="0.25">
      <c r="A294" s="126">
        <v>42399</v>
      </c>
      <c r="B294" s="134" t="s">
        <v>93</v>
      </c>
      <c r="C294" s="135"/>
      <c r="D294" s="300" t="s">
        <v>334</v>
      </c>
      <c r="E294" s="301"/>
      <c r="F294" s="302"/>
      <c r="G294" s="171"/>
      <c r="H294" s="207"/>
      <c r="I294" s="207"/>
      <c r="J294" s="207"/>
      <c r="K294" s="220"/>
      <c r="L294" s="141"/>
      <c r="M294" s="128"/>
    </row>
    <row r="295" spans="1:14" ht="20.100000000000001" customHeight="1" x14ac:dyDescent="0.25">
      <c r="A295" s="126">
        <v>42400</v>
      </c>
      <c r="B295" s="134" t="s">
        <v>94</v>
      </c>
      <c r="C295" s="135"/>
      <c r="D295" s="300" t="s">
        <v>334</v>
      </c>
      <c r="E295" s="301"/>
      <c r="F295" s="302"/>
      <c r="G295" s="171"/>
      <c r="H295" s="207"/>
      <c r="I295" s="207"/>
      <c r="J295" s="207"/>
      <c r="K295" s="220"/>
      <c r="L295" s="141"/>
      <c r="M295" s="128"/>
    </row>
    <row r="296" spans="1:14" ht="20.100000000000001" customHeight="1" x14ac:dyDescent="0.25">
      <c r="A296" s="126">
        <v>42401</v>
      </c>
      <c r="B296" s="71" t="s">
        <v>175</v>
      </c>
      <c r="C296" s="220" t="s">
        <v>95</v>
      </c>
      <c r="D296" s="207">
        <v>0.02</v>
      </c>
      <c r="E296" s="207">
        <v>0.02</v>
      </c>
      <c r="F296" s="207">
        <v>0.1</v>
      </c>
      <c r="G296" s="171"/>
      <c r="H296" s="207">
        <v>0.01</v>
      </c>
      <c r="I296" s="207">
        <v>0.02</v>
      </c>
      <c r="J296" s="207">
        <v>0.09</v>
      </c>
      <c r="K296" s="220" t="s">
        <v>297</v>
      </c>
      <c r="L296" s="141"/>
      <c r="M296" s="128"/>
    </row>
    <row r="297" spans="1:14" ht="20.100000000000001" customHeight="1" x14ac:dyDescent="0.25">
      <c r="A297" s="126">
        <v>42401</v>
      </c>
      <c r="B297" s="71" t="s">
        <v>157</v>
      </c>
      <c r="C297" s="220" t="s">
        <v>16</v>
      </c>
      <c r="D297" s="207">
        <v>0.01</v>
      </c>
      <c r="E297" s="207">
        <v>0.02</v>
      </c>
      <c r="F297" s="207">
        <v>0.21</v>
      </c>
      <c r="G297" s="171"/>
      <c r="H297" s="207">
        <v>0</v>
      </c>
      <c r="I297" s="207">
        <v>0.02</v>
      </c>
      <c r="J297" s="207">
        <v>0.09</v>
      </c>
      <c r="K297" s="220" t="s">
        <v>298</v>
      </c>
      <c r="L297" s="141">
        <v>11829.1</v>
      </c>
      <c r="M297" s="128">
        <f>L297-L293</f>
        <v>5.1000000000003638</v>
      </c>
      <c r="N297" s="187" t="s">
        <v>330</v>
      </c>
    </row>
    <row r="298" spans="1:14" ht="20.100000000000001" customHeight="1" x14ac:dyDescent="0.25">
      <c r="A298" s="126">
        <v>42402</v>
      </c>
      <c r="B298" s="71" t="s">
        <v>226</v>
      </c>
      <c r="C298" s="1" t="s">
        <v>16</v>
      </c>
      <c r="D298" s="220">
        <v>0.01</v>
      </c>
      <c r="E298" s="207">
        <v>0.02</v>
      </c>
      <c r="F298" s="207">
        <v>0.04</v>
      </c>
      <c r="G298" s="171"/>
      <c r="H298" s="207">
        <v>0</v>
      </c>
      <c r="I298" s="207">
        <v>0.02</v>
      </c>
      <c r="J298" s="207">
        <v>0.02</v>
      </c>
      <c r="K298" s="220" t="s">
        <v>297</v>
      </c>
      <c r="L298" s="141"/>
      <c r="M298" s="128"/>
    </row>
    <row r="299" spans="1:14" ht="20.100000000000001" customHeight="1" x14ac:dyDescent="0.25">
      <c r="A299" s="126">
        <v>42402</v>
      </c>
      <c r="B299" s="71" t="s">
        <v>194</v>
      </c>
      <c r="C299" s="220" t="s">
        <v>16</v>
      </c>
      <c r="D299" s="207">
        <v>0.01</v>
      </c>
      <c r="E299" s="207">
        <v>0.01</v>
      </c>
      <c r="F299" s="207">
        <v>0.11</v>
      </c>
      <c r="G299" s="171"/>
      <c r="H299" s="207">
        <v>0</v>
      </c>
      <c r="I299" s="207">
        <v>0.01</v>
      </c>
      <c r="J299" s="207">
        <v>0.03</v>
      </c>
      <c r="K299" s="220" t="s">
        <v>298</v>
      </c>
      <c r="L299" s="141">
        <v>11832.3</v>
      </c>
      <c r="M299" s="128">
        <f>L299-L297</f>
        <v>3.1999999999989086</v>
      </c>
      <c r="N299" s="187" t="s">
        <v>330</v>
      </c>
    </row>
    <row r="300" spans="1:14" ht="20.100000000000001" customHeight="1" x14ac:dyDescent="0.25">
      <c r="A300" s="126">
        <v>42403</v>
      </c>
      <c r="B300" s="71" t="s">
        <v>66</v>
      </c>
      <c r="C300" s="220" t="s">
        <v>95</v>
      </c>
      <c r="D300" s="207">
        <v>0</v>
      </c>
      <c r="E300" s="207">
        <v>0.02</v>
      </c>
      <c r="F300" s="207">
        <v>0.03</v>
      </c>
      <c r="G300" s="171"/>
      <c r="H300" s="207">
        <v>0</v>
      </c>
      <c r="I300" s="207">
        <v>0.06</v>
      </c>
      <c r="J300" s="207">
        <v>0.03</v>
      </c>
      <c r="K300" s="220" t="s">
        <v>297</v>
      </c>
      <c r="L300" s="141"/>
      <c r="M300" s="128"/>
    </row>
    <row r="301" spans="1:14" ht="20.100000000000001" customHeight="1" x14ac:dyDescent="0.25">
      <c r="A301" s="126">
        <v>42404</v>
      </c>
      <c r="B301" s="71" t="s">
        <v>226</v>
      </c>
      <c r="C301" s="220" t="s">
        <v>95</v>
      </c>
      <c r="D301" s="207">
        <v>0</v>
      </c>
      <c r="E301" s="207">
        <v>0.02</v>
      </c>
      <c r="F301" s="207">
        <v>0.04</v>
      </c>
      <c r="G301" s="171"/>
      <c r="H301" s="207">
        <v>0</v>
      </c>
      <c r="I301" s="207">
        <v>0</v>
      </c>
      <c r="J301" s="207">
        <v>0.03</v>
      </c>
      <c r="K301" s="220" t="s">
        <v>297</v>
      </c>
      <c r="L301" s="141"/>
      <c r="M301" s="128"/>
    </row>
    <row r="302" spans="1:14" ht="20.100000000000001" customHeight="1" x14ac:dyDescent="0.25">
      <c r="A302" s="126">
        <v>42404</v>
      </c>
      <c r="B302" s="71" t="s">
        <v>235</v>
      </c>
      <c r="C302" s="220" t="s">
        <v>16</v>
      </c>
      <c r="D302" s="207">
        <v>0</v>
      </c>
      <c r="E302" s="207">
        <v>0</v>
      </c>
      <c r="F302" s="207">
        <v>0.18</v>
      </c>
      <c r="G302" s="171"/>
      <c r="H302" s="207">
        <v>0</v>
      </c>
      <c r="I302" s="207">
        <v>0</v>
      </c>
      <c r="J302" s="207">
        <v>0.12</v>
      </c>
      <c r="K302" s="220" t="s">
        <v>298</v>
      </c>
      <c r="L302" s="141">
        <v>11845</v>
      </c>
      <c r="M302" s="128">
        <f>L302-L299</f>
        <v>12.700000000000728</v>
      </c>
      <c r="N302" s="187" t="s">
        <v>330</v>
      </c>
    </row>
    <row r="303" spans="1:14" ht="20.100000000000001" customHeight="1" x14ac:dyDescent="0.25">
      <c r="A303" s="126">
        <v>42405</v>
      </c>
      <c r="B303" s="71" t="s">
        <v>175</v>
      </c>
      <c r="C303" s="220" t="s">
        <v>95</v>
      </c>
      <c r="D303" s="207">
        <v>0.04</v>
      </c>
      <c r="E303" s="207">
        <v>0.02</v>
      </c>
      <c r="F303" s="207">
        <v>0.05</v>
      </c>
      <c r="G303" s="171"/>
      <c r="H303" s="207">
        <v>0.01</v>
      </c>
      <c r="I303" s="207">
        <v>0.02</v>
      </c>
      <c r="J303" s="207">
        <v>0.04</v>
      </c>
      <c r="K303" s="220" t="s">
        <v>297</v>
      </c>
      <c r="L303" s="141"/>
      <c r="M303" s="128"/>
    </row>
    <row r="304" spans="1:14" ht="20.100000000000001" customHeight="1" x14ac:dyDescent="0.25">
      <c r="A304" s="126">
        <v>42405</v>
      </c>
      <c r="B304" s="71" t="s">
        <v>225</v>
      </c>
      <c r="C304" s="220" t="s">
        <v>87</v>
      </c>
      <c r="D304" s="207">
        <v>0</v>
      </c>
      <c r="E304" s="207">
        <v>0</v>
      </c>
      <c r="F304" s="207">
        <v>0.15</v>
      </c>
      <c r="G304" s="171"/>
      <c r="H304" s="207">
        <v>0.02</v>
      </c>
      <c r="I304" s="207">
        <v>0.01</v>
      </c>
      <c r="J304" s="207">
        <v>0.11</v>
      </c>
      <c r="K304" s="220" t="s">
        <v>297</v>
      </c>
      <c r="L304" s="141"/>
      <c r="M304" s="128"/>
    </row>
    <row r="305" spans="1:14" ht="20.100000000000001" customHeight="1" x14ac:dyDescent="0.25">
      <c r="A305" s="126">
        <v>42406</v>
      </c>
      <c r="B305" s="134" t="s">
        <v>93</v>
      </c>
      <c r="C305" s="135"/>
      <c r="D305" s="300" t="s">
        <v>334</v>
      </c>
      <c r="E305" s="301"/>
      <c r="F305" s="302"/>
      <c r="G305" s="171"/>
      <c r="H305" s="207"/>
      <c r="I305" s="207"/>
      <c r="J305" s="207"/>
      <c r="K305" s="220"/>
      <c r="L305" s="141"/>
      <c r="M305" s="128"/>
    </row>
    <row r="306" spans="1:14" ht="20.100000000000001" customHeight="1" x14ac:dyDescent="0.25">
      <c r="A306" s="126">
        <v>42407</v>
      </c>
      <c r="B306" s="134" t="s">
        <v>94</v>
      </c>
      <c r="C306" s="135"/>
      <c r="D306" s="300" t="s">
        <v>334</v>
      </c>
      <c r="E306" s="301"/>
      <c r="F306" s="302"/>
      <c r="G306" s="171"/>
      <c r="H306" s="207"/>
      <c r="I306" s="207"/>
      <c r="J306" s="207"/>
      <c r="K306" s="220"/>
      <c r="L306" s="141"/>
      <c r="M306" s="128"/>
    </row>
    <row r="307" spans="1:14" ht="20.100000000000001" customHeight="1" x14ac:dyDescent="0.25">
      <c r="A307" s="126">
        <v>42408</v>
      </c>
      <c r="B307" s="71" t="s">
        <v>86</v>
      </c>
      <c r="C307" s="220" t="s">
        <v>16</v>
      </c>
      <c r="D307" s="207">
        <v>0</v>
      </c>
      <c r="E307" s="207">
        <v>0.02</v>
      </c>
      <c r="F307" s="207">
        <v>0.43</v>
      </c>
      <c r="G307" s="171"/>
      <c r="H307" s="207">
        <v>0</v>
      </c>
      <c r="I307" s="207">
        <v>0.05</v>
      </c>
      <c r="J307" s="207">
        <v>0.19</v>
      </c>
      <c r="K307" s="220" t="s">
        <v>297</v>
      </c>
      <c r="L307" s="141"/>
      <c r="M307" s="128"/>
      <c r="N307" s="187" t="s">
        <v>236</v>
      </c>
    </row>
    <row r="308" spans="1:14" ht="20.100000000000001" customHeight="1" x14ac:dyDescent="0.25">
      <c r="A308" s="126">
        <v>42408</v>
      </c>
      <c r="B308" s="71" t="s">
        <v>184</v>
      </c>
      <c r="C308" s="220" t="s">
        <v>16</v>
      </c>
      <c r="D308" s="207">
        <v>0</v>
      </c>
      <c r="E308" s="207">
        <v>0</v>
      </c>
      <c r="F308" s="207">
        <v>7.0000000000000007E-2</v>
      </c>
      <c r="G308" s="171"/>
      <c r="H308" s="207">
        <v>0</v>
      </c>
      <c r="I308" s="207">
        <v>0</v>
      </c>
      <c r="J308" s="207">
        <v>0.08</v>
      </c>
      <c r="K308" s="220" t="s">
        <v>298</v>
      </c>
      <c r="L308" s="141">
        <v>11858.8</v>
      </c>
      <c r="M308" s="128">
        <f>L308-L302</f>
        <v>13.799999999999272</v>
      </c>
      <c r="N308" s="187" t="s">
        <v>330</v>
      </c>
    </row>
    <row r="309" spans="1:14" ht="20.100000000000001" customHeight="1" x14ac:dyDescent="0.25">
      <c r="A309" s="126">
        <v>42409</v>
      </c>
      <c r="B309" s="71" t="s">
        <v>250</v>
      </c>
      <c r="C309" s="220" t="s">
        <v>16</v>
      </c>
      <c r="D309" s="207">
        <v>0</v>
      </c>
      <c r="E309" s="207">
        <v>0</v>
      </c>
      <c r="F309" s="207">
        <v>7.0000000000000007E-2</v>
      </c>
      <c r="G309" s="171"/>
      <c r="H309" s="207">
        <v>0</v>
      </c>
      <c r="I309" s="207">
        <v>0</v>
      </c>
      <c r="J309" s="207">
        <v>0.08</v>
      </c>
      <c r="K309" s="220" t="s">
        <v>297</v>
      </c>
      <c r="L309" s="141" t="s">
        <v>81</v>
      </c>
      <c r="M309" s="128"/>
    </row>
    <row r="310" spans="1:14" ht="20.100000000000001" customHeight="1" x14ac:dyDescent="0.25">
      <c r="A310" s="126">
        <v>42409</v>
      </c>
      <c r="B310" s="213" t="s">
        <v>251</v>
      </c>
      <c r="C310" s="285" t="s">
        <v>252</v>
      </c>
      <c r="D310" s="286"/>
      <c r="E310" s="286"/>
      <c r="F310" s="287"/>
      <c r="G310" s="171"/>
      <c r="H310" s="207"/>
      <c r="I310" s="207"/>
      <c r="J310" s="207"/>
      <c r="K310" s="220"/>
      <c r="L310" s="141"/>
      <c r="M310" s="128"/>
    </row>
    <row r="311" spans="1:14" ht="20.100000000000001" customHeight="1" x14ac:dyDescent="0.25">
      <c r="A311" s="126">
        <v>42410</v>
      </c>
      <c r="B311" s="297" t="s">
        <v>253</v>
      </c>
      <c r="C311" s="298"/>
      <c r="D311" s="298"/>
      <c r="E311" s="298"/>
      <c r="F311" s="299"/>
      <c r="G311" s="171"/>
      <c r="H311" s="207"/>
      <c r="I311" s="207"/>
      <c r="J311" s="207"/>
      <c r="K311" s="220"/>
      <c r="L311" s="141"/>
      <c r="M311" s="128"/>
    </row>
    <row r="312" spans="1:14" ht="20.100000000000001" customHeight="1" x14ac:dyDescent="0.25">
      <c r="A312" s="126">
        <v>42411</v>
      </c>
      <c r="B312" s="297" t="s">
        <v>344</v>
      </c>
      <c r="C312" s="298"/>
      <c r="D312" s="298"/>
      <c r="E312" s="298"/>
      <c r="F312" s="299"/>
      <c r="G312" s="171"/>
      <c r="H312" s="207"/>
      <c r="I312" s="207"/>
      <c r="J312" s="207"/>
      <c r="K312" s="220"/>
      <c r="L312" s="141"/>
      <c r="M312" s="128"/>
    </row>
    <row r="313" spans="1:14" ht="20.100000000000001" customHeight="1" x14ac:dyDescent="0.25">
      <c r="A313" s="126">
        <v>42411</v>
      </c>
      <c r="B313" s="71" t="s">
        <v>157</v>
      </c>
      <c r="C313" s="220" t="s">
        <v>16</v>
      </c>
      <c r="D313" s="207">
        <v>0.4</v>
      </c>
      <c r="E313" s="207">
        <v>0.46</v>
      </c>
      <c r="F313" s="207">
        <v>0.23</v>
      </c>
      <c r="G313" s="171"/>
      <c r="H313" s="207"/>
      <c r="I313" s="207"/>
      <c r="J313" s="207"/>
      <c r="K313" s="220"/>
      <c r="L313" s="141"/>
      <c r="M313" s="128"/>
    </row>
    <row r="314" spans="1:14" ht="20.100000000000001" customHeight="1" x14ac:dyDescent="0.25">
      <c r="A314" s="126">
        <v>42411</v>
      </c>
      <c r="B314" s="71" t="s">
        <v>254</v>
      </c>
      <c r="C314" s="220" t="s">
        <v>16</v>
      </c>
      <c r="D314" s="288" t="s">
        <v>334</v>
      </c>
      <c r="E314" s="289"/>
      <c r="F314" s="290"/>
      <c r="G314" s="171"/>
      <c r="H314" s="207">
        <v>0</v>
      </c>
      <c r="I314" s="207">
        <v>0.06</v>
      </c>
      <c r="J314" s="207">
        <v>0.13</v>
      </c>
      <c r="K314" s="220" t="s">
        <v>298</v>
      </c>
      <c r="L314" s="141">
        <v>11926.8</v>
      </c>
      <c r="M314" s="128">
        <f>L314-L308</f>
        <v>68</v>
      </c>
      <c r="N314" s="187" t="s">
        <v>330</v>
      </c>
    </row>
    <row r="315" spans="1:14" ht="20.100000000000001" customHeight="1" x14ac:dyDescent="0.25">
      <c r="A315" s="126">
        <v>42412</v>
      </c>
      <c r="B315" s="71" t="s">
        <v>166</v>
      </c>
      <c r="C315" s="220" t="s">
        <v>16</v>
      </c>
      <c r="D315" s="207">
        <v>0.02</v>
      </c>
      <c r="E315" s="207">
        <v>0.25</v>
      </c>
      <c r="F315" s="207">
        <v>0.27</v>
      </c>
      <c r="G315" s="171"/>
      <c r="H315" s="207">
        <v>0.01</v>
      </c>
      <c r="I315" s="207">
        <v>0.05</v>
      </c>
      <c r="J315" s="207">
        <v>0.1</v>
      </c>
      <c r="K315" s="220" t="s">
        <v>298</v>
      </c>
      <c r="L315" s="141"/>
      <c r="M315" s="309" t="s">
        <v>255</v>
      </c>
      <c r="N315" s="310"/>
    </row>
    <row r="316" spans="1:14" ht="20.100000000000001" customHeight="1" x14ac:dyDescent="0.25">
      <c r="A316" s="126">
        <v>42412</v>
      </c>
      <c r="B316" s="71" t="s">
        <v>90</v>
      </c>
      <c r="C316" s="220" t="s">
        <v>16</v>
      </c>
      <c r="D316" s="207">
        <v>0.04</v>
      </c>
      <c r="E316" s="207">
        <v>0.23</v>
      </c>
      <c r="F316" s="207">
        <v>0.28999999999999998</v>
      </c>
      <c r="G316" s="171"/>
      <c r="H316" s="207">
        <v>0.01</v>
      </c>
      <c r="I316" s="207">
        <v>0.03</v>
      </c>
      <c r="J316" s="207">
        <v>0.11</v>
      </c>
      <c r="K316" s="220" t="s">
        <v>298</v>
      </c>
      <c r="L316" s="141">
        <v>11932.2</v>
      </c>
      <c r="M316" s="128">
        <f>L316-L314</f>
        <v>5.4000000000014552</v>
      </c>
      <c r="N316" s="187" t="s">
        <v>330</v>
      </c>
    </row>
    <row r="317" spans="1:14" ht="20.100000000000001" customHeight="1" x14ac:dyDescent="0.25">
      <c r="A317" s="126">
        <v>42413</v>
      </c>
      <c r="B317" s="134" t="s">
        <v>93</v>
      </c>
      <c r="C317" s="135"/>
      <c r="D317" s="300" t="s">
        <v>334</v>
      </c>
      <c r="E317" s="301"/>
      <c r="F317" s="302"/>
      <c r="G317" s="171"/>
      <c r="H317" s="207"/>
      <c r="I317" s="207"/>
      <c r="J317" s="207"/>
      <c r="K317" s="220"/>
      <c r="L317" s="141"/>
      <c r="M317" s="128"/>
    </row>
    <row r="318" spans="1:14" ht="20.100000000000001" customHeight="1" x14ac:dyDescent="0.25">
      <c r="A318" s="126">
        <v>42414</v>
      </c>
      <c r="B318" s="134" t="s">
        <v>94</v>
      </c>
      <c r="C318" s="135"/>
      <c r="D318" s="300" t="s">
        <v>334</v>
      </c>
      <c r="E318" s="301"/>
      <c r="F318" s="302"/>
      <c r="G318" s="171"/>
      <c r="H318" s="207"/>
      <c r="I318" s="207"/>
      <c r="J318" s="207"/>
      <c r="K318" s="220"/>
      <c r="L318" s="141"/>
      <c r="M318" s="128"/>
    </row>
    <row r="319" spans="1:14" ht="20.100000000000001" customHeight="1" x14ac:dyDescent="0.25">
      <c r="A319" s="126">
        <v>42415</v>
      </c>
      <c r="B319" s="71" t="s">
        <v>226</v>
      </c>
      <c r="C319" s="220" t="s">
        <v>95</v>
      </c>
      <c r="D319" s="207">
        <v>0.02</v>
      </c>
      <c r="E319" s="207">
        <v>0.11</v>
      </c>
      <c r="F319" s="207">
        <v>0.12</v>
      </c>
      <c r="G319" s="171"/>
      <c r="H319" s="207">
        <v>0</v>
      </c>
      <c r="I319" s="207">
        <v>0</v>
      </c>
      <c r="J319" s="207">
        <v>0.03</v>
      </c>
      <c r="K319" s="220"/>
      <c r="L319" s="141"/>
      <c r="M319" s="128"/>
    </row>
    <row r="320" spans="1:14" ht="20.100000000000001" customHeight="1" x14ac:dyDescent="0.25">
      <c r="A320" s="126">
        <v>42415</v>
      </c>
      <c r="B320" s="71" t="s">
        <v>88</v>
      </c>
      <c r="C320" s="220" t="s">
        <v>228</v>
      </c>
      <c r="D320" s="288" t="s">
        <v>256</v>
      </c>
      <c r="E320" s="289"/>
      <c r="F320" s="290"/>
      <c r="G320" s="171"/>
      <c r="H320" s="288" t="s">
        <v>257</v>
      </c>
      <c r="I320" s="289"/>
      <c r="J320" s="290"/>
      <c r="K320" s="220"/>
      <c r="L320" s="141"/>
      <c r="M320" s="128"/>
    </row>
    <row r="321" spans="1:14" ht="20.100000000000001" customHeight="1" x14ac:dyDescent="0.25">
      <c r="A321" s="126"/>
      <c r="B321" s="71"/>
      <c r="C321" s="220"/>
      <c r="D321" s="288" t="s">
        <v>258</v>
      </c>
      <c r="E321" s="289"/>
      <c r="F321" s="290"/>
      <c r="G321" s="171"/>
      <c r="H321" s="288" t="s">
        <v>345</v>
      </c>
      <c r="I321" s="289"/>
      <c r="J321" s="290"/>
      <c r="K321" s="220"/>
      <c r="L321" s="141"/>
      <c r="M321" s="128"/>
    </row>
    <row r="322" spans="1:14" ht="20.100000000000001" customHeight="1" x14ac:dyDescent="0.25">
      <c r="A322" s="126">
        <v>42415</v>
      </c>
      <c r="B322" s="71" t="s">
        <v>154</v>
      </c>
      <c r="C322" s="220" t="s">
        <v>16</v>
      </c>
      <c r="D322" s="207" t="s">
        <v>81</v>
      </c>
      <c r="E322" s="207" t="s">
        <v>81</v>
      </c>
      <c r="F322" s="207">
        <v>0.25</v>
      </c>
      <c r="G322" s="171"/>
      <c r="H322" s="207" t="s">
        <v>81</v>
      </c>
      <c r="I322" s="207" t="s">
        <v>81</v>
      </c>
      <c r="J322" s="207">
        <v>0.02</v>
      </c>
      <c r="K322" s="220" t="s">
        <v>298</v>
      </c>
      <c r="L322" s="141">
        <v>11948.1</v>
      </c>
      <c r="M322" s="128">
        <f>L322-L316</f>
        <v>15.899999999999636</v>
      </c>
      <c r="N322" s="187" t="s">
        <v>330</v>
      </c>
    </row>
    <row r="323" spans="1:14" ht="20.100000000000001" customHeight="1" x14ac:dyDescent="0.25">
      <c r="A323" s="126">
        <v>42416</v>
      </c>
      <c r="B323" s="71" t="s">
        <v>86</v>
      </c>
      <c r="C323" s="220" t="s">
        <v>95</v>
      </c>
      <c r="D323" s="207">
        <v>0.01</v>
      </c>
      <c r="E323" s="207">
        <v>0.11</v>
      </c>
      <c r="F323" s="207">
        <v>0.1</v>
      </c>
      <c r="G323" s="171"/>
      <c r="H323" s="207">
        <v>0.01</v>
      </c>
      <c r="I323" s="207">
        <v>0.03</v>
      </c>
      <c r="J323" s="207">
        <v>0.02</v>
      </c>
      <c r="K323" s="220" t="s">
        <v>297</v>
      </c>
      <c r="L323" s="141"/>
      <c r="M323" s="128"/>
    </row>
    <row r="324" spans="1:14" ht="20.100000000000001" customHeight="1" x14ac:dyDescent="0.25">
      <c r="A324" s="126">
        <v>42416</v>
      </c>
      <c r="B324" s="71" t="s">
        <v>259</v>
      </c>
      <c r="C324" s="220" t="s">
        <v>16</v>
      </c>
      <c r="D324" s="207">
        <v>0.05</v>
      </c>
      <c r="E324" s="207">
        <v>0.47</v>
      </c>
      <c r="F324" s="207">
        <v>0.64</v>
      </c>
      <c r="G324" s="171"/>
      <c r="H324" s="288" t="s">
        <v>260</v>
      </c>
      <c r="I324" s="289"/>
      <c r="J324" s="290"/>
      <c r="K324" s="220" t="s">
        <v>297</v>
      </c>
      <c r="L324" s="141"/>
      <c r="M324" s="128"/>
    </row>
    <row r="325" spans="1:14" ht="20.100000000000001" customHeight="1" x14ac:dyDescent="0.25">
      <c r="A325" s="126">
        <v>42416</v>
      </c>
      <c r="B325" s="71" t="s">
        <v>158</v>
      </c>
      <c r="C325" s="220" t="s">
        <v>16</v>
      </c>
      <c r="D325" s="207">
        <v>0</v>
      </c>
      <c r="E325" s="207">
        <v>0.48</v>
      </c>
      <c r="F325" s="207">
        <v>0.48</v>
      </c>
      <c r="G325" s="171"/>
      <c r="H325" s="207">
        <v>0</v>
      </c>
      <c r="I325" s="207">
        <v>0.01</v>
      </c>
      <c r="J325" s="207">
        <v>0.1</v>
      </c>
      <c r="K325" s="220" t="s">
        <v>298</v>
      </c>
      <c r="L325" s="141">
        <v>11951.1</v>
      </c>
      <c r="M325" s="128">
        <f>L325-L322</f>
        <v>3</v>
      </c>
      <c r="N325" s="187" t="s">
        <v>330</v>
      </c>
    </row>
    <row r="326" spans="1:14" ht="20.100000000000001" customHeight="1" x14ac:dyDescent="0.25">
      <c r="A326" s="126">
        <v>42417</v>
      </c>
      <c r="B326" s="71" t="s">
        <v>226</v>
      </c>
      <c r="C326" s="220" t="s">
        <v>95</v>
      </c>
      <c r="D326" s="207">
        <v>0.01</v>
      </c>
      <c r="E326" s="207">
        <v>0.53</v>
      </c>
      <c r="F326" s="207">
        <v>0.61</v>
      </c>
      <c r="G326" s="171"/>
      <c r="H326" s="207">
        <v>0.01</v>
      </c>
      <c r="I326" s="207">
        <v>0.01</v>
      </c>
      <c r="J326" s="207">
        <v>0.01</v>
      </c>
      <c r="K326" s="220" t="s">
        <v>297</v>
      </c>
      <c r="L326" s="141"/>
      <c r="M326" s="128"/>
    </row>
    <row r="327" spans="1:14" ht="20.100000000000001" customHeight="1" x14ac:dyDescent="0.25">
      <c r="A327" s="126">
        <v>42417</v>
      </c>
      <c r="B327" s="71" t="s">
        <v>346</v>
      </c>
      <c r="C327" s="220"/>
      <c r="D327" s="300" t="s">
        <v>334</v>
      </c>
      <c r="E327" s="301"/>
      <c r="F327" s="302"/>
      <c r="G327" s="171"/>
      <c r="H327" s="207"/>
      <c r="I327" s="207"/>
      <c r="J327" s="207"/>
      <c r="K327" s="220"/>
      <c r="L327" s="141"/>
      <c r="M327" s="128"/>
    </row>
    <row r="328" spans="1:14" ht="20.100000000000001" customHeight="1" x14ac:dyDescent="0.25">
      <c r="A328" s="126">
        <v>42418</v>
      </c>
      <c r="B328" s="71" t="s">
        <v>66</v>
      </c>
      <c r="C328" s="220" t="s">
        <v>95</v>
      </c>
      <c r="D328" s="207">
        <v>0.02</v>
      </c>
      <c r="E328" s="207">
        <v>0.53</v>
      </c>
      <c r="F328" s="207">
        <v>0.73</v>
      </c>
      <c r="G328" s="171"/>
      <c r="H328" s="207">
        <v>0.01</v>
      </c>
      <c r="I328" s="207">
        <v>0.01</v>
      </c>
      <c r="J328" s="207">
        <v>0.04</v>
      </c>
      <c r="K328" s="220" t="s">
        <v>297</v>
      </c>
      <c r="L328" s="141"/>
      <c r="M328" s="128"/>
    </row>
    <row r="329" spans="1:14" ht="20.100000000000001" customHeight="1" x14ac:dyDescent="0.25">
      <c r="A329" s="126">
        <v>42418</v>
      </c>
      <c r="B329" s="71" t="s">
        <v>91</v>
      </c>
      <c r="C329" s="220" t="s">
        <v>16</v>
      </c>
      <c r="D329" s="207">
        <v>0.49</v>
      </c>
      <c r="E329" s="207">
        <v>0.51</v>
      </c>
      <c r="F329" s="207">
        <v>0.55000000000000004</v>
      </c>
      <c r="G329" s="171"/>
      <c r="H329" s="207">
        <v>0.01</v>
      </c>
      <c r="I329" s="207">
        <v>0.03</v>
      </c>
      <c r="J329" s="207">
        <v>0.03</v>
      </c>
      <c r="K329" s="220" t="s">
        <v>298</v>
      </c>
      <c r="L329" s="141">
        <v>11958.8</v>
      </c>
      <c r="M329" s="128">
        <f>L329-L325</f>
        <v>7.6999999999989086</v>
      </c>
      <c r="N329" s="187" t="s">
        <v>330</v>
      </c>
    </row>
    <row r="330" spans="1:14" ht="20.100000000000001" customHeight="1" x14ac:dyDescent="0.25">
      <c r="A330" s="126">
        <v>42419</v>
      </c>
      <c r="B330" s="71" t="s">
        <v>261</v>
      </c>
      <c r="C330" s="220" t="s">
        <v>95</v>
      </c>
      <c r="D330" s="207">
        <v>0.5</v>
      </c>
      <c r="E330" s="207">
        <v>0.49</v>
      </c>
      <c r="F330" s="207">
        <v>0.49</v>
      </c>
      <c r="G330" s="171"/>
      <c r="H330" s="207">
        <v>0.02</v>
      </c>
      <c r="I330" s="207">
        <v>0</v>
      </c>
      <c r="J330" s="207">
        <v>0.04</v>
      </c>
      <c r="K330" s="220" t="s">
        <v>297</v>
      </c>
      <c r="L330" s="141"/>
      <c r="M330" s="128"/>
    </row>
    <row r="331" spans="1:14" ht="20.100000000000001" customHeight="1" x14ac:dyDescent="0.25">
      <c r="A331" s="126">
        <v>42420</v>
      </c>
      <c r="B331" s="134" t="s">
        <v>93</v>
      </c>
      <c r="C331" s="135"/>
      <c r="D331" s="300" t="s">
        <v>334</v>
      </c>
      <c r="E331" s="301"/>
      <c r="F331" s="302"/>
      <c r="G331" s="171"/>
      <c r="H331" s="207"/>
      <c r="I331" s="207"/>
      <c r="J331" s="207"/>
      <c r="K331" s="220"/>
      <c r="L331" s="141"/>
      <c r="M331" s="128"/>
    </row>
    <row r="332" spans="1:14" ht="20.100000000000001" customHeight="1" x14ac:dyDescent="0.25">
      <c r="A332" s="126">
        <v>42421</v>
      </c>
      <c r="B332" s="134" t="s">
        <v>94</v>
      </c>
      <c r="C332" s="135"/>
      <c r="D332" s="300" t="s">
        <v>334</v>
      </c>
      <c r="E332" s="301"/>
      <c r="F332" s="302"/>
      <c r="G332" s="171"/>
      <c r="H332" s="207"/>
      <c r="I332" s="207"/>
      <c r="J332" s="207"/>
      <c r="K332" s="220"/>
      <c r="L332" s="141"/>
      <c r="M332" s="128"/>
    </row>
    <row r="333" spans="1:14" ht="20.100000000000001" customHeight="1" x14ac:dyDescent="0.25">
      <c r="A333" s="126">
        <v>42422</v>
      </c>
      <c r="B333" s="71" t="s">
        <v>74</v>
      </c>
      <c r="C333" s="220" t="s">
        <v>95</v>
      </c>
      <c r="D333" s="207">
        <v>0</v>
      </c>
      <c r="E333" s="207">
        <v>0.4</v>
      </c>
      <c r="F333" s="207">
        <v>0.43</v>
      </c>
      <c r="G333" s="171"/>
      <c r="H333" s="207">
        <v>0</v>
      </c>
      <c r="I333" s="207">
        <v>0</v>
      </c>
      <c r="J333" s="207">
        <v>0.04</v>
      </c>
      <c r="K333" s="220" t="s">
        <v>297</v>
      </c>
      <c r="L333" s="141"/>
      <c r="M333" s="128"/>
    </row>
    <row r="334" spans="1:14" ht="20.100000000000001" customHeight="1" x14ac:dyDescent="0.25">
      <c r="A334" s="126">
        <v>42422</v>
      </c>
      <c r="B334" s="71" t="s">
        <v>262</v>
      </c>
      <c r="C334" s="220" t="s">
        <v>16</v>
      </c>
      <c r="D334" s="207">
        <v>0</v>
      </c>
      <c r="E334" s="207">
        <v>0.43</v>
      </c>
      <c r="F334" s="207">
        <v>0.53</v>
      </c>
      <c r="G334" s="171"/>
      <c r="H334" s="207">
        <v>0</v>
      </c>
      <c r="I334" s="207">
        <v>0.01</v>
      </c>
      <c r="J334" s="207">
        <v>0.06</v>
      </c>
      <c r="K334" s="220" t="s">
        <v>298</v>
      </c>
      <c r="L334" s="141">
        <v>11977.6</v>
      </c>
      <c r="M334" s="128">
        <f>L334-L329</f>
        <v>18.800000000001091</v>
      </c>
      <c r="N334" s="187" t="s">
        <v>330</v>
      </c>
    </row>
    <row r="335" spans="1:14" ht="20.100000000000001" customHeight="1" x14ac:dyDescent="0.25">
      <c r="A335" s="126">
        <v>42423</v>
      </c>
      <c r="B335" s="71" t="s">
        <v>74</v>
      </c>
      <c r="C335" s="220" t="s">
        <v>95</v>
      </c>
      <c r="D335" s="207">
        <v>0.01</v>
      </c>
      <c r="E335" s="207">
        <v>0.39</v>
      </c>
      <c r="F335" s="207">
        <v>0.42</v>
      </c>
      <c r="G335" s="171"/>
      <c r="H335" s="207" t="s">
        <v>263</v>
      </c>
      <c r="I335" s="207">
        <v>0</v>
      </c>
      <c r="J335" s="207">
        <v>0.04</v>
      </c>
      <c r="K335" s="220" t="s">
        <v>297</v>
      </c>
      <c r="L335" s="141"/>
      <c r="M335" s="128"/>
    </row>
    <row r="336" spans="1:14" ht="20.100000000000001" customHeight="1" x14ac:dyDescent="0.25">
      <c r="A336" s="126">
        <v>42423</v>
      </c>
      <c r="B336" s="71" t="s">
        <v>186</v>
      </c>
      <c r="C336" s="220" t="s">
        <v>16</v>
      </c>
      <c r="D336" s="207">
        <v>0</v>
      </c>
      <c r="E336" s="207">
        <v>0.35</v>
      </c>
      <c r="F336" s="207">
        <v>0.41</v>
      </c>
      <c r="G336" s="171"/>
      <c r="H336" s="207">
        <v>0</v>
      </c>
      <c r="I336" s="207">
        <v>0.02</v>
      </c>
      <c r="J336" s="207">
        <v>0.08</v>
      </c>
      <c r="K336" s="220" t="s">
        <v>298</v>
      </c>
      <c r="L336" s="141">
        <v>11983.4</v>
      </c>
      <c r="M336" s="128">
        <f>L336-L334</f>
        <v>5.7999999999992724</v>
      </c>
      <c r="N336" s="187" t="s">
        <v>330</v>
      </c>
    </row>
    <row r="337" spans="1:14" ht="20.100000000000001" customHeight="1" x14ac:dyDescent="0.25">
      <c r="A337" s="126">
        <v>42424</v>
      </c>
      <c r="B337" s="71" t="s">
        <v>264</v>
      </c>
      <c r="C337" s="220" t="s">
        <v>95</v>
      </c>
      <c r="D337" s="207">
        <v>0.01</v>
      </c>
      <c r="E337" s="207">
        <v>0.37</v>
      </c>
      <c r="F337" s="207">
        <v>0.44</v>
      </c>
      <c r="G337" s="171"/>
      <c r="H337" s="207">
        <v>0.01</v>
      </c>
      <c r="I337" s="207">
        <v>0.02</v>
      </c>
      <c r="J337" s="207">
        <v>0.04</v>
      </c>
      <c r="K337" s="220" t="s">
        <v>297</v>
      </c>
      <c r="L337" s="141"/>
      <c r="M337" s="128"/>
    </row>
    <row r="338" spans="1:14" ht="20.100000000000001" customHeight="1" x14ac:dyDescent="0.25">
      <c r="A338" s="126">
        <v>42424</v>
      </c>
      <c r="B338" s="71" t="s">
        <v>90</v>
      </c>
      <c r="C338" s="220" t="s">
        <v>16</v>
      </c>
      <c r="D338" s="207">
        <v>0.01</v>
      </c>
      <c r="E338" s="207">
        <v>0.36</v>
      </c>
      <c r="F338" s="207">
        <v>0.47</v>
      </c>
      <c r="G338" s="171"/>
      <c r="H338" s="207">
        <v>0</v>
      </c>
      <c r="I338" s="207">
        <v>0.03</v>
      </c>
      <c r="J338" s="207">
        <v>7.0000000000000007E-2</v>
      </c>
      <c r="K338" s="220" t="s">
        <v>298</v>
      </c>
      <c r="L338" s="141">
        <v>11984.6</v>
      </c>
      <c r="M338" s="128"/>
    </row>
    <row r="339" spans="1:14" ht="20.100000000000001" customHeight="1" x14ac:dyDescent="0.25">
      <c r="A339" s="126">
        <v>42425</v>
      </c>
      <c r="B339" s="71" t="s">
        <v>73</v>
      </c>
      <c r="C339" s="220" t="s">
        <v>95</v>
      </c>
      <c r="D339" s="207">
        <v>0.01</v>
      </c>
      <c r="E339" s="207">
        <v>0.36</v>
      </c>
      <c r="F339" s="207">
        <v>0.35</v>
      </c>
      <c r="G339" s="171"/>
      <c r="H339" s="207">
        <v>0.01</v>
      </c>
      <c r="I339" s="207">
        <v>0.01</v>
      </c>
      <c r="J339" s="207">
        <v>0.03</v>
      </c>
      <c r="K339" s="220" t="s">
        <v>297</v>
      </c>
      <c r="L339" s="141"/>
      <c r="M339" s="128"/>
    </row>
    <row r="340" spans="1:14" ht="20.100000000000001" customHeight="1" x14ac:dyDescent="0.25">
      <c r="A340" s="126">
        <v>42425</v>
      </c>
      <c r="B340" s="71" t="s">
        <v>184</v>
      </c>
      <c r="C340" s="220" t="s">
        <v>16</v>
      </c>
      <c r="D340" s="207">
        <v>0.01</v>
      </c>
      <c r="E340" s="207">
        <v>0.36</v>
      </c>
      <c r="F340" s="207">
        <v>0.4</v>
      </c>
      <c r="G340" s="171"/>
      <c r="H340" s="207">
        <v>0.01</v>
      </c>
      <c r="I340" s="207">
        <v>0.01</v>
      </c>
      <c r="J340" s="207">
        <v>0.17</v>
      </c>
      <c r="K340" s="220" t="s">
        <v>298</v>
      </c>
      <c r="L340" s="141">
        <v>11998.9</v>
      </c>
      <c r="M340" s="128">
        <f>L340-L338</f>
        <v>14.299999999999272</v>
      </c>
      <c r="N340" s="187" t="s">
        <v>330</v>
      </c>
    </row>
    <row r="341" spans="1:14" ht="20.100000000000001" customHeight="1" x14ac:dyDescent="0.25">
      <c r="A341" s="126">
        <v>42426</v>
      </c>
      <c r="B341" s="71" t="s">
        <v>75</v>
      </c>
      <c r="C341" s="220" t="s">
        <v>95</v>
      </c>
      <c r="D341" s="207">
        <v>0.1</v>
      </c>
      <c r="E341" s="207">
        <v>0.33</v>
      </c>
      <c r="F341" s="207">
        <v>0.33</v>
      </c>
      <c r="G341" s="171"/>
      <c r="H341" s="207">
        <v>0.02</v>
      </c>
      <c r="I341" s="207">
        <v>0.02</v>
      </c>
      <c r="J341" s="207">
        <v>0.04</v>
      </c>
      <c r="K341" s="220" t="s">
        <v>297</v>
      </c>
      <c r="L341" s="141"/>
      <c r="M341" s="128"/>
    </row>
    <row r="342" spans="1:14" ht="20.100000000000001" customHeight="1" x14ac:dyDescent="0.25">
      <c r="A342" s="126">
        <v>42426</v>
      </c>
      <c r="B342" s="71" t="s">
        <v>179</v>
      </c>
      <c r="C342" s="220" t="s">
        <v>16</v>
      </c>
      <c r="D342" s="207">
        <v>0.01</v>
      </c>
      <c r="E342" s="207">
        <v>0.34</v>
      </c>
      <c r="F342" s="207">
        <v>0.44</v>
      </c>
      <c r="G342" s="171"/>
      <c r="H342" s="207">
        <v>0.01</v>
      </c>
      <c r="I342" s="207">
        <v>0.01</v>
      </c>
      <c r="J342" s="207">
        <v>0.1</v>
      </c>
      <c r="K342" s="220" t="s">
        <v>298</v>
      </c>
      <c r="L342" s="141">
        <v>12001.1</v>
      </c>
      <c r="M342" s="128">
        <f>L342-L340</f>
        <v>2.2000000000007276</v>
      </c>
      <c r="N342" s="187" t="s">
        <v>330</v>
      </c>
    </row>
    <row r="343" spans="1:14" ht="20.100000000000001" customHeight="1" x14ac:dyDescent="0.25">
      <c r="A343" s="126">
        <v>42427</v>
      </c>
      <c r="B343" s="134" t="s">
        <v>93</v>
      </c>
      <c r="C343" s="135"/>
      <c r="D343" s="300" t="s">
        <v>334</v>
      </c>
      <c r="E343" s="301"/>
      <c r="F343" s="302"/>
      <c r="G343" s="171"/>
      <c r="H343" s="207"/>
      <c r="I343" s="207"/>
      <c r="J343" s="207"/>
      <c r="K343" s="220"/>
      <c r="L343" s="141"/>
      <c r="M343" s="128"/>
    </row>
    <row r="344" spans="1:14" ht="20.100000000000001" customHeight="1" x14ac:dyDescent="0.25">
      <c r="A344" s="126">
        <v>42428</v>
      </c>
      <c r="B344" s="134" t="s">
        <v>94</v>
      </c>
      <c r="C344" s="135"/>
      <c r="D344" s="300" t="s">
        <v>334</v>
      </c>
      <c r="E344" s="301"/>
      <c r="F344" s="302"/>
      <c r="G344" s="171"/>
      <c r="H344" s="207"/>
      <c r="I344" s="207"/>
      <c r="J344" s="207"/>
      <c r="K344" s="220"/>
      <c r="L344" s="141"/>
      <c r="M344" s="128"/>
    </row>
    <row r="345" spans="1:14" ht="20.100000000000001" customHeight="1" x14ac:dyDescent="0.25">
      <c r="A345" s="126">
        <v>42429</v>
      </c>
      <c r="B345" s="71" t="s">
        <v>75</v>
      </c>
      <c r="C345" s="220" t="s">
        <v>95</v>
      </c>
      <c r="D345" s="207">
        <v>0.01</v>
      </c>
      <c r="E345" s="207">
        <v>0.26</v>
      </c>
      <c r="F345" s="207">
        <v>0.3</v>
      </c>
      <c r="G345" s="171"/>
      <c r="H345" s="207">
        <v>0</v>
      </c>
      <c r="I345" s="207">
        <v>0.01</v>
      </c>
      <c r="J345" s="207">
        <v>0.05</v>
      </c>
      <c r="K345" s="220" t="s">
        <v>297</v>
      </c>
      <c r="L345" s="141"/>
      <c r="M345" s="128"/>
    </row>
    <row r="346" spans="1:14" ht="20.100000000000001" customHeight="1" x14ac:dyDescent="0.25">
      <c r="A346" s="126">
        <v>42429</v>
      </c>
      <c r="B346" s="71" t="s">
        <v>265</v>
      </c>
      <c r="C346" s="220" t="s">
        <v>16</v>
      </c>
      <c r="D346" s="207">
        <v>0.03</v>
      </c>
      <c r="E346" s="207">
        <v>0.28999999999999998</v>
      </c>
      <c r="F346" s="207">
        <v>0.45</v>
      </c>
      <c r="G346" s="171"/>
      <c r="H346" s="207">
        <v>0.03</v>
      </c>
      <c r="I346" s="207">
        <v>0.05</v>
      </c>
      <c r="J346" s="207">
        <v>0.15</v>
      </c>
      <c r="K346" s="220" t="s">
        <v>298</v>
      </c>
      <c r="L346" s="141">
        <v>12007</v>
      </c>
      <c r="M346" s="128">
        <f>L346-L342</f>
        <v>5.8999999999996362</v>
      </c>
      <c r="N346" s="187" t="s">
        <v>330</v>
      </c>
    </row>
    <row r="347" spans="1:14" ht="20.100000000000001" customHeight="1" x14ac:dyDescent="0.25">
      <c r="A347" s="126">
        <v>42430</v>
      </c>
      <c r="B347" s="71" t="s">
        <v>75</v>
      </c>
      <c r="C347" s="220" t="s">
        <v>16</v>
      </c>
      <c r="D347" s="207">
        <v>0.03</v>
      </c>
      <c r="E347" s="207">
        <v>0.25</v>
      </c>
      <c r="F347" s="207">
        <v>0.27</v>
      </c>
      <c r="G347" s="171"/>
      <c r="H347" s="207">
        <v>0.01</v>
      </c>
      <c r="I347" s="207">
        <v>0.03</v>
      </c>
      <c r="J347" s="207">
        <v>0.04</v>
      </c>
      <c r="K347" s="220" t="s">
        <v>297</v>
      </c>
      <c r="L347" s="141"/>
      <c r="M347" s="128"/>
    </row>
    <row r="348" spans="1:14" ht="20.100000000000001" customHeight="1" x14ac:dyDescent="0.25">
      <c r="A348" s="126">
        <v>42430</v>
      </c>
      <c r="B348" s="71" t="s">
        <v>90</v>
      </c>
      <c r="C348" s="220" t="s">
        <v>16</v>
      </c>
      <c r="D348" s="207">
        <v>0.08</v>
      </c>
      <c r="E348" s="207">
        <v>0.26</v>
      </c>
      <c r="F348" s="207">
        <v>0.4</v>
      </c>
      <c r="G348" s="171"/>
      <c r="H348" s="207">
        <v>0.01</v>
      </c>
      <c r="I348" s="207">
        <v>0.03</v>
      </c>
      <c r="J348" s="207">
        <v>0.18</v>
      </c>
      <c r="K348" s="220" t="s">
        <v>298</v>
      </c>
      <c r="L348" s="141" t="s">
        <v>347</v>
      </c>
      <c r="M348" s="128"/>
    </row>
    <row r="349" spans="1:14" ht="20.100000000000001" customHeight="1" x14ac:dyDescent="0.25">
      <c r="A349" s="126">
        <v>42431</v>
      </c>
      <c r="B349" s="71" t="s">
        <v>75</v>
      </c>
      <c r="C349" s="220" t="s">
        <v>95</v>
      </c>
      <c r="D349" s="207">
        <v>0</v>
      </c>
      <c r="E349" s="207">
        <v>0.23</v>
      </c>
      <c r="F349" s="207">
        <v>0.26</v>
      </c>
      <c r="G349" s="171"/>
      <c r="H349" s="207">
        <v>0.02</v>
      </c>
      <c r="I349" s="207">
        <v>0.01</v>
      </c>
      <c r="J349" s="207">
        <v>0.04</v>
      </c>
      <c r="K349" s="220" t="s">
        <v>297</v>
      </c>
      <c r="L349" s="141"/>
      <c r="M349" s="128"/>
    </row>
    <row r="350" spans="1:14" ht="20.100000000000001" customHeight="1" x14ac:dyDescent="0.25">
      <c r="A350" s="126">
        <v>42431</v>
      </c>
      <c r="B350" s="71" t="s">
        <v>90</v>
      </c>
      <c r="C350" s="220" t="s">
        <v>16</v>
      </c>
      <c r="D350" s="207">
        <v>0</v>
      </c>
      <c r="E350" s="207">
        <v>0.22</v>
      </c>
      <c r="F350" s="207">
        <v>0.32</v>
      </c>
      <c r="G350" s="171"/>
      <c r="H350" s="207">
        <v>0</v>
      </c>
      <c r="I350" s="207">
        <v>0.01</v>
      </c>
      <c r="J350" s="207">
        <v>0.15</v>
      </c>
      <c r="K350" s="220" t="s">
        <v>298</v>
      </c>
      <c r="L350" s="141">
        <v>12025.1</v>
      </c>
      <c r="M350" s="128">
        <f>L350-L346</f>
        <v>18.100000000000364</v>
      </c>
      <c r="N350" s="187" t="s">
        <v>330</v>
      </c>
    </row>
    <row r="351" spans="1:14" ht="20.100000000000001" customHeight="1" x14ac:dyDescent="0.25">
      <c r="A351" s="126">
        <v>42432</v>
      </c>
      <c r="B351" s="71" t="s">
        <v>75</v>
      </c>
      <c r="C351" s="220" t="s">
        <v>95</v>
      </c>
      <c r="D351" s="207">
        <v>0.01</v>
      </c>
      <c r="E351" s="207">
        <v>0.21</v>
      </c>
      <c r="F351" s="207">
        <v>0.28999999999999998</v>
      </c>
      <c r="G351" s="171"/>
      <c r="H351" s="207">
        <v>0.01</v>
      </c>
      <c r="I351" s="207">
        <v>0</v>
      </c>
      <c r="J351" s="207">
        <v>0.06</v>
      </c>
      <c r="K351" s="220" t="s">
        <v>297</v>
      </c>
      <c r="L351" s="141"/>
      <c r="M351" s="128"/>
    </row>
    <row r="352" spans="1:14" ht="20.100000000000001" customHeight="1" x14ac:dyDescent="0.25">
      <c r="A352" s="126">
        <v>42432</v>
      </c>
      <c r="B352" s="71" t="s">
        <v>266</v>
      </c>
      <c r="C352" s="220" t="s">
        <v>16</v>
      </c>
      <c r="D352" s="207">
        <v>0.02</v>
      </c>
      <c r="E352" s="207">
        <v>0.2</v>
      </c>
      <c r="F352" s="207">
        <v>0.39</v>
      </c>
      <c r="G352" s="171"/>
      <c r="H352" s="207">
        <v>0.01</v>
      </c>
      <c r="I352" s="207">
        <v>0</v>
      </c>
      <c r="J352" s="207">
        <v>0.24</v>
      </c>
      <c r="K352" s="220" t="s">
        <v>298</v>
      </c>
      <c r="L352" s="141">
        <v>12031.2</v>
      </c>
      <c r="M352" s="128">
        <f>L352-L350</f>
        <v>6.1000000000003638</v>
      </c>
      <c r="N352" s="187" t="s">
        <v>330</v>
      </c>
    </row>
    <row r="353" spans="1:14" ht="20.100000000000001" customHeight="1" x14ac:dyDescent="0.25">
      <c r="A353" s="126">
        <v>42433</v>
      </c>
      <c r="B353" s="71" t="s">
        <v>75</v>
      </c>
      <c r="C353" s="220" t="s">
        <v>95</v>
      </c>
      <c r="D353" s="207">
        <v>0.01</v>
      </c>
      <c r="E353" s="207">
        <v>0.14000000000000001</v>
      </c>
      <c r="F353" s="207">
        <v>0.23</v>
      </c>
      <c r="G353" s="171"/>
      <c r="H353" s="207">
        <v>0</v>
      </c>
      <c r="I353" s="207">
        <v>0</v>
      </c>
      <c r="J353" s="207">
        <v>7.0000000000000007E-2</v>
      </c>
      <c r="K353" s="220" t="s">
        <v>297</v>
      </c>
      <c r="L353" s="141"/>
      <c r="M353" s="128"/>
    </row>
    <row r="354" spans="1:14" ht="20.100000000000001" customHeight="1" x14ac:dyDescent="0.25">
      <c r="A354" s="126">
        <v>42433</v>
      </c>
      <c r="B354" s="297" t="s">
        <v>335</v>
      </c>
      <c r="C354" s="298"/>
      <c r="D354" s="298"/>
      <c r="E354" s="298"/>
      <c r="F354" s="299"/>
      <c r="G354" s="171"/>
      <c r="H354" s="207"/>
      <c r="I354" s="207"/>
      <c r="J354" s="207"/>
      <c r="K354" s="220" t="s">
        <v>297</v>
      </c>
      <c r="L354" s="141"/>
      <c r="M354" s="128"/>
    </row>
    <row r="355" spans="1:14" ht="20.100000000000001" customHeight="1" x14ac:dyDescent="0.25">
      <c r="A355" s="126">
        <v>42434</v>
      </c>
      <c r="B355" s="134" t="s">
        <v>93</v>
      </c>
      <c r="C355" s="135"/>
      <c r="D355" s="300" t="s">
        <v>334</v>
      </c>
      <c r="E355" s="301"/>
      <c r="F355" s="302"/>
      <c r="G355" s="171"/>
      <c r="H355" s="207"/>
      <c r="I355" s="207"/>
      <c r="J355" s="207"/>
      <c r="K355" s="220"/>
      <c r="L355" s="141"/>
      <c r="M355" s="128"/>
    </row>
    <row r="356" spans="1:14" ht="20.100000000000001" customHeight="1" x14ac:dyDescent="0.25">
      <c r="A356" s="126">
        <v>42435</v>
      </c>
      <c r="B356" s="134" t="s">
        <v>94</v>
      </c>
      <c r="C356" s="135"/>
      <c r="D356" s="300" t="s">
        <v>334</v>
      </c>
      <c r="E356" s="301"/>
      <c r="F356" s="302"/>
      <c r="G356" s="171"/>
      <c r="H356" s="207"/>
      <c r="I356" s="207"/>
      <c r="J356" s="207"/>
      <c r="K356" s="220"/>
      <c r="L356" s="141"/>
      <c r="M356" s="128"/>
    </row>
    <row r="357" spans="1:14" ht="20.100000000000001" customHeight="1" x14ac:dyDescent="0.25">
      <c r="A357" s="126">
        <v>42436</v>
      </c>
      <c r="B357" s="71" t="s">
        <v>267</v>
      </c>
      <c r="C357" s="220" t="s">
        <v>16</v>
      </c>
      <c r="D357" s="207">
        <v>0</v>
      </c>
      <c r="E357" s="207">
        <v>0</v>
      </c>
      <c r="F357" s="207">
        <v>0.14000000000000001</v>
      </c>
      <c r="G357" s="171"/>
      <c r="H357" s="207">
        <v>0</v>
      </c>
      <c r="I357" s="207">
        <v>0</v>
      </c>
      <c r="J357" s="207">
        <v>0.1</v>
      </c>
      <c r="K357" s="220" t="s">
        <v>297</v>
      </c>
      <c r="L357" s="141"/>
      <c r="M357" s="128"/>
    </row>
    <row r="358" spans="1:14" ht="20.100000000000001" customHeight="1" x14ac:dyDescent="0.25">
      <c r="A358" s="126">
        <v>42436</v>
      </c>
      <c r="B358" s="71" t="s">
        <v>154</v>
      </c>
      <c r="C358" s="220" t="s">
        <v>16</v>
      </c>
      <c r="D358" s="207">
        <v>0</v>
      </c>
      <c r="E358" s="207">
        <v>0</v>
      </c>
      <c r="F358" s="207">
        <v>0.12</v>
      </c>
      <c r="G358" s="171"/>
      <c r="H358" s="207">
        <v>0</v>
      </c>
      <c r="I358" s="207">
        <v>0</v>
      </c>
      <c r="J358" s="207">
        <v>7.0000000000000007E-2</v>
      </c>
      <c r="K358" s="220" t="s">
        <v>298</v>
      </c>
      <c r="L358" s="141">
        <v>12036.5</v>
      </c>
      <c r="M358" s="128">
        <f>L358-L352</f>
        <v>5.2999999999992724</v>
      </c>
      <c r="N358" s="187" t="s">
        <v>330</v>
      </c>
    </row>
    <row r="359" spans="1:14" ht="20.100000000000001" customHeight="1" x14ac:dyDescent="0.25">
      <c r="A359" s="126">
        <v>42437</v>
      </c>
      <c r="B359" s="71" t="s">
        <v>250</v>
      </c>
      <c r="C359" s="220" t="s">
        <v>16</v>
      </c>
      <c r="D359" s="207">
        <v>0</v>
      </c>
      <c r="E359" s="207">
        <v>0.02</v>
      </c>
      <c r="F359" s="207">
        <v>0.11</v>
      </c>
      <c r="G359" s="171"/>
      <c r="H359" s="207">
        <v>0</v>
      </c>
      <c r="I359" s="207">
        <v>0.02</v>
      </c>
      <c r="J359" s="207">
        <v>0.03</v>
      </c>
      <c r="K359" s="220" t="s">
        <v>297</v>
      </c>
      <c r="L359" s="141"/>
      <c r="M359" s="128"/>
    </row>
    <row r="360" spans="1:14" ht="20.100000000000001" customHeight="1" x14ac:dyDescent="0.25">
      <c r="A360" s="126">
        <v>42437</v>
      </c>
      <c r="B360" s="71" t="s">
        <v>198</v>
      </c>
      <c r="C360" s="220" t="s">
        <v>16</v>
      </c>
      <c r="D360" s="207">
        <v>0.01</v>
      </c>
      <c r="E360" s="207">
        <v>0.47</v>
      </c>
      <c r="F360" s="207">
        <v>0.68</v>
      </c>
      <c r="G360" s="171"/>
      <c r="H360" s="207" t="s">
        <v>81</v>
      </c>
      <c r="I360" s="207" t="s">
        <v>81</v>
      </c>
      <c r="J360" s="207" t="s">
        <v>81</v>
      </c>
      <c r="K360" s="220" t="s">
        <v>298</v>
      </c>
      <c r="L360" s="141">
        <v>12044.4</v>
      </c>
      <c r="M360" s="128">
        <f>L360-L358</f>
        <v>7.8999999999996362</v>
      </c>
      <c r="N360" s="187" t="s">
        <v>330</v>
      </c>
    </row>
    <row r="361" spans="1:14" ht="20.100000000000001" customHeight="1" x14ac:dyDescent="0.25">
      <c r="A361" s="126">
        <v>42438</v>
      </c>
      <c r="B361" s="71" t="s">
        <v>273</v>
      </c>
      <c r="C361" s="220" t="s">
        <v>16</v>
      </c>
      <c r="D361" s="207">
        <v>0.01</v>
      </c>
      <c r="E361" s="207">
        <v>0.42</v>
      </c>
      <c r="F361" s="207">
        <v>0.59</v>
      </c>
      <c r="G361" s="171"/>
      <c r="H361" s="207">
        <v>0</v>
      </c>
      <c r="I361" s="207">
        <v>0</v>
      </c>
      <c r="J361" s="207">
        <v>0.1</v>
      </c>
      <c r="K361" s="220" t="s">
        <v>297</v>
      </c>
      <c r="L361" s="141"/>
      <c r="M361" s="128"/>
    </row>
    <row r="362" spans="1:14" ht="20.100000000000001" customHeight="1" x14ac:dyDescent="0.25">
      <c r="A362" s="126">
        <v>42438</v>
      </c>
      <c r="B362" s="71" t="s">
        <v>154</v>
      </c>
      <c r="C362" s="220" t="s">
        <v>16</v>
      </c>
      <c r="D362" s="207">
        <v>0.1</v>
      </c>
      <c r="E362" s="207">
        <v>0.4</v>
      </c>
      <c r="F362" s="207">
        <v>0.61</v>
      </c>
      <c r="G362" s="171"/>
      <c r="H362" s="207">
        <v>0</v>
      </c>
      <c r="I362" s="207">
        <v>0</v>
      </c>
      <c r="J362" s="207">
        <v>0.12</v>
      </c>
      <c r="K362" s="220" t="s">
        <v>298</v>
      </c>
      <c r="L362" s="141">
        <v>12048.6</v>
      </c>
      <c r="M362" s="128">
        <f>L362-L360</f>
        <v>4.2000000000007276</v>
      </c>
      <c r="N362" s="187" t="s">
        <v>330</v>
      </c>
    </row>
    <row r="363" spans="1:14" ht="20.100000000000001" customHeight="1" x14ac:dyDescent="0.25">
      <c r="A363" s="126">
        <v>42439</v>
      </c>
      <c r="B363" s="71" t="s">
        <v>274</v>
      </c>
      <c r="C363" s="220" t="s">
        <v>16</v>
      </c>
      <c r="D363" s="207">
        <v>0</v>
      </c>
      <c r="E363" s="207">
        <v>0.38</v>
      </c>
      <c r="F363" s="207">
        <v>0.51</v>
      </c>
      <c r="G363" s="171"/>
      <c r="H363" s="207">
        <v>0</v>
      </c>
      <c r="I363" s="207">
        <v>0.01</v>
      </c>
      <c r="J363" s="207">
        <v>0.06</v>
      </c>
      <c r="K363" s="220" t="s">
        <v>297</v>
      </c>
      <c r="L363" s="141"/>
      <c r="M363" s="128"/>
    </row>
    <row r="364" spans="1:14" ht="20.100000000000001" customHeight="1" x14ac:dyDescent="0.25">
      <c r="A364" s="126">
        <v>42439</v>
      </c>
      <c r="B364" s="71" t="s">
        <v>275</v>
      </c>
      <c r="C364" s="220" t="s">
        <v>16</v>
      </c>
      <c r="D364" s="207">
        <v>0</v>
      </c>
      <c r="E364" s="207">
        <v>0.38</v>
      </c>
      <c r="F364" s="207">
        <v>0.45</v>
      </c>
      <c r="G364" s="171"/>
      <c r="H364" s="207">
        <v>0</v>
      </c>
      <c r="I364" s="207">
        <v>0.01</v>
      </c>
      <c r="J364" s="207">
        <v>0.08</v>
      </c>
      <c r="K364" s="220" t="s">
        <v>298</v>
      </c>
      <c r="L364" s="141">
        <v>12053.9</v>
      </c>
      <c r="M364" s="128">
        <f>L364-L362</f>
        <v>5.2999999999992724</v>
      </c>
      <c r="N364" s="187" t="s">
        <v>330</v>
      </c>
    </row>
    <row r="365" spans="1:14" ht="20.100000000000001" customHeight="1" x14ac:dyDescent="0.25">
      <c r="A365" s="126">
        <v>42440</v>
      </c>
      <c r="B365" s="71" t="s">
        <v>276</v>
      </c>
      <c r="C365" s="220" t="s">
        <v>16</v>
      </c>
      <c r="D365" s="207">
        <v>0</v>
      </c>
      <c r="E365" s="207">
        <v>0.35</v>
      </c>
      <c r="F365" s="207">
        <v>0.56999999999999995</v>
      </c>
      <c r="G365" s="171"/>
      <c r="H365" s="207">
        <v>0</v>
      </c>
      <c r="I365" s="207">
        <v>0.01</v>
      </c>
      <c r="J365" s="207">
        <v>0.11</v>
      </c>
      <c r="K365" s="220" t="s">
        <v>297</v>
      </c>
      <c r="L365" s="141"/>
      <c r="M365" s="128"/>
    </row>
    <row r="366" spans="1:14" ht="20.100000000000001" customHeight="1" x14ac:dyDescent="0.25">
      <c r="A366" s="126">
        <v>42440</v>
      </c>
      <c r="B366" s="71" t="s">
        <v>153</v>
      </c>
      <c r="C366" s="220" t="s">
        <v>16</v>
      </c>
      <c r="D366" s="207">
        <v>0</v>
      </c>
      <c r="E366" s="207">
        <v>0.35</v>
      </c>
      <c r="F366" s="207">
        <v>0.63</v>
      </c>
      <c r="G366" s="171"/>
      <c r="H366" s="207">
        <v>0</v>
      </c>
      <c r="I366" s="207">
        <v>0.01</v>
      </c>
      <c r="J366" s="207">
        <v>0.45</v>
      </c>
      <c r="K366" s="220" t="s">
        <v>298</v>
      </c>
      <c r="L366" s="141"/>
      <c r="M366" s="128"/>
    </row>
    <row r="367" spans="1:14" ht="20.100000000000001" customHeight="1" x14ac:dyDescent="0.25">
      <c r="A367" s="126">
        <v>42441</v>
      </c>
      <c r="B367" s="134" t="s">
        <v>93</v>
      </c>
      <c r="C367" s="135"/>
      <c r="D367" s="300" t="s">
        <v>334</v>
      </c>
      <c r="E367" s="301"/>
      <c r="F367" s="302"/>
      <c r="G367" s="171"/>
      <c r="H367" s="207"/>
      <c r="I367" s="207"/>
      <c r="J367" s="207"/>
      <c r="K367" s="220"/>
      <c r="L367" s="141"/>
      <c r="M367" s="128"/>
    </row>
    <row r="368" spans="1:14" ht="20.100000000000001" customHeight="1" x14ac:dyDescent="0.25">
      <c r="A368" s="126">
        <v>42442</v>
      </c>
      <c r="B368" s="134" t="s">
        <v>94</v>
      </c>
      <c r="C368" s="135"/>
      <c r="D368" s="300" t="s">
        <v>334</v>
      </c>
      <c r="E368" s="301"/>
      <c r="F368" s="302"/>
      <c r="G368" s="171"/>
      <c r="H368" s="207"/>
      <c r="I368" s="207"/>
      <c r="J368" s="207"/>
      <c r="K368" s="220"/>
      <c r="L368" s="141"/>
      <c r="M368" s="128"/>
    </row>
    <row r="369" spans="1:14" ht="20.100000000000001" customHeight="1" x14ac:dyDescent="0.25">
      <c r="A369" s="126">
        <v>42443</v>
      </c>
      <c r="B369" s="71" t="s">
        <v>277</v>
      </c>
      <c r="C369" s="220" t="s">
        <v>95</v>
      </c>
      <c r="D369" s="207">
        <v>0.02</v>
      </c>
      <c r="E369" s="207">
        <v>0.28999999999999998</v>
      </c>
      <c r="F369" s="207">
        <v>0.3</v>
      </c>
      <c r="G369" s="171"/>
      <c r="H369" s="207">
        <v>0.03</v>
      </c>
      <c r="I369" s="207">
        <v>0.02</v>
      </c>
      <c r="J369" s="207">
        <v>0.04</v>
      </c>
      <c r="K369" s="220" t="s">
        <v>297</v>
      </c>
      <c r="L369" s="141"/>
      <c r="M369" s="128"/>
    </row>
    <row r="370" spans="1:14" ht="20.100000000000001" customHeight="1" x14ac:dyDescent="0.25">
      <c r="A370" s="126">
        <v>42443</v>
      </c>
      <c r="B370" s="71" t="s">
        <v>195</v>
      </c>
      <c r="C370" s="135"/>
      <c r="D370" s="300" t="s">
        <v>334</v>
      </c>
      <c r="E370" s="301"/>
      <c r="F370" s="302"/>
      <c r="G370" s="171"/>
      <c r="H370" s="288" t="s">
        <v>278</v>
      </c>
      <c r="I370" s="289"/>
      <c r="J370" s="289"/>
      <c r="K370" s="290"/>
      <c r="L370" s="141"/>
      <c r="M370" s="128"/>
    </row>
    <row r="371" spans="1:14" ht="20.100000000000001" customHeight="1" x14ac:dyDescent="0.25">
      <c r="A371" s="126">
        <v>42444</v>
      </c>
      <c r="B371" s="71" t="s">
        <v>279</v>
      </c>
      <c r="C371" s="285" t="s">
        <v>280</v>
      </c>
      <c r="D371" s="286"/>
      <c r="E371" s="286"/>
      <c r="F371" s="287"/>
      <c r="G371" s="171"/>
      <c r="H371" s="288"/>
      <c r="I371" s="289"/>
      <c r="J371" s="289"/>
      <c r="K371" s="290"/>
      <c r="L371" s="141"/>
      <c r="M371" s="128"/>
    </row>
    <row r="372" spans="1:14" ht="20.100000000000001" customHeight="1" x14ac:dyDescent="0.25">
      <c r="A372" s="126">
        <v>42445</v>
      </c>
      <c r="B372" s="71" t="s">
        <v>279</v>
      </c>
      <c r="C372" s="285" t="s">
        <v>281</v>
      </c>
      <c r="D372" s="286"/>
      <c r="E372" s="286"/>
      <c r="F372" s="287"/>
      <c r="G372" s="171"/>
      <c r="H372" s="288" t="s">
        <v>348</v>
      </c>
      <c r="I372" s="289"/>
      <c r="J372" s="289"/>
      <c r="K372" s="290"/>
      <c r="L372" s="141"/>
      <c r="M372" s="128"/>
    </row>
    <row r="373" spans="1:14" ht="20.100000000000001" customHeight="1" x14ac:dyDescent="0.25">
      <c r="A373" s="126">
        <v>42446</v>
      </c>
      <c r="B373" s="71" t="s">
        <v>159</v>
      </c>
      <c r="C373" s="220" t="s">
        <v>16</v>
      </c>
      <c r="D373" s="207">
        <v>0.21</v>
      </c>
      <c r="E373" s="207">
        <v>0.34</v>
      </c>
      <c r="F373" s="207">
        <v>0.42</v>
      </c>
      <c r="G373" s="171"/>
      <c r="H373" s="288" t="s">
        <v>349</v>
      </c>
      <c r="I373" s="289"/>
      <c r="J373" s="289"/>
      <c r="K373" s="290"/>
      <c r="L373" s="141"/>
      <c r="M373" s="128"/>
    </row>
    <row r="374" spans="1:14" ht="20.100000000000001" customHeight="1" x14ac:dyDescent="0.25">
      <c r="A374" s="126">
        <v>42447</v>
      </c>
      <c r="B374" s="71" t="s">
        <v>279</v>
      </c>
      <c r="C374" s="285" t="s">
        <v>282</v>
      </c>
      <c r="D374" s="286"/>
      <c r="E374" s="286"/>
      <c r="F374" s="287"/>
      <c r="G374" s="171"/>
      <c r="H374" s="285" t="s">
        <v>283</v>
      </c>
      <c r="I374" s="286"/>
      <c r="J374" s="286"/>
      <c r="K374" s="287"/>
      <c r="L374" s="141"/>
      <c r="M374" s="128"/>
    </row>
    <row r="375" spans="1:14" ht="20.100000000000001" customHeight="1" x14ac:dyDescent="0.25">
      <c r="A375" s="126">
        <v>42447</v>
      </c>
      <c r="B375" s="71" t="s">
        <v>279</v>
      </c>
      <c r="C375" s="288" t="s">
        <v>284</v>
      </c>
      <c r="D375" s="289"/>
      <c r="E375" s="289"/>
      <c r="F375" s="290"/>
      <c r="G375" s="171"/>
      <c r="H375" s="207"/>
      <c r="I375" s="207"/>
      <c r="J375" s="207"/>
      <c r="K375" s="220"/>
      <c r="L375" s="141"/>
      <c r="M375" s="128"/>
    </row>
    <row r="376" spans="1:14" ht="20.100000000000001" customHeight="1" x14ac:dyDescent="0.25">
      <c r="A376" s="126">
        <v>42447</v>
      </c>
      <c r="B376" s="71" t="s">
        <v>158</v>
      </c>
      <c r="C376" s="220" t="s">
        <v>16</v>
      </c>
      <c r="D376" s="207">
        <v>0.04</v>
      </c>
      <c r="E376" s="207">
        <v>0.38</v>
      </c>
      <c r="F376" s="207">
        <v>0.6</v>
      </c>
      <c r="G376" s="171"/>
      <c r="H376" s="207">
        <v>0.04</v>
      </c>
      <c r="I376" s="207">
        <v>0.12</v>
      </c>
      <c r="J376" s="207">
        <v>0.2</v>
      </c>
      <c r="K376" s="220" t="s">
        <v>297</v>
      </c>
      <c r="L376" s="141">
        <v>12135</v>
      </c>
      <c r="M376" s="128">
        <f>L376-L364</f>
        <v>81.100000000000364</v>
      </c>
      <c r="N376" s="187" t="s">
        <v>331</v>
      </c>
    </row>
    <row r="377" spans="1:14" ht="20.100000000000001" customHeight="1" x14ac:dyDescent="0.25">
      <c r="A377" s="126">
        <v>42448</v>
      </c>
      <c r="B377" s="134" t="s">
        <v>93</v>
      </c>
      <c r="C377" s="135"/>
      <c r="D377" s="300" t="s">
        <v>334</v>
      </c>
      <c r="E377" s="301"/>
      <c r="F377" s="302"/>
      <c r="G377" s="171"/>
      <c r="H377" s="207"/>
      <c r="I377" s="207"/>
      <c r="J377" s="207"/>
      <c r="K377" s="220"/>
      <c r="L377" s="141"/>
      <c r="M377" s="128"/>
    </row>
    <row r="378" spans="1:14" ht="20.100000000000001" customHeight="1" x14ac:dyDescent="0.25">
      <c r="A378" s="126">
        <v>42449</v>
      </c>
      <c r="B378" s="134" t="s">
        <v>94</v>
      </c>
      <c r="C378" s="135"/>
      <c r="D378" s="300" t="s">
        <v>334</v>
      </c>
      <c r="E378" s="301"/>
      <c r="F378" s="302"/>
      <c r="G378" s="171"/>
      <c r="H378" s="207"/>
      <c r="I378" s="207"/>
      <c r="J378" s="207"/>
      <c r="K378" s="220"/>
      <c r="L378" s="141"/>
      <c r="M378" s="128"/>
    </row>
    <row r="379" spans="1:14" ht="20.100000000000001" customHeight="1" x14ac:dyDescent="0.25">
      <c r="A379" s="126">
        <v>42450</v>
      </c>
      <c r="B379" s="71" t="s">
        <v>75</v>
      </c>
      <c r="C379" s="220" t="s">
        <v>95</v>
      </c>
      <c r="D379" s="207">
        <v>0</v>
      </c>
      <c r="E379" s="207">
        <v>0.15</v>
      </c>
      <c r="F379" s="207">
        <v>0.24</v>
      </c>
      <c r="G379" s="171"/>
      <c r="H379" s="207">
        <v>0.01</v>
      </c>
      <c r="I379" s="207">
        <v>0.05</v>
      </c>
      <c r="J379" s="207">
        <v>0.06</v>
      </c>
      <c r="K379" s="220" t="s">
        <v>297</v>
      </c>
      <c r="L379" s="141"/>
      <c r="M379" s="128"/>
    </row>
    <row r="380" spans="1:14" ht="20.100000000000001" customHeight="1" x14ac:dyDescent="0.25">
      <c r="A380" s="126">
        <v>42450</v>
      </c>
      <c r="B380" s="71" t="s">
        <v>285</v>
      </c>
      <c r="C380" s="220" t="s">
        <v>16</v>
      </c>
      <c r="D380" s="207">
        <v>0</v>
      </c>
      <c r="E380" s="207">
        <v>0.12</v>
      </c>
      <c r="F380" s="207">
        <v>0.28000000000000003</v>
      </c>
      <c r="G380" s="171"/>
      <c r="H380" s="207">
        <v>0.01</v>
      </c>
      <c r="I380" s="207">
        <v>0.05</v>
      </c>
      <c r="J380" s="207">
        <v>0.13</v>
      </c>
      <c r="K380" s="220" t="s">
        <v>298</v>
      </c>
      <c r="L380" s="141">
        <v>12138.2</v>
      </c>
      <c r="M380" s="128">
        <f>L380-L376</f>
        <v>3.2000000000007276</v>
      </c>
      <c r="N380" s="187" t="s">
        <v>330</v>
      </c>
    </row>
    <row r="381" spans="1:14" ht="20.100000000000001" customHeight="1" x14ac:dyDescent="0.25">
      <c r="A381" s="126">
        <v>42451</v>
      </c>
      <c r="B381" s="71" t="s">
        <v>71</v>
      </c>
      <c r="C381" s="220" t="s">
        <v>95</v>
      </c>
      <c r="D381" s="207">
        <v>0</v>
      </c>
      <c r="E381" s="207">
        <v>0.11</v>
      </c>
      <c r="F381" s="207">
        <v>0.19</v>
      </c>
      <c r="G381" s="171"/>
      <c r="H381" s="207">
        <v>0.02</v>
      </c>
      <c r="I381" s="207">
        <v>0.02</v>
      </c>
      <c r="J381" s="207">
        <v>0.02</v>
      </c>
      <c r="K381" s="220" t="s">
        <v>297</v>
      </c>
      <c r="L381" s="141"/>
      <c r="M381" s="128"/>
    </row>
    <row r="382" spans="1:14" ht="20.100000000000001" customHeight="1" x14ac:dyDescent="0.25">
      <c r="A382" s="126">
        <v>42451</v>
      </c>
      <c r="B382" s="71" t="s">
        <v>184</v>
      </c>
      <c r="C382" s="220" t="s">
        <v>16</v>
      </c>
      <c r="D382" s="207">
        <v>0</v>
      </c>
      <c r="E382" s="207">
        <v>0.15</v>
      </c>
      <c r="F382" s="207">
        <v>0.43</v>
      </c>
      <c r="G382" s="171"/>
      <c r="H382" s="207">
        <v>0.01</v>
      </c>
      <c r="I382" s="207">
        <v>0.05</v>
      </c>
      <c r="J382" s="207">
        <v>0.04</v>
      </c>
      <c r="K382" s="220" t="s">
        <v>298</v>
      </c>
      <c r="L382" s="141">
        <v>12143</v>
      </c>
      <c r="M382" s="128">
        <f>L382-L380</f>
        <v>4.7999999999992724</v>
      </c>
      <c r="N382" s="187" t="s">
        <v>330</v>
      </c>
    </row>
    <row r="383" spans="1:14" ht="20.100000000000001" customHeight="1" x14ac:dyDescent="0.25">
      <c r="A383" s="126">
        <v>42452</v>
      </c>
      <c r="B383" s="71" t="s">
        <v>92</v>
      </c>
      <c r="C383" s="220" t="s">
        <v>95</v>
      </c>
      <c r="D383" s="207">
        <v>0</v>
      </c>
      <c r="E383" s="207">
        <v>0.12</v>
      </c>
      <c r="F383" s="207">
        <v>0.11</v>
      </c>
      <c r="G383" s="171"/>
      <c r="H383" s="207">
        <v>0.01</v>
      </c>
      <c r="I383" s="207">
        <v>0</v>
      </c>
      <c r="J383" s="207">
        <v>0.1</v>
      </c>
      <c r="K383" s="220" t="s">
        <v>297</v>
      </c>
      <c r="L383" s="141"/>
      <c r="M383" s="128"/>
    </row>
    <row r="384" spans="1:14" ht="20.100000000000001" customHeight="1" x14ac:dyDescent="0.25">
      <c r="A384" s="126">
        <v>42452</v>
      </c>
      <c r="B384" s="71" t="s">
        <v>286</v>
      </c>
      <c r="C384" s="220" t="s">
        <v>16</v>
      </c>
      <c r="D384" s="207">
        <v>0</v>
      </c>
      <c r="E384" s="207">
        <v>0.15</v>
      </c>
      <c r="F384" s="207">
        <v>0.37</v>
      </c>
      <c r="G384" s="171"/>
      <c r="H384" s="207">
        <v>0</v>
      </c>
      <c r="I384" s="207">
        <v>0.06</v>
      </c>
      <c r="J384" s="207">
        <v>7.0000000000000007E-2</v>
      </c>
      <c r="K384" s="220" t="s">
        <v>298</v>
      </c>
      <c r="L384" s="141">
        <v>12145.1</v>
      </c>
      <c r="M384" s="128">
        <f>L384-L382</f>
        <v>2.1000000000003638</v>
      </c>
      <c r="N384" s="187" t="s">
        <v>330</v>
      </c>
    </row>
    <row r="385" spans="1:14" ht="20.100000000000001" customHeight="1" x14ac:dyDescent="0.25">
      <c r="A385" s="126">
        <v>42453</v>
      </c>
      <c r="B385" s="71" t="s">
        <v>75</v>
      </c>
      <c r="C385" s="220" t="s">
        <v>95</v>
      </c>
      <c r="D385" s="207">
        <v>0.02</v>
      </c>
      <c r="E385" s="207">
        <v>0.12</v>
      </c>
      <c r="F385" s="207">
        <v>0.18</v>
      </c>
      <c r="G385" s="171"/>
      <c r="H385" s="207">
        <v>0.01</v>
      </c>
      <c r="I385" s="207">
        <v>0.02</v>
      </c>
      <c r="J385" s="207">
        <v>0.04</v>
      </c>
      <c r="K385" s="220" t="s">
        <v>297</v>
      </c>
      <c r="L385" s="141"/>
      <c r="M385" s="128"/>
    </row>
    <row r="386" spans="1:14" ht="20.100000000000001" customHeight="1" x14ac:dyDescent="0.25">
      <c r="A386" s="126">
        <v>42453</v>
      </c>
      <c r="B386" s="71" t="s">
        <v>195</v>
      </c>
      <c r="C386" s="285" t="s">
        <v>334</v>
      </c>
      <c r="D386" s="286"/>
      <c r="E386" s="286"/>
      <c r="F386" s="287"/>
      <c r="G386" s="171"/>
      <c r="H386" s="207"/>
      <c r="I386" s="207"/>
      <c r="J386" s="207"/>
      <c r="K386" s="220"/>
      <c r="L386" s="141"/>
      <c r="M386" s="128"/>
    </row>
    <row r="387" spans="1:14" ht="20.100000000000001" customHeight="1" x14ac:dyDescent="0.25">
      <c r="A387" s="126">
        <v>42454</v>
      </c>
      <c r="B387" s="164" t="s">
        <v>287</v>
      </c>
      <c r="C387" s="165"/>
      <c r="D387" s="311" t="s">
        <v>334</v>
      </c>
      <c r="E387" s="312"/>
      <c r="F387" s="313"/>
      <c r="G387" s="174"/>
      <c r="H387" s="207"/>
      <c r="I387" s="207"/>
      <c r="J387" s="220"/>
      <c r="K387" s="220"/>
      <c r="L387" s="141"/>
      <c r="M387" s="128"/>
    </row>
    <row r="388" spans="1:14" ht="20.100000000000001" customHeight="1" x14ac:dyDescent="0.25">
      <c r="A388" s="126">
        <v>42455</v>
      </c>
      <c r="B388" s="134" t="s">
        <v>93</v>
      </c>
      <c r="C388" s="135"/>
      <c r="D388" s="300" t="s">
        <v>334</v>
      </c>
      <c r="E388" s="301"/>
      <c r="F388" s="302"/>
      <c r="G388" s="174"/>
      <c r="H388" s="207"/>
      <c r="I388" s="207"/>
      <c r="J388" s="220"/>
      <c r="K388" s="220"/>
      <c r="L388" s="141"/>
      <c r="M388" s="128"/>
    </row>
    <row r="389" spans="1:14" ht="20.100000000000001" customHeight="1" x14ac:dyDescent="0.25">
      <c r="A389" s="126">
        <v>42456</v>
      </c>
      <c r="B389" s="134" t="s">
        <v>94</v>
      </c>
      <c r="C389" s="135"/>
      <c r="D389" s="300" t="s">
        <v>334</v>
      </c>
      <c r="E389" s="301"/>
      <c r="F389" s="302"/>
      <c r="G389" s="174"/>
      <c r="H389" s="207"/>
      <c r="I389" s="207"/>
      <c r="J389" s="220"/>
      <c r="K389" s="220"/>
      <c r="L389" s="141"/>
    </row>
    <row r="390" spans="1:14" ht="20.100000000000001" customHeight="1" x14ac:dyDescent="0.25">
      <c r="A390" s="126">
        <v>42457</v>
      </c>
      <c r="B390" s="71" t="s">
        <v>288</v>
      </c>
      <c r="C390" s="220" t="s">
        <v>95</v>
      </c>
      <c r="D390" s="207">
        <v>0.01</v>
      </c>
      <c r="E390" s="207">
        <v>0.02</v>
      </c>
      <c r="F390" s="207">
        <v>0.14000000000000001</v>
      </c>
      <c r="G390" s="171"/>
      <c r="H390" s="207">
        <v>0.02</v>
      </c>
      <c r="I390" s="207">
        <v>0.02</v>
      </c>
      <c r="J390" s="207">
        <v>0.1</v>
      </c>
      <c r="K390" s="220" t="s">
        <v>297</v>
      </c>
      <c r="L390" s="141"/>
    </row>
    <row r="391" spans="1:14" ht="20.100000000000001" customHeight="1" x14ac:dyDescent="0.25">
      <c r="A391" s="126">
        <v>42457</v>
      </c>
      <c r="B391" s="71" t="s">
        <v>289</v>
      </c>
      <c r="C391" s="220" t="s">
        <v>16</v>
      </c>
      <c r="D391" s="207">
        <v>0.01</v>
      </c>
      <c r="E391" s="207">
        <v>0.01</v>
      </c>
      <c r="F391" s="207">
        <v>0.16</v>
      </c>
      <c r="G391" s="171"/>
      <c r="H391" s="207">
        <v>0</v>
      </c>
      <c r="I391" s="207">
        <v>0.01</v>
      </c>
      <c r="J391" s="207">
        <v>0.21</v>
      </c>
      <c r="K391" s="220" t="s">
        <v>298</v>
      </c>
      <c r="L391" s="141">
        <v>12153.8</v>
      </c>
      <c r="M391" s="148">
        <f>L391-L384</f>
        <v>8.6999999999989086</v>
      </c>
      <c r="N391" s="187" t="s">
        <v>330</v>
      </c>
    </row>
    <row r="392" spans="1:14" ht="20.100000000000001" customHeight="1" x14ac:dyDescent="0.25">
      <c r="A392" s="126">
        <v>42458</v>
      </c>
      <c r="B392" s="71" t="s">
        <v>66</v>
      </c>
      <c r="C392" s="220" t="s">
        <v>95</v>
      </c>
      <c r="D392" s="207">
        <v>0.01</v>
      </c>
      <c r="E392" s="207">
        <v>0</v>
      </c>
      <c r="F392" s="207">
        <v>0.09</v>
      </c>
      <c r="G392" s="171"/>
      <c r="H392" s="207">
        <v>0.01</v>
      </c>
      <c r="I392" s="207">
        <v>0</v>
      </c>
      <c r="J392" s="207">
        <v>0.02</v>
      </c>
      <c r="K392" s="220" t="s">
        <v>297</v>
      </c>
      <c r="L392" s="141"/>
    </row>
    <row r="393" spans="1:14" ht="20.100000000000001" customHeight="1" x14ac:dyDescent="0.25">
      <c r="A393" s="126">
        <v>42458</v>
      </c>
      <c r="B393" s="71" t="s">
        <v>290</v>
      </c>
      <c r="C393" s="220" t="s">
        <v>16</v>
      </c>
      <c r="D393" s="207">
        <v>0</v>
      </c>
      <c r="E393" s="207">
        <v>0</v>
      </c>
      <c r="F393" s="207">
        <v>0.2</v>
      </c>
      <c r="G393" s="171"/>
      <c r="H393" s="207">
        <v>0</v>
      </c>
      <c r="I393" s="207">
        <v>0</v>
      </c>
      <c r="J393" s="207">
        <v>0.06</v>
      </c>
      <c r="K393" s="220" t="s">
        <v>298</v>
      </c>
      <c r="L393" s="141">
        <v>12159.3</v>
      </c>
      <c r="M393" s="148">
        <f>L393-L391</f>
        <v>5.5</v>
      </c>
      <c r="N393" s="187" t="s">
        <v>330</v>
      </c>
    </row>
    <row r="394" spans="1:14" ht="20.100000000000001" customHeight="1" x14ac:dyDescent="0.25">
      <c r="A394" s="126">
        <v>42459</v>
      </c>
      <c r="B394" s="71" t="s">
        <v>291</v>
      </c>
      <c r="C394" s="220" t="s">
        <v>16</v>
      </c>
      <c r="D394" s="207">
        <v>0</v>
      </c>
      <c r="E394" s="207">
        <v>0</v>
      </c>
      <c r="F394" s="207">
        <v>0.11</v>
      </c>
      <c r="G394" s="171"/>
      <c r="H394" s="207">
        <v>0</v>
      </c>
      <c r="I394" s="207">
        <v>0.01</v>
      </c>
      <c r="J394" s="207">
        <v>0.19</v>
      </c>
      <c r="K394" s="220" t="s">
        <v>297</v>
      </c>
      <c r="L394" s="141" t="s">
        <v>81</v>
      </c>
    </row>
    <row r="395" spans="1:14" ht="20.100000000000001" customHeight="1" x14ac:dyDescent="0.25">
      <c r="A395" s="126">
        <v>42460</v>
      </c>
      <c r="B395" s="71" t="s">
        <v>73</v>
      </c>
      <c r="C395" s="220" t="s">
        <v>95</v>
      </c>
      <c r="D395" s="207">
        <v>0</v>
      </c>
      <c r="E395" s="207">
        <v>0</v>
      </c>
      <c r="F395" s="207">
        <v>0.06</v>
      </c>
      <c r="G395" s="171"/>
      <c r="H395" s="207">
        <v>0.01</v>
      </c>
      <c r="I395" s="207">
        <v>0</v>
      </c>
      <c r="J395" s="207">
        <v>0.05</v>
      </c>
      <c r="K395" s="220" t="s">
        <v>297</v>
      </c>
      <c r="L395" s="141" t="s">
        <v>81</v>
      </c>
    </row>
    <row r="396" spans="1:14" ht="20.100000000000001" customHeight="1" x14ac:dyDescent="0.25">
      <c r="A396" s="126">
        <v>42460</v>
      </c>
      <c r="B396" s="71" t="s">
        <v>275</v>
      </c>
      <c r="C396" s="220" t="s">
        <v>16</v>
      </c>
      <c r="D396" s="207">
        <v>0</v>
      </c>
      <c r="E396" s="207">
        <v>0</v>
      </c>
      <c r="F396" s="207">
        <v>0.1</v>
      </c>
      <c r="G396" s="171"/>
      <c r="H396" s="207">
        <v>0.01</v>
      </c>
      <c r="I396" s="207">
        <v>0</v>
      </c>
      <c r="J396" s="207">
        <v>0.06</v>
      </c>
      <c r="K396" s="220" t="s">
        <v>298</v>
      </c>
      <c r="L396" s="141">
        <v>12168.6</v>
      </c>
      <c r="M396" s="148">
        <f>L396-L393</f>
        <v>9.3000000000010914</v>
      </c>
      <c r="N396" s="187" t="s">
        <v>330</v>
      </c>
    </row>
    <row r="397" spans="1:14" ht="20.100000000000001" customHeight="1" x14ac:dyDescent="0.25">
      <c r="A397" s="126">
        <v>42461</v>
      </c>
      <c r="B397" s="71" t="s">
        <v>76</v>
      </c>
      <c r="C397" s="220" t="s">
        <v>95</v>
      </c>
      <c r="D397" s="207">
        <v>0</v>
      </c>
      <c r="E397" s="207">
        <v>0</v>
      </c>
      <c r="F397" s="207">
        <v>0.08</v>
      </c>
      <c r="G397" s="171"/>
      <c r="H397" s="207">
        <v>0</v>
      </c>
      <c r="I397" s="207">
        <v>0</v>
      </c>
      <c r="J397" s="207">
        <v>0.05</v>
      </c>
      <c r="K397" s="220" t="s">
        <v>297</v>
      </c>
      <c r="L397" s="141"/>
    </row>
    <row r="398" spans="1:14" ht="20.100000000000001" customHeight="1" x14ac:dyDescent="0.25">
      <c r="A398" s="126">
        <v>42461</v>
      </c>
      <c r="B398" s="71" t="s">
        <v>292</v>
      </c>
      <c r="C398" s="220" t="s">
        <v>16</v>
      </c>
      <c r="D398" s="207">
        <v>0.21</v>
      </c>
      <c r="E398" s="207">
        <v>0.65</v>
      </c>
      <c r="F398" s="207">
        <v>0.42</v>
      </c>
      <c r="G398" s="171"/>
      <c r="H398" s="288" t="s">
        <v>293</v>
      </c>
      <c r="I398" s="289"/>
      <c r="J398" s="289"/>
      <c r="K398" s="290"/>
      <c r="L398" s="141"/>
    </row>
    <row r="399" spans="1:14" ht="20.100000000000001" customHeight="1" x14ac:dyDescent="0.25">
      <c r="A399" s="126">
        <v>42461</v>
      </c>
      <c r="B399" s="71" t="s">
        <v>294</v>
      </c>
      <c r="C399" s="220" t="s">
        <v>16</v>
      </c>
      <c r="D399" s="207">
        <v>0.33</v>
      </c>
      <c r="E399" s="207">
        <v>0.5</v>
      </c>
      <c r="F399" s="207">
        <v>0.28000000000000003</v>
      </c>
      <c r="G399" s="171"/>
      <c r="H399" s="288" t="s">
        <v>293</v>
      </c>
      <c r="I399" s="289"/>
      <c r="J399" s="289"/>
      <c r="K399" s="290"/>
      <c r="L399" s="141"/>
    </row>
    <row r="400" spans="1:14" ht="20.100000000000001" customHeight="1" x14ac:dyDescent="0.25">
      <c r="A400" s="126">
        <v>42462</v>
      </c>
      <c r="B400" s="134" t="s">
        <v>93</v>
      </c>
      <c r="C400" s="135"/>
      <c r="D400" s="300" t="s">
        <v>334</v>
      </c>
      <c r="E400" s="301"/>
      <c r="F400" s="302"/>
      <c r="G400" s="171"/>
      <c r="H400" s="207"/>
      <c r="I400" s="207"/>
      <c r="J400" s="207"/>
      <c r="K400" s="220"/>
      <c r="L400" s="141"/>
    </row>
    <row r="401" spans="1:14" ht="20.100000000000001" customHeight="1" x14ac:dyDescent="0.25">
      <c r="A401" s="126">
        <v>42463</v>
      </c>
      <c r="B401" s="134" t="s">
        <v>94</v>
      </c>
      <c r="C401" s="135"/>
      <c r="D401" s="300" t="s">
        <v>334</v>
      </c>
      <c r="E401" s="301"/>
      <c r="F401" s="302"/>
      <c r="G401" s="171"/>
      <c r="H401" s="207"/>
      <c r="I401" s="207"/>
      <c r="J401" s="207"/>
      <c r="K401" s="220"/>
      <c r="L401" s="141"/>
    </row>
    <row r="402" spans="1:14" ht="20.100000000000001" customHeight="1" x14ac:dyDescent="0.25">
      <c r="A402" s="126">
        <v>42464</v>
      </c>
      <c r="B402" s="71" t="s">
        <v>226</v>
      </c>
      <c r="C402" s="220" t="s">
        <v>95</v>
      </c>
      <c r="D402" s="207">
        <v>0.01</v>
      </c>
      <c r="E402" s="207">
        <v>7.0000000000000007E-2</v>
      </c>
      <c r="F402" s="207">
        <v>0.09</v>
      </c>
      <c r="G402" s="171"/>
      <c r="H402" s="207">
        <v>0</v>
      </c>
      <c r="I402" s="207">
        <v>0</v>
      </c>
      <c r="J402" s="207">
        <v>0.03</v>
      </c>
      <c r="K402" s="220" t="s">
        <v>297</v>
      </c>
      <c r="L402" s="141"/>
    </row>
    <row r="403" spans="1:14" ht="20.100000000000001" customHeight="1" x14ac:dyDescent="0.25">
      <c r="A403" s="126">
        <v>42464</v>
      </c>
      <c r="B403" s="71" t="s">
        <v>158</v>
      </c>
      <c r="C403" s="220" t="s">
        <v>16</v>
      </c>
      <c r="D403" s="207">
        <v>0</v>
      </c>
      <c r="E403" s="207">
        <v>0.06</v>
      </c>
      <c r="F403" s="207">
        <v>0.27</v>
      </c>
      <c r="G403" s="171"/>
      <c r="H403" s="207">
        <v>0</v>
      </c>
      <c r="I403" s="207">
        <v>0</v>
      </c>
      <c r="J403" s="207">
        <v>0.08</v>
      </c>
      <c r="K403" s="220" t="s">
        <v>298</v>
      </c>
      <c r="L403" s="141">
        <v>12179.6</v>
      </c>
      <c r="M403" s="148">
        <f>L403-L396</f>
        <v>11</v>
      </c>
      <c r="N403" s="187" t="s">
        <v>330</v>
      </c>
    </row>
    <row r="404" spans="1:14" ht="20.100000000000001" customHeight="1" x14ac:dyDescent="0.25">
      <c r="A404" s="126">
        <v>42465</v>
      </c>
      <c r="B404" s="71" t="s">
        <v>66</v>
      </c>
      <c r="C404" s="220" t="s">
        <v>95</v>
      </c>
      <c r="D404" s="207">
        <v>0.04</v>
      </c>
      <c r="E404" s="207">
        <v>0.05</v>
      </c>
      <c r="F404" s="207">
        <v>0.12</v>
      </c>
      <c r="G404" s="171"/>
      <c r="H404" s="207">
        <v>0.01</v>
      </c>
      <c r="I404" s="207">
        <v>0.02</v>
      </c>
      <c r="J404" s="207">
        <v>0.06</v>
      </c>
      <c r="K404" s="220" t="s">
        <v>297</v>
      </c>
      <c r="L404" s="141"/>
    </row>
    <row r="405" spans="1:14" ht="20.100000000000001" customHeight="1" x14ac:dyDescent="0.25">
      <c r="A405" s="126">
        <v>42466</v>
      </c>
      <c r="B405" s="71" t="s">
        <v>75</v>
      </c>
      <c r="C405" s="220" t="s">
        <v>95</v>
      </c>
      <c r="D405" s="207">
        <v>0.01</v>
      </c>
      <c r="E405" s="207">
        <v>0.03</v>
      </c>
      <c r="F405" s="207">
        <v>0.05</v>
      </c>
      <c r="G405" s="171"/>
      <c r="H405" s="207">
        <v>0.02</v>
      </c>
      <c r="I405" s="207">
        <v>0.01</v>
      </c>
      <c r="J405" s="207">
        <v>0.03</v>
      </c>
      <c r="K405" s="220" t="s">
        <v>297</v>
      </c>
      <c r="L405" s="141"/>
    </row>
    <row r="406" spans="1:14" ht="20.100000000000001" customHeight="1" x14ac:dyDescent="0.25">
      <c r="A406" s="126">
        <v>42466</v>
      </c>
      <c r="B406" s="71" t="s">
        <v>295</v>
      </c>
      <c r="C406" s="220" t="s">
        <v>16</v>
      </c>
      <c r="D406" s="207">
        <v>0.01</v>
      </c>
      <c r="E406" s="207">
        <v>0.41</v>
      </c>
      <c r="F406" s="207">
        <v>0.46</v>
      </c>
      <c r="G406" s="171"/>
      <c r="H406" s="288" t="s">
        <v>296</v>
      </c>
      <c r="I406" s="289"/>
      <c r="J406" s="289"/>
      <c r="K406" s="290"/>
      <c r="L406" s="141"/>
    </row>
    <row r="407" spans="1:14" ht="20.100000000000001" customHeight="1" x14ac:dyDescent="0.25">
      <c r="A407" s="126">
        <v>42466</v>
      </c>
      <c r="B407" s="71" t="s">
        <v>262</v>
      </c>
      <c r="C407" s="220" t="s">
        <v>16</v>
      </c>
      <c r="D407" s="207">
        <v>0</v>
      </c>
      <c r="E407" s="207">
        <v>0.38</v>
      </c>
      <c r="F407" s="207">
        <v>0.53</v>
      </c>
      <c r="G407" s="171"/>
      <c r="H407" s="208">
        <v>0</v>
      </c>
      <c r="I407" s="209">
        <v>0.36</v>
      </c>
      <c r="J407" s="209">
        <v>0.47</v>
      </c>
      <c r="K407" s="210" t="s">
        <v>298</v>
      </c>
      <c r="L407" s="141">
        <v>12194.4</v>
      </c>
      <c r="M407" s="148">
        <f>L407-L403</f>
        <v>14.799999999999272</v>
      </c>
      <c r="N407" s="187" t="s">
        <v>330</v>
      </c>
    </row>
    <row r="408" spans="1:14" ht="20.100000000000001" customHeight="1" x14ac:dyDescent="0.25">
      <c r="A408" s="126">
        <v>42467</v>
      </c>
      <c r="B408" s="71" t="s">
        <v>73</v>
      </c>
      <c r="C408" s="220" t="s">
        <v>95</v>
      </c>
      <c r="D408" s="207">
        <v>0</v>
      </c>
      <c r="E408" s="207">
        <v>0.35</v>
      </c>
      <c r="F408" s="207">
        <v>0.35</v>
      </c>
      <c r="G408" s="171"/>
      <c r="H408" s="207">
        <v>0.01</v>
      </c>
      <c r="I408" s="207">
        <v>0.1</v>
      </c>
      <c r="J408" s="207">
        <v>0.13</v>
      </c>
      <c r="K408" s="220" t="s">
        <v>297</v>
      </c>
      <c r="L408" s="141"/>
    </row>
    <row r="409" spans="1:14" ht="20.100000000000001" customHeight="1" x14ac:dyDescent="0.25">
      <c r="A409" s="126">
        <v>42467</v>
      </c>
      <c r="B409" s="71" t="s">
        <v>90</v>
      </c>
      <c r="C409" s="220" t="s">
        <v>16</v>
      </c>
      <c r="D409" s="207">
        <v>0</v>
      </c>
      <c r="E409" s="207">
        <v>0.32</v>
      </c>
      <c r="F409" s="207">
        <v>0.48</v>
      </c>
      <c r="G409" s="171"/>
      <c r="H409" s="207">
        <v>0</v>
      </c>
      <c r="I409" s="207">
        <v>0.14000000000000001</v>
      </c>
      <c r="J409" s="207">
        <v>0.24</v>
      </c>
      <c r="K409" s="220" t="s">
        <v>298</v>
      </c>
      <c r="L409" s="141">
        <v>12198.6</v>
      </c>
      <c r="M409" s="148">
        <f>L409-L407</f>
        <v>4.2000000000007276</v>
      </c>
      <c r="N409" s="187" t="s">
        <v>330</v>
      </c>
    </row>
    <row r="410" spans="1:14" ht="20.100000000000001" customHeight="1" x14ac:dyDescent="0.25">
      <c r="A410" s="126">
        <v>42468</v>
      </c>
      <c r="B410" s="71" t="s">
        <v>75</v>
      </c>
      <c r="C410" s="220" t="s">
        <v>95</v>
      </c>
      <c r="D410" s="207">
        <v>0.03</v>
      </c>
      <c r="E410" s="207">
        <v>0.3</v>
      </c>
      <c r="F410" s="207">
        <v>0.31</v>
      </c>
      <c r="G410" s="171"/>
      <c r="H410" s="207">
        <v>0.01</v>
      </c>
      <c r="I410" s="207">
        <v>0.04</v>
      </c>
      <c r="J410" s="207">
        <v>0.04</v>
      </c>
      <c r="K410" s="220" t="s">
        <v>297</v>
      </c>
      <c r="L410" s="141"/>
    </row>
    <row r="411" spans="1:14" ht="20.100000000000001" customHeight="1" x14ac:dyDescent="0.25">
      <c r="A411" s="126">
        <v>42469</v>
      </c>
      <c r="B411" s="134" t="s">
        <v>93</v>
      </c>
      <c r="C411" s="135"/>
      <c r="D411" s="300" t="s">
        <v>334</v>
      </c>
      <c r="E411" s="301"/>
      <c r="F411" s="302"/>
      <c r="G411" s="171"/>
      <c r="H411" s="207"/>
      <c r="I411" s="207"/>
      <c r="J411" s="207"/>
      <c r="K411" s="220"/>
      <c r="L411" s="141"/>
    </row>
    <row r="412" spans="1:14" ht="20.100000000000001" customHeight="1" x14ac:dyDescent="0.25">
      <c r="A412" s="126">
        <v>42470</v>
      </c>
      <c r="B412" s="134" t="s">
        <v>94</v>
      </c>
      <c r="C412" s="135"/>
      <c r="D412" s="300" t="s">
        <v>334</v>
      </c>
      <c r="E412" s="301"/>
      <c r="F412" s="302"/>
      <c r="G412" s="171"/>
      <c r="H412" s="207"/>
      <c r="I412" s="207"/>
      <c r="J412" s="207"/>
      <c r="K412" s="220"/>
      <c r="L412" s="141"/>
    </row>
    <row r="413" spans="1:14" ht="20.100000000000001" customHeight="1" x14ac:dyDescent="0.25">
      <c r="A413" s="126">
        <v>42471</v>
      </c>
      <c r="B413" s="71" t="s">
        <v>73</v>
      </c>
      <c r="C413" s="220" t="s">
        <v>95</v>
      </c>
      <c r="D413" s="207">
        <v>0.01</v>
      </c>
      <c r="E413" s="207">
        <v>0.22</v>
      </c>
      <c r="F413" s="207">
        <v>0.26</v>
      </c>
      <c r="G413" s="171"/>
      <c r="H413" s="207">
        <v>0.01</v>
      </c>
      <c r="I413" s="207">
        <v>0.01</v>
      </c>
      <c r="J413" s="207">
        <v>0.05</v>
      </c>
      <c r="K413" s="220" t="s">
        <v>297</v>
      </c>
      <c r="L413" s="141"/>
    </row>
    <row r="414" spans="1:14" ht="20.100000000000001" customHeight="1" x14ac:dyDescent="0.25">
      <c r="A414" s="126">
        <v>42471</v>
      </c>
      <c r="B414" s="71" t="s">
        <v>265</v>
      </c>
      <c r="C414" s="220" t="s">
        <v>16</v>
      </c>
      <c r="D414" s="207">
        <v>0.01</v>
      </c>
      <c r="E414" s="207">
        <v>0.22</v>
      </c>
      <c r="F414" s="207">
        <v>0.27</v>
      </c>
      <c r="G414" s="171"/>
      <c r="H414" s="207">
        <v>0.01</v>
      </c>
      <c r="I414" s="207">
        <v>0.01</v>
      </c>
      <c r="J414" s="207">
        <v>0.06</v>
      </c>
      <c r="K414" s="220" t="s">
        <v>298</v>
      </c>
      <c r="L414" s="141">
        <v>12205.7</v>
      </c>
      <c r="M414" s="148">
        <f>L414-L409</f>
        <v>7.1000000000003638</v>
      </c>
      <c r="N414" s="187" t="s">
        <v>330</v>
      </c>
    </row>
    <row r="415" spans="1:14" ht="20.100000000000001" customHeight="1" x14ac:dyDescent="0.25">
      <c r="A415" s="126">
        <v>42472</v>
      </c>
      <c r="B415" s="71" t="s">
        <v>76</v>
      </c>
      <c r="C415" s="220" t="s">
        <v>95</v>
      </c>
      <c r="D415" s="207">
        <v>0</v>
      </c>
      <c r="E415" s="207">
        <v>0.19</v>
      </c>
      <c r="F415" s="207">
        <v>0.23</v>
      </c>
      <c r="G415" s="171"/>
      <c r="H415" s="207">
        <v>0.01</v>
      </c>
      <c r="I415" s="207">
        <v>0</v>
      </c>
      <c r="J415" s="207">
        <v>0.05</v>
      </c>
      <c r="K415" s="220" t="s">
        <v>297</v>
      </c>
      <c r="L415" s="141"/>
    </row>
    <row r="416" spans="1:14" ht="20.100000000000001" customHeight="1" x14ac:dyDescent="0.25">
      <c r="A416" s="126">
        <v>42472</v>
      </c>
      <c r="B416" s="71" t="s">
        <v>154</v>
      </c>
      <c r="C416" s="220" t="s">
        <v>16</v>
      </c>
      <c r="D416" s="207">
        <v>0</v>
      </c>
      <c r="E416" s="207">
        <v>0.18</v>
      </c>
      <c r="F416" s="207">
        <v>0.25</v>
      </c>
      <c r="G416" s="171"/>
      <c r="H416" s="207">
        <v>0.01</v>
      </c>
      <c r="I416" s="207">
        <v>0</v>
      </c>
      <c r="J416" s="207">
        <v>0.05</v>
      </c>
      <c r="K416" s="220" t="s">
        <v>298</v>
      </c>
      <c r="L416" s="141">
        <v>12212.4</v>
      </c>
      <c r="M416" s="148">
        <f>L416-L414</f>
        <v>6.6999999999989086</v>
      </c>
      <c r="N416" s="187" t="s">
        <v>330</v>
      </c>
    </row>
    <row r="417" spans="1:14" ht="20.100000000000001" customHeight="1" x14ac:dyDescent="0.25">
      <c r="A417" s="126">
        <v>42473</v>
      </c>
      <c r="B417" s="71" t="s">
        <v>67</v>
      </c>
      <c r="C417" s="220" t="s">
        <v>95</v>
      </c>
      <c r="D417" s="207">
        <v>0</v>
      </c>
      <c r="E417" s="207">
        <v>0.18</v>
      </c>
      <c r="F417" s="207">
        <v>0.21</v>
      </c>
      <c r="G417" s="171"/>
      <c r="H417" s="207">
        <v>0.02</v>
      </c>
      <c r="I417" s="207">
        <v>0.01</v>
      </c>
      <c r="J417" s="207">
        <v>0.13</v>
      </c>
      <c r="K417" s="220" t="s">
        <v>297</v>
      </c>
      <c r="L417" s="141"/>
    </row>
    <row r="418" spans="1:14" ht="20.100000000000001" customHeight="1" x14ac:dyDescent="0.25">
      <c r="A418" s="126">
        <v>42473</v>
      </c>
      <c r="B418" s="71" t="s">
        <v>299</v>
      </c>
      <c r="C418" s="220" t="s">
        <v>16</v>
      </c>
      <c r="D418" s="207">
        <v>0</v>
      </c>
      <c r="E418" s="207">
        <v>0.22</v>
      </c>
      <c r="F418" s="207">
        <v>0.35</v>
      </c>
      <c r="G418" s="171"/>
      <c r="H418" s="207">
        <v>0.01</v>
      </c>
      <c r="I418" s="207">
        <v>0.02</v>
      </c>
      <c r="J418" s="207">
        <v>0.15</v>
      </c>
      <c r="K418" s="220" t="s">
        <v>298</v>
      </c>
      <c r="L418" s="141">
        <v>12217.5</v>
      </c>
    </row>
    <row r="419" spans="1:14" ht="20.100000000000001" customHeight="1" x14ac:dyDescent="0.25">
      <c r="A419" s="126">
        <v>42474</v>
      </c>
      <c r="B419" s="71" t="s">
        <v>66</v>
      </c>
      <c r="C419" s="220" t="s">
        <v>95</v>
      </c>
      <c r="D419" s="207">
        <v>0.03</v>
      </c>
      <c r="E419" s="207" t="s">
        <v>300</v>
      </c>
      <c r="F419" s="207">
        <v>0.46</v>
      </c>
      <c r="G419" s="171"/>
      <c r="H419" s="207">
        <v>0.01</v>
      </c>
      <c r="I419" s="207">
        <v>0.02</v>
      </c>
      <c r="J419" s="207">
        <v>0.15</v>
      </c>
      <c r="K419" s="220" t="s">
        <v>297</v>
      </c>
      <c r="L419" s="141"/>
    </row>
    <row r="420" spans="1:14" ht="20.100000000000001" customHeight="1" x14ac:dyDescent="0.25">
      <c r="A420" s="126">
        <v>42475</v>
      </c>
      <c r="B420" s="71" t="s">
        <v>66</v>
      </c>
      <c r="C420" s="220" t="s">
        <v>83</v>
      </c>
      <c r="D420" s="207">
        <v>0</v>
      </c>
      <c r="E420" s="207">
        <v>0.18</v>
      </c>
      <c r="F420" s="207">
        <v>0.21</v>
      </c>
      <c r="G420" s="171"/>
      <c r="H420" s="207">
        <v>0.02</v>
      </c>
      <c r="I420" s="207">
        <v>0.01</v>
      </c>
      <c r="J420" s="207">
        <v>0.13</v>
      </c>
      <c r="K420" s="220" t="s">
        <v>298</v>
      </c>
      <c r="L420" s="141">
        <v>12220.3</v>
      </c>
      <c r="M420" s="148">
        <f>L420-L418</f>
        <v>2.7999999999992724</v>
      </c>
      <c r="N420" s="187" t="s">
        <v>330</v>
      </c>
    </row>
    <row r="421" spans="1:14" ht="20.100000000000001" customHeight="1" x14ac:dyDescent="0.25">
      <c r="A421" s="126">
        <v>42476</v>
      </c>
      <c r="B421" s="134" t="s">
        <v>93</v>
      </c>
      <c r="C421" s="135"/>
      <c r="D421" s="300" t="s">
        <v>334</v>
      </c>
      <c r="E421" s="301"/>
      <c r="F421" s="302"/>
      <c r="G421" s="171"/>
      <c r="H421" s="207"/>
      <c r="I421" s="207"/>
      <c r="J421" s="207"/>
      <c r="K421" s="220"/>
      <c r="L421" s="141"/>
    </row>
    <row r="422" spans="1:14" ht="20.100000000000001" customHeight="1" x14ac:dyDescent="0.25">
      <c r="A422" s="126">
        <v>42477</v>
      </c>
      <c r="B422" s="134" t="s">
        <v>94</v>
      </c>
      <c r="C422" s="135"/>
      <c r="D422" s="300" t="s">
        <v>334</v>
      </c>
      <c r="E422" s="301"/>
      <c r="F422" s="302"/>
      <c r="G422" s="171"/>
      <c r="H422" s="207"/>
      <c r="I422" s="207"/>
      <c r="J422" s="207"/>
      <c r="K422" s="220"/>
      <c r="L422" s="141"/>
    </row>
    <row r="423" spans="1:14" ht="20.100000000000001" customHeight="1" x14ac:dyDescent="0.25">
      <c r="A423" s="126">
        <v>42478</v>
      </c>
      <c r="B423" s="71" t="s">
        <v>66</v>
      </c>
      <c r="C423" s="220" t="s">
        <v>95</v>
      </c>
      <c r="D423" s="207">
        <v>0.02</v>
      </c>
      <c r="E423" s="207">
        <v>0.38</v>
      </c>
      <c r="F423" s="207">
        <v>0.38</v>
      </c>
      <c r="G423" s="171"/>
      <c r="H423" s="207">
        <v>0</v>
      </c>
      <c r="I423" s="207">
        <v>0.01</v>
      </c>
      <c r="J423" s="207">
        <v>0.03</v>
      </c>
      <c r="K423" s="220" t="s">
        <v>298</v>
      </c>
      <c r="L423" s="141">
        <v>12227.9</v>
      </c>
      <c r="M423" s="148">
        <f>L423-L420</f>
        <v>7.6000000000003638</v>
      </c>
      <c r="N423" s="187" t="s">
        <v>330</v>
      </c>
    </row>
    <row r="424" spans="1:14" ht="20.100000000000001" customHeight="1" x14ac:dyDescent="0.25">
      <c r="A424" s="126">
        <v>42478</v>
      </c>
      <c r="B424" s="71" t="s">
        <v>184</v>
      </c>
      <c r="C424" s="220" t="s">
        <v>16</v>
      </c>
      <c r="D424" s="207">
        <v>0.01</v>
      </c>
      <c r="E424" s="207">
        <v>0.41</v>
      </c>
      <c r="F424" s="207">
        <v>0.43</v>
      </c>
      <c r="G424" s="171"/>
      <c r="H424" s="207">
        <v>0</v>
      </c>
      <c r="I424" s="207">
        <v>0.04</v>
      </c>
      <c r="J424" s="207">
        <v>0.1</v>
      </c>
      <c r="K424" s="220"/>
      <c r="L424" s="141"/>
    </row>
    <row r="425" spans="1:14" ht="20.100000000000001" customHeight="1" x14ac:dyDescent="0.25">
      <c r="A425" s="126">
        <v>42479</v>
      </c>
      <c r="B425" s="71" t="s">
        <v>73</v>
      </c>
      <c r="C425" s="220" t="s">
        <v>95</v>
      </c>
      <c r="D425" s="207">
        <v>0.03</v>
      </c>
      <c r="E425" s="207">
        <v>0.36</v>
      </c>
      <c r="F425" s="207">
        <v>0.35</v>
      </c>
      <c r="G425" s="171"/>
      <c r="H425" s="207">
        <v>0.02</v>
      </c>
      <c r="I425" s="207">
        <v>0</v>
      </c>
      <c r="J425" s="207">
        <v>0.04</v>
      </c>
      <c r="K425" s="220" t="s">
        <v>297</v>
      </c>
      <c r="L425" s="141"/>
    </row>
    <row r="426" spans="1:14" ht="20.100000000000001" customHeight="1" x14ac:dyDescent="0.25">
      <c r="A426" s="126">
        <v>42480</v>
      </c>
      <c r="B426" s="71" t="s">
        <v>73</v>
      </c>
      <c r="C426" s="220" t="s">
        <v>95</v>
      </c>
      <c r="D426" s="207">
        <v>0.04</v>
      </c>
      <c r="E426" s="207">
        <v>0.44</v>
      </c>
      <c r="F426" s="207">
        <v>0.34</v>
      </c>
      <c r="G426" s="171"/>
      <c r="H426" s="207">
        <v>0.02</v>
      </c>
      <c r="I426" s="207">
        <v>0.05</v>
      </c>
      <c r="J426" s="207">
        <v>0</v>
      </c>
      <c r="K426" s="220" t="s">
        <v>297</v>
      </c>
      <c r="L426" s="141"/>
    </row>
    <row r="427" spans="1:14" ht="20.100000000000001" customHeight="1" x14ac:dyDescent="0.25">
      <c r="A427" s="126">
        <v>42480</v>
      </c>
      <c r="B427" s="71" t="s">
        <v>184</v>
      </c>
      <c r="C427" s="220" t="s">
        <v>16</v>
      </c>
      <c r="D427" s="207">
        <v>0.02</v>
      </c>
      <c r="E427" s="207">
        <v>0.34</v>
      </c>
      <c r="F427" s="207">
        <v>0.42</v>
      </c>
      <c r="G427" s="171"/>
      <c r="H427" s="207">
        <v>0.01</v>
      </c>
      <c r="I427" s="207">
        <v>0.01</v>
      </c>
      <c r="J427" s="207">
        <v>0.09</v>
      </c>
      <c r="K427" s="220" t="s">
        <v>297</v>
      </c>
      <c r="L427" s="141"/>
    </row>
    <row r="428" spans="1:14" ht="20.100000000000001" customHeight="1" x14ac:dyDescent="0.25">
      <c r="A428" s="126">
        <v>42481</v>
      </c>
      <c r="B428" s="71" t="s">
        <v>73</v>
      </c>
      <c r="C428" s="220" t="s">
        <v>95</v>
      </c>
      <c r="D428" s="207">
        <v>0.01</v>
      </c>
      <c r="E428" s="207">
        <v>0.31</v>
      </c>
      <c r="F428" s="207">
        <v>0.31</v>
      </c>
      <c r="G428" s="171"/>
      <c r="H428" s="207">
        <v>0.02</v>
      </c>
      <c r="I428" s="207">
        <v>0</v>
      </c>
      <c r="J428" s="207">
        <v>0.09</v>
      </c>
      <c r="K428" s="220" t="s">
        <v>297</v>
      </c>
      <c r="L428" s="141"/>
    </row>
    <row r="429" spans="1:14" ht="20.100000000000001" customHeight="1" x14ac:dyDescent="0.25">
      <c r="A429" s="126">
        <v>42481</v>
      </c>
      <c r="B429" s="71" t="s">
        <v>275</v>
      </c>
      <c r="C429" s="220" t="s">
        <v>16</v>
      </c>
      <c r="D429" s="207">
        <v>0.02</v>
      </c>
      <c r="E429" s="207">
        <v>0.59</v>
      </c>
      <c r="F429" s="207">
        <v>0.81</v>
      </c>
      <c r="G429" s="171"/>
      <c r="H429" s="207">
        <v>0.01</v>
      </c>
      <c r="I429" s="207">
        <v>0.16</v>
      </c>
      <c r="J429" s="207">
        <v>0.19</v>
      </c>
      <c r="K429" s="220" t="s">
        <v>297</v>
      </c>
      <c r="L429" s="141">
        <v>12242.9</v>
      </c>
    </row>
    <row r="430" spans="1:14" ht="20.100000000000001" customHeight="1" x14ac:dyDescent="0.25">
      <c r="A430" s="126" t="s">
        <v>303</v>
      </c>
      <c r="B430" s="71"/>
      <c r="C430" s="285" t="s">
        <v>304</v>
      </c>
      <c r="D430" s="286"/>
      <c r="E430" s="286"/>
      <c r="F430" s="287"/>
      <c r="G430" s="171"/>
      <c r="H430" s="288" t="s">
        <v>305</v>
      </c>
      <c r="I430" s="289"/>
      <c r="J430" s="289"/>
      <c r="K430" s="290"/>
      <c r="L430" s="141"/>
    </row>
    <row r="431" spans="1:14" ht="20.100000000000001" customHeight="1" x14ac:dyDescent="0.25">
      <c r="A431" s="126">
        <v>42482</v>
      </c>
      <c r="B431" s="71" t="s">
        <v>250</v>
      </c>
      <c r="C431" s="220" t="s">
        <v>95</v>
      </c>
      <c r="D431" s="207">
        <v>0.02</v>
      </c>
      <c r="E431" s="207">
        <v>0.32</v>
      </c>
      <c r="F431" s="207">
        <v>0.3</v>
      </c>
      <c r="G431" s="171"/>
      <c r="H431" s="207">
        <v>0.01</v>
      </c>
      <c r="I431" s="207">
        <v>0.02</v>
      </c>
      <c r="J431" s="207">
        <v>0.02</v>
      </c>
      <c r="K431" s="220" t="s">
        <v>298</v>
      </c>
      <c r="L431" s="141">
        <v>12243.2</v>
      </c>
      <c r="M431" s="148">
        <f>L431-L429</f>
        <v>0.30000000000109139</v>
      </c>
      <c r="N431" s="187" t="s">
        <v>330</v>
      </c>
    </row>
    <row r="432" spans="1:14" ht="20.100000000000001" customHeight="1" x14ac:dyDescent="0.25">
      <c r="A432" s="126">
        <v>42482</v>
      </c>
      <c r="B432" s="71" t="s">
        <v>156</v>
      </c>
      <c r="C432" s="220" t="s">
        <v>16</v>
      </c>
      <c r="D432" s="207">
        <v>0.05</v>
      </c>
      <c r="E432" s="207">
        <v>0.32</v>
      </c>
      <c r="F432" s="207">
        <v>0.46</v>
      </c>
      <c r="G432" s="171"/>
      <c r="H432" s="207">
        <v>0.02</v>
      </c>
      <c r="I432" s="207">
        <v>0.08</v>
      </c>
      <c r="J432" s="207">
        <v>0.31</v>
      </c>
      <c r="K432" s="220" t="s">
        <v>298</v>
      </c>
      <c r="L432" s="141">
        <v>12245.9</v>
      </c>
      <c r="M432" s="148">
        <f>L432-L431</f>
        <v>2.6999999999989086</v>
      </c>
      <c r="N432" s="187" t="s">
        <v>330</v>
      </c>
    </row>
    <row r="433" spans="1:14" ht="20.100000000000001" customHeight="1" x14ac:dyDescent="0.25">
      <c r="A433" s="126">
        <v>42483</v>
      </c>
      <c r="B433" s="134" t="s">
        <v>93</v>
      </c>
      <c r="C433" s="135"/>
      <c r="D433" s="300" t="s">
        <v>334</v>
      </c>
      <c r="E433" s="301"/>
      <c r="F433" s="302"/>
      <c r="G433" s="171"/>
      <c r="H433" s="207"/>
      <c r="I433" s="207"/>
      <c r="J433" s="207"/>
      <c r="K433" s="220"/>
      <c r="L433" s="141"/>
    </row>
    <row r="434" spans="1:14" ht="20.100000000000001" customHeight="1" x14ac:dyDescent="0.25">
      <c r="A434" s="126">
        <v>42484</v>
      </c>
      <c r="B434" s="134" t="s">
        <v>94</v>
      </c>
      <c r="C434" s="135"/>
      <c r="D434" s="300" t="s">
        <v>334</v>
      </c>
      <c r="E434" s="301"/>
      <c r="F434" s="302"/>
      <c r="G434" s="171"/>
      <c r="H434" s="207"/>
      <c r="I434" s="207"/>
      <c r="J434" s="207"/>
      <c r="K434" s="220"/>
      <c r="L434" s="141"/>
    </row>
    <row r="435" spans="1:14" ht="20.100000000000001" customHeight="1" x14ac:dyDescent="0.25">
      <c r="A435" s="126">
        <v>42485</v>
      </c>
      <c r="B435" s="71" t="s">
        <v>75</v>
      </c>
      <c r="C435" s="220" t="s">
        <v>95</v>
      </c>
      <c r="D435" s="207">
        <v>0.01</v>
      </c>
      <c r="E435" s="207">
        <v>0.23</v>
      </c>
      <c r="F435" s="207">
        <v>0.11</v>
      </c>
      <c r="G435" s="171"/>
      <c r="H435" s="207">
        <v>0</v>
      </c>
      <c r="I435" s="207">
        <v>0.01</v>
      </c>
      <c r="J435" s="207">
        <v>0</v>
      </c>
      <c r="K435" s="220" t="s">
        <v>297</v>
      </c>
      <c r="L435" s="141"/>
    </row>
    <row r="436" spans="1:14" ht="20.100000000000001" customHeight="1" x14ac:dyDescent="0.25">
      <c r="A436" s="126">
        <v>42485</v>
      </c>
      <c r="B436" s="71" t="s">
        <v>164</v>
      </c>
      <c r="C436" s="220" t="s">
        <v>16</v>
      </c>
      <c r="D436" s="207">
        <v>0.04</v>
      </c>
      <c r="E436" s="207">
        <v>0.28000000000000003</v>
      </c>
      <c r="F436" s="207">
        <v>0.38</v>
      </c>
      <c r="G436" s="171"/>
      <c r="H436" s="207">
        <v>0</v>
      </c>
      <c r="I436" s="207">
        <v>0.06</v>
      </c>
      <c r="J436" s="207">
        <v>0.08</v>
      </c>
      <c r="K436" s="220" t="s">
        <v>298</v>
      </c>
      <c r="L436" s="141">
        <v>12251.9</v>
      </c>
      <c r="M436" s="148">
        <f>L436-L432</f>
        <v>6</v>
      </c>
      <c r="N436" s="187" t="s">
        <v>330</v>
      </c>
    </row>
    <row r="437" spans="1:14" ht="20.100000000000001" customHeight="1" x14ac:dyDescent="0.25">
      <c r="A437" s="126">
        <v>42486</v>
      </c>
      <c r="B437" s="297" t="s">
        <v>306</v>
      </c>
      <c r="C437" s="298"/>
      <c r="D437" s="298"/>
      <c r="E437" s="298"/>
      <c r="F437" s="299"/>
      <c r="G437" s="171"/>
      <c r="H437" s="207"/>
      <c r="I437" s="207"/>
      <c r="J437" s="207"/>
      <c r="K437" s="220"/>
      <c r="L437" s="141"/>
    </row>
    <row r="438" spans="1:14" ht="20.100000000000001" customHeight="1" x14ac:dyDescent="0.25">
      <c r="A438" s="126">
        <v>42487</v>
      </c>
      <c r="B438" s="297" t="s">
        <v>307</v>
      </c>
      <c r="C438" s="298"/>
      <c r="D438" s="298"/>
      <c r="E438" s="298"/>
      <c r="F438" s="299"/>
      <c r="G438" s="171"/>
      <c r="H438" s="207"/>
      <c r="I438" s="207"/>
      <c r="J438" s="207"/>
      <c r="K438" s="220"/>
      <c r="L438" s="141"/>
    </row>
    <row r="439" spans="1:14" ht="20.100000000000001" customHeight="1" x14ac:dyDescent="0.25">
      <c r="A439" s="126">
        <v>42488</v>
      </c>
      <c r="B439" s="297" t="s">
        <v>308</v>
      </c>
      <c r="C439" s="298"/>
      <c r="D439" s="298"/>
      <c r="E439" s="298"/>
      <c r="F439" s="299"/>
      <c r="G439" s="171"/>
      <c r="H439" s="207"/>
      <c r="I439" s="207"/>
      <c r="J439" s="207"/>
      <c r="K439" s="220"/>
      <c r="L439" s="141"/>
    </row>
    <row r="440" spans="1:14" ht="20.100000000000001" customHeight="1" x14ac:dyDescent="0.25">
      <c r="A440" s="126">
        <v>42489</v>
      </c>
      <c r="B440" s="297" t="s">
        <v>309</v>
      </c>
      <c r="C440" s="298"/>
      <c r="D440" s="298"/>
      <c r="E440" s="298"/>
      <c r="F440" s="299"/>
      <c r="G440" s="171"/>
      <c r="H440" s="207">
        <v>0.24</v>
      </c>
      <c r="I440" s="207">
        <v>0.68</v>
      </c>
      <c r="J440" s="207">
        <v>0.34</v>
      </c>
      <c r="K440" s="220"/>
      <c r="L440" s="141"/>
    </row>
    <row r="441" spans="1:14" ht="20.100000000000001" customHeight="1" x14ac:dyDescent="0.25">
      <c r="A441" s="126">
        <v>42489</v>
      </c>
      <c r="B441" s="71" t="s">
        <v>310</v>
      </c>
      <c r="C441" s="220" t="s">
        <v>16</v>
      </c>
      <c r="D441" s="207">
        <v>0.18</v>
      </c>
      <c r="E441" s="207">
        <v>0.43</v>
      </c>
      <c r="F441" s="207">
        <v>0.38</v>
      </c>
      <c r="G441" s="171"/>
      <c r="H441" s="207">
        <v>0.19</v>
      </c>
      <c r="I441" s="207">
        <v>0.39</v>
      </c>
      <c r="J441" s="207">
        <v>0.23</v>
      </c>
      <c r="K441" s="220" t="s">
        <v>298</v>
      </c>
      <c r="L441" s="141">
        <v>12328.7</v>
      </c>
      <c r="M441" s="148">
        <f>L441-L436</f>
        <v>76.800000000001091</v>
      </c>
      <c r="N441" s="187" t="s">
        <v>330</v>
      </c>
    </row>
    <row r="442" spans="1:14" ht="20.100000000000001" customHeight="1" x14ac:dyDescent="0.25">
      <c r="A442" s="126">
        <v>42490</v>
      </c>
      <c r="B442" s="134" t="s">
        <v>93</v>
      </c>
      <c r="C442" s="135"/>
      <c r="D442" s="300" t="s">
        <v>334</v>
      </c>
      <c r="E442" s="301"/>
      <c r="F442" s="302"/>
      <c r="G442" s="171"/>
      <c r="H442" s="207"/>
      <c r="I442" s="207"/>
      <c r="J442" s="207"/>
      <c r="K442" s="220"/>
      <c r="L442" s="141"/>
    </row>
    <row r="443" spans="1:14" ht="20.100000000000001" customHeight="1" x14ac:dyDescent="0.25">
      <c r="A443" s="126">
        <v>42491</v>
      </c>
      <c r="B443" s="134" t="s">
        <v>94</v>
      </c>
      <c r="C443" s="135"/>
      <c r="D443" s="300" t="s">
        <v>334</v>
      </c>
      <c r="E443" s="301"/>
      <c r="F443" s="302"/>
      <c r="G443" s="171"/>
      <c r="H443" s="207"/>
      <c r="I443" s="207"/>
      <c r="J443" s="207"/>
      <c r="K443" s="220"/>
      <c r="L443" s="141"/>
    </row>
    <row r="444" spans="1:14" ht="20.100000000000001" customHeight="1" x14ac:dyDescent="0.25">
      <c r="A444" s="126">
        <v>42492</v>
      </c>
      <c r="B444" s="73" t="s">
        <v>103</v>
      </c>
      <c r="C444" s="211"/>
      <c r="D444" s="306" t="s">
        <v>334</v>
      </c>
      <c r="E444" s="307"/>
      <c r="F444" s="308"/>
      <c r="G444" s="171"/>
      <c r="H444" s="207"/>
      <c r="I444" s="207"/>
      <c r="J444" s="207"/>
      <c r="K444" s="220"/>
      <c r="L444" s="141"/>
    </row>
    <row r="445" spans="1:14" ht="20.100000000000001" customHeight="1" x14ac:dyDescent="0.25">
      <c r="A445" s="126">
        <v>42493</v>
      </c>
      <c r="B445" s="71" t="s">
        <v>276</v>
      </c>
      <c r="C445" s="220" t="s">
        <v>16</v>
      </c>
      <c r="D445" s="207" t="s">
        <v>81</v>
      </c>
      <c r="E445" s="207" t="s">
        <v>81</v>
      </c>
      <c r="F445" s="207">
        <v>0.04</v>
      </c>
      <c r="G445" s="171"/>
      <c r="H445" s="207" t="s">
        <v>81</v>
      </c>
      <c r="I445" s="207" t="s">
        <v>81</v>
      </c>
      <c r="J445" s="207">
        <v>0.08</v>
      </c>
      <c r="K445" s="220" t="s">
        <v>297</v>
      </c>
      <c r="L445" s="141"/>
    </row>
    <row r="446" spans="1:14" ht="20.100000000000001" customHeight="1" x14ac:dyDescent="0.25">
      <c r="A446" s="126">
        <v>42493</v>
      </c>
      <c r="B446" s="71" t="s">
        <v>156</v>
      </c>
      <c r="C446" s="220" t="s">
        <v>16</v>
      </c>
      <c r="D446" s="207">
        <v>0.03</v>
      </c>
      <c r="E446" s="207">
        <v>0.45</v>
      </c>
      <c r="F446" s="207">
        <v>0.37</v>
      </c>
      <c r="G446" s="171"/>
      <c r="H446" s="207">
        <v>0.01</v>
      </c>
      <c r="I446" s="207">
        <v>0.02</v>
      </c>
      <c r="J446" s="207">
        <v>0.05</v>
      </c>
      <c r="K446" s="220" t="s">
        <v>298</v>
      </c>
      <c r="L446" s="141">
        <v>12332.1</v>
      </c>
      <c r="M446" s="148">
        <f>L446-L441</f>
        <v>3.3999999999996362</v>
      </c>
      <c r="N446" s="187" t="s">
        <v>330</v>
      </c>
    </row>
    <row r="447" spans="1:14" ht="20.100000000000001" customHeight="1" x14ac:dyDescent="0.25">
      <c r="A447" s="126">
        <v>42494</v>
      </c>
      <c r="B447" s="71" t="s">
        <v>223</v>
      </c>
      <c r="C447" s="220" t="s">
        <v>16</v>
      </c>
      <c r="D447" s="207">
        <v>0.01</v>
      </c>
      <c r="E447" s="207">
        <v>0.4</v>
      </c>
      <c r="F447" s="207">
        <v>0.36</v>
      </c>
      <c r="G447" s="171"/>
      <c r="H447" s="207">
        <v>0.01</v>
      </c>
      <c r="I447" s="207">
        <v>0.03</v>
      </c>
      <c r="J447" s="207">
        <v>0.02</v>
      </c>
      <c r="K447" s="220" t="s">
        <v>297</v>
      </c>
      <c r="L447" s="141"/>
    </row>
    <row r="448" spans="1:14" ht="20.100000000000001" customHeight="1" x14ac:dyDescent="0.25">
      <c r="A448" s="126">
        <v>42494</v>
      </c>
      <c r="B448" s="71" t="s">
        <v>154</v>
      </c>
      <c r="C448" s="220" t="s">
        <v>16</v>
      </c>
      <c r="D448" s="207">
        <v>0.05</v>
      </c>
      <c r="E448" s="207">
        <v>0.38</v>
      </c>
      <c r="F448" s="207">
        <v>0.3</v>
      </c>
      <c r="G448" s="171"/>
      <c r="H448" s="207">
        <v>0</v>
      </c>
      <c r="I448" s="207">
        <v>0.01</v>
      </c>
      <c r="J448" s="207">
        <v>0.01</v>
      </c>
      <c r="K448" s="220" t="s">
        <v>298</v>
      </c>
      <c r="L448" s="141">
        <v>12337.4</v>
      </c>
      <c r="M448" s="148">
        <f>L448-L446</f>
        <v>5.2999999999992724</v>
      </c>
      <c r="N448" s="187" t="s">
        <v>330</v>
      </c>
    </row>
    <row r="449" spans="1:14" ht="20.100000000000001" customHeight="1" x14ac:dyDescent="0.25">
      <c r="A449" s="126">
        <v>42495</v>
      </c>
      <c r="B449" s="71" t="s">
        <v>163</v>
      </c>
      <c r="C449" s="220" t="s">
        <v>16</v>
      </c>
      <c r="D449" s="207">
        <v>0.02</v>
      </c>
      <c r="E449" s="207">
        <v>0.34</v>
      </c>
      <c r="F449" s="207">
        <v>0.39</v>
      </c>
      <c r="G449" s="171"/>
      <c r="H449" s="207">
        <v>0</v>
      </c>
      <c r="I449" s="207">
        <v>0.02</v>
      </c>
      <c r="J449" s="207">
        <v>0.06</v>
      </c>
      <c r="K449" s="220" t="s">
        <v>297</v>
      </c>
      <c r="L449" s="141"/>
    </row>
    <row r="450" spans="1:14" ht="20.100000000000001" customHeight="1" x14ac:dyDescent="0.25">
      <c r="A450" s="126">
        <v>42495</v>
      </c>
      <c r="B450" s="71" t="s">
        <v>265</v>
      </c>
      <c r="C450" s="220" t="s">
        <v>16</v>
      </c>
      <c r="D450" s="207">
        <v>0.01</v>
      </c>
      <c r="E450" s="207">
        <v>0.37</v>
      </c>
      <c r="F450" s="207">
        <v>0.36</v>
      </c>
      <c r="G450" s="171"/>
      <c r="H450" s="207">
        <v>0</v>
      </c>
      <c r="I450" s="207">
        <v>0.01</v>
      </c>
      <c r="J450" s="207">
        <v>0.15</v>
      </c>
      <c r="K450" s="220" t="s">
        <v>298</v>
      </c>
      <c r="L450" s="141">
        <v>12342.4</v>
      </c>
      <c r="M450" s="148">
        <f>L450-L448</f>
        <v>5</v>
      </c>
      <c r="N450" s="187" t="s">
        <v>330</v>
      </c>
    </row>
    <row r="451" spans="1:14" ht="20.100000000000001" customHeight="1" x14ac:dyDescent="0.25">
      <c r="A451" s="126">
        <v>42496</v>
      </c>
      <c r="B451" s="71" t="s">
        <v>63</v>
      </c>
      <c r="C451" s="220" t="s">
        <v>16</v>
      </c>
      <c r="D451" s="207">
        <v>0.01</v>
      </c>
      <c r="E451" s="207">
        <v>0.33</v>
      </c>
      <c r="F451" s="207">
        <v>0.4</v>
      </c>
      <c r="G451" s="171"/>
      <c r="H451" s="207">
        <v>0</v>
      </c>
      <c r="I451" s="207">
        <v>0.03</v>
      </c>
      <c r="J451" s="207">
        <v>0.1</v>
      </c>
      <c r="K451" s="220" t="s">
        <v>297</v>
      </c>
      <c r="L451" s="141"/>
    </row>
    <row r="452" spans="1:14" ht="20.100000000000001" customHeight="1" x14ac:dyDescent="0.25">
      <c r="A452" s="126">
        <v>42496</v>
      </c>
      <c r="B452" s="71" t="s">
        <v>225</v>
      </c>
      <c r="C452" s="220" t="s">
        <v>16</v>
      </c>
      <c r="D452" s="207">
        <v>0.01</v>
      </c>
      <c r="E452" s="207">
        <v>0.36</v>
      </c>
      <c r="F452" s="207">
        <v>0.37</v>
      </c>
      <c r="G452" s="171"/>
      <c r="H452" s="207">
        <v>0</v>
      </c>
      <c r="I452" s="207">
        <v>0.02</v>
      </c>
      <c r="J452" s="207">
        <v>0.17</v>
      </c>
      <c r="K452" s="220" t="s">
        <v>298</v>
      </c>
      <c r="L452" s="141">
        <v>12346</v>
      </c>
      <c r="M452" s="148">
        <f>L452-L450</f>
        <v>3.6000000000003638</v>
      </c>
      <c r="N452" s="187" t="s">
        <v>330</v>
      </c>
    </row>
    <row r="453" spans="1:14" ht="20.100000000000001" customHeight="1" x14ac:dyDescent="0.25">
      <c r="A453" s="126">
        <v>42497</v>
      </c>
      <c r="B453" s="134" t="s">
        <v>93</v>
      </c>
      <c r="C453" s="135"/>
      <c r="D453" s="300" t="s">
        <v>334</v>
      </c>
      <c r="E453" s="301"/>
      <c r="F453" s="302"/>
      <c r="G453" s="171"/>
      <c r="H453" s="207"/>
      <c r="I453" s="207"/>
      <c r="J453" s="207"/>
      <c r="K453" s="220"/>
      <c r="L453" s="141"/>
    </row>
    <row r="454" spans="1:14" ht="20.100000000000001" customHeight="1" x14ac:dyDescent="0.25">
      <c r="A454" s="126">
        <v>42498</v>
      </c>
      <c r="B454" s="134" t="s">
        <v>94</v>
      </c>
      <c r="C454" s="135"/>
      <c r="D454" s="300" t="s">
        <v>334</v>
      </c>
      <c r="E454" s="301"/>
      <c r="F454" s="302"/>
      <c r="G454" s="171"/>
      <c r="H454" s="207"/>
      <c r="I454" s="207"/>
      <c r="J454" s="207"/>
      <c r="K454" s="220"/>
      <c r="L454" s="141"/>
    </row>
    <row r="455" spans="1:14" ht="20.100000000000001" customHeight="1" x14ac:dyDescent="0.25">
      <c r="A455" s="126">
        <v>42499</v>
      </c>
      <c r="B455" s="71" t="s">
        <v>72</v>
      </c>
      <c r="C455" s="220" t="s">
        <v>16</v>
      </c>
      <c r="D455" s="207">
        <v>0.05</v>
      </c>
      <c r="E455" s="207">
        <v>0.28999999999999998</v>
      </c>
      <c r="F455" s="207">
        <v>0.32</v>
      </c>
      <c r="G455" s="171"/>
      <c r="H455" s="207">
        <v>0</v>
      </c>
      <c r="I455" s="207">
        <v>0.01</v>
      </c>
      <c r="J455" s="207">
        <v>0.02</v>
      </c>
      <c r="K455" s="220" t="s">
        <v>297</v>
      </c>
      <c r="L455" s="141"/>
    </row>
    <row r="456" spans="1:14" ht="20.100000000000001" customHeight="1" x14ac:dyDescent="0.25">
      <c r="A456" s="126">
        <v>42499</v>
      </c>
      <c r="B456" s="71" t="s">
        <v>183</v>
      </c>
      <c r="C456" s="220" t="s">
        <v>16</v>
      </c>
      <c r="D456" s="207">
        <v>0.01</v>
      </c>
      <c r="E456" s="207">
        <v>0.28999999999999998</v>
      </c>
      <c r="F456" s="207">
        <v>0.31</v>
      </c>
      <c r="G456" s="171"/>
      <c r="H456" s="207">
        <v>0.01</v>
      </c>
      <c r="I456" s="207">
        <v>7.0000000000000007E-2</v>
      </c>
      <c r="J456" s="207">
        <v>0.11</v>
      </c>
      <c r="K456" s="220" t="s">
        <v>298</v>
      </c>
      <c r="L456" s="141">
        <v>12352</v>
      </c>
      <c r="M456" s="148">
        <f>L456-L452</f>
        <v>6</v>
      </c>
      <c r="N456" s="187" t="s">
        <v>330</v>
      </c>
    </row>
    <row r="457" spans="1:14" ht="20.100000000000001" customHeight="1" x14ac:dyDescent="0.25">
      <c r="A457" s="126">
        <v>42500</v>
      </c>
      <c r="B457" s="71" t="s">
        <v>63</v>
      </c>
      <c r="C457" s="220" t="s">
        <v>16</v>
      </c>
      <c r="D457" s="207">
        <v>0.1</v>
      </c>
      <c r="E457" s="207">
        <v>0.27</v>
      </c>
      <c r="F457" s="207">
        <v>0.39</v>
      </c>
      <c r="G457" s="171"/>
      <c r="H457" s="207">
        <v>7.0000000000000007E-2</v>
      </c>
      <c r="I457" s="207">
        <v>0.04</v>
      </c>
      <c r="J457" s="207">
        <v>0.01</v>
      </c>
      <c r="K457" s="220" t="s">
        <v>297</v>
      </c>
      <c r="L457" s="141"/>
    </row>
    <row r="458" spans="1:14" ht="20.100000000000001" customHeight="1" x14ac:dyDescent="0.25">
      <c r="A458" s="126">
        <v>42500</v>
      </c>
      <c r="B458" s="71" t="s">
        <v>158</v>
      </c>
      <c r="C458" s="220" t="s">
        <v>16</v>
      </c>
      <c r="D458" s="207" t="s">
        <v>81</v>
      </c>
      <c r="E458" s="207">
        <v>0.27</v>
      </c>
      <c r="F458" s="207">
        <v>0.28000000000000003</v>
      </c>
      <c r="G458" s="171"/>
      <c r="H458" s="207" t="s">
        <v>81</v>
      </c>
      <c r="I458" s="207" t="s">
        <v>81</v>
      </c>
      <c r="J458" s="207">
        <v>0.1</v>
      </c>
      <c r="K458" s="220" t="s">
        <v>298</v>
      </c>
      <c r="L458" s="141">
        <v>12355.4</v>
      </c>
      <c r="M458" s="148">
        <f>L458-L456</f>
        <v>3.3999999999996362</v>
      </c>
      <c r="N458" s="187" t="s">
        <v>330</v>
      </c>
    </row>
    <row r="459" spans="1:14" ht="20.100000000000001" customHeight="1" x14ac:dyDescent="0.25">
      <c r="A459" s="126">
        <v>42501</v>
      </c>
      <c r="B459" s="71" t="s">
        <v>264</v>
      </c>
      <c r="C459" s="220" t="s">
        <v>16</v>
      </c>
      <c r="D459" s="207">
        <v>0.05</v>
      </c>
      <c r="E459" s="207">
        <v>0.24</v>
      </c>
      <c r="F459" s="207">
        <v>0.27</v>
      </c>
      <c r="G459" s="171"/>
      <c r="H459" s="207">
        <v>0</v>
      </c>
      <c r="I459" s="207">
        <v>0.01</v>
      </c>
      <c r="J459" s="207">
        <v>0.08</v>
      </c>
      <c r="K459" s="220" t="s">
        <v>297</v>
      </c>
      <c r="L459" s="141"/>
    </row>
    <row r="460" spans="1:14" ht="20.100000000000001" customHeight="1" x14ac:dyDescent="0.25">
      <c r="A460" s="126">
        <v>42501</v>
      </c>
      <c r="B460" s="71" t="s">
        <v>265</v>
      </c>
      <c r="C460" s="220" t="s">
        <v>16</v>
      </c>
      <c r="D460" s="207">
        <v>0.04</v>
      </c>
      <c r="E460" s="207">
        <v>0.21</v>
      </c>
      <c r="F460" s="207">
        <v>0.4</v>
      </c>
      <c r="G460" s="171"/>
      <c r="H460" s="207">
        <v>0</v>
      </c>
      <c r="I460" s="207">
        <v>0.01</v>
      </c>
      <c r="J460" s="207">
        <v>0.17</v>
      </c>
      <c r="K460" s="220" t="s">
        <v>298</v>
      </c>
      <c r="L460" s="141">
        <v>12358</v>
      </c>
      <c r="M460" s="148">
        <f>L460-L458</f>
        <v>2.6000000000003638</v>
      </c>
      <c r="N460" s="187" t="s">
        <v>330</v>
      </c>
    </row>
    <row r="461" spans="1:14" ht="20.100000000000001" customHeight="1" x14ac:dyDescent="0.25">
      <c r="A461" s="126">
        <v>42502</v>
      </c>
      <c r="B461" s="71" t="s">
        <v>350</v>
      </c>
      <c r="C461" s="220" t="s">
        <v>16</v>
      </c>
      <c r="D461" s="207">
        <v>0.02</v>
      </c>
      <c r="E461" s="207">
        <v>0.21</v>
      </c>
      <c r="F461" s="207">
        <v>0.27</v>
      </c>
      <c r="G461" s="171"/>
      <c r="H461" s="207">
        <v>0</v>
      </c>
      <c r="I461" s="207">
        <v>0.02</v>
      </c>
      <c r="J461" s="207">
        <v>0.08</v>
      </c>
      <c r="K461" s="220" t="s">
        <v>297</v>
      </c>
      <c r="L461" s="141"/>
    </row>
    <row r="462" spans="1:14" ht="20.100000000000001" customHeight="1" x14ac:dyDescent="0.25">
      <c r="A462" s="126">
        <v>42502</v>
      </c>
      <c r="B462" s="71" t="s">
        <v>90</v>
      </c>
      <c r="C462" s="220" t="s">
        <v>16</v>
      </c>
      <c r="D462" s="306" t="s">
        <v>334</v>
      </c>
      <c r="E462" s="307"/>
      <c r="F462" s="308"/>
      <c r="G462" s="171"/>
      <c r="H462" s="207"/>
      <c r="I462" s="207"/>
      <c r="J462" s="207"/>
      <c r="K462" s="220" t="s">
        <v>298</v>
      </c>
      <c r="L462" s="141">
        <v>12362.1</v>
      </c>
      <c r="M462" s="148">
        <f>L462-L460</f>
        <v>4.1000000000003638</v>
      </c>
      <c r="N462" s="187" t="s">
        <v>330</v>
      </c>
    </row>
    <row r="463" spans="1:14" ht="20.100000000000001" customHeight="1" x14ac:dyDescent="0.25">
      <c r="A463" s="126">
        <v>42503</v>
      </c>
      <c r="B463" s="71" t="s">
        <v>273</v>
      </c>
      <c r="C463" s="220" t="s">
        <v>16</v>
      </c>
      <c r="D463" s="207">
        <v>0.02</v>
      </c>
      <c r="E463" s="207">
        <v>0.28000000000000003</v>
      </c>
      <c r="F463" s="207">
        <v>0.34</v>
      </c>
      <c r="G463" s="171"/>
      <c r="H463" s="207">
        <v>0</v>
      </c>
      <c r="I463" s="207">
        <v>0.01</v>
      </c>
      <c r="J463" s="207">
        <v>0.13</v>
      </c>
      <c r="K463" s="220" t="s">
        <v>298</v>
      </c>
      <c r="L463" s="141">
        <v>12362.5</v>
      </c>
      <c r="M463" s="148">
        <f>L463-L462</f>
        <v>0.3999999999996362</v>
      </c>
      <c r="N463" s="187" t="s">
        <v>330</v>
      </c>
    </row>
    <row r="464" spans="1:14" ht="20.100000000000001" customHeight="1" x14ac:dyDescent="0.25">
      <c r="A464" s="126">
        <v>42504</v>
      </c>
      <c r="B464" s="134" t="s">
        <v>93</v>
      </c>
      <c r="C464" s="135"/>
      <c r="D464" s="300" t="s">
        <v>334</v>
      </c>
      <c r="E464" s="301"/>
      <c r="F464" s="302"/>
      <c r="G464" s="171"/>
      <c r="H464" s="207"/>
      <c r="I464" s="207"/>
      <c r="J464" s="207"/>
      <c r="K464" s="220"/>
      <c r="L464" s="141"/>
    </row>
    <row r="465" spans="1:14" ht="20.100000000000001" customHeight="1" x14ac:dyDescent="0.25">
      <c r="A465" s="126">
        <v>42505</v>
      </c>
      <c r="B465" s="134" t="s">
        <v>94</v>
      </c>
      <c r="C465" s="135"/>
      <c r="D465" s="300" t="s">
        <v>334</v>
      </c>
      <c r="E465" s="301"/>
      <c r="F465" s="302"/>
      <c r="G465" s="171"/>
      <c r="H465" s="207"/>
      <c r="I465" s="207"/>
      <c r="J465" s="207"/>
      <c r="K465" s="220"/>
      <c r="L465" s="141"/>
    </row>
    <row r="466" spans="1:14" ht="20.100000000000001" customHeight="1" x14ac:dyDescent="0.25">
      <c r="A466" s="126">
        <v>42506</v>
      </c>
      <c r="B466" s="71" t="s">
        <v>351</v>
      </c>
      <c r="C466" s="220" t="s">
        <v>16</v>
      </c>
      <c r="D466" s="207">
        <v>0.01</v>
      </c>
      <c r="E466" s="207">
        <v>0.02</v>
      </c>
      <c r="F466" s="207">
        <v>0.24</v>
      </c>
      <c r="G466" s="171"/>
      <c r="H466" s="207">
        <v>0</v>
      </c>
      <c r="I466" s="207">
        <v>0.01</v>
      </c>
      <c r="J466" s="207">
        <v>0.15</v>
      </c>
      <c r="K466" s="220" t="s">
        <v>297</v>
      </c>
      <c r="L466" s="141"/>
    </row>
    <row r="467" spans="1:14" ht="20.100000000000001" customHeight="1" x14ac:dyDescent="0.25">
      <c r="A467" s="126">
        <v>42506</v>
      </c>
      <c r="B467" s="71" t="s">
        <v>159</v>
      </c>
      <c r="C467" s="220" t="s">
        <v>16</v>
      </c>
      <c r="D467" s="207">
        <v>0.01</v>
      </c>
      <c r="E467" s="207">
        <v>0.01</v>
      </c>
      <c r="F467" s="207">
        <v>0.12</v>
      </c>
      <c r="G467" s="171"/>
      <c r="H467" s="207">
        <v>0</v>
      </c>
      <c r="I467" s="207">
        <v>0.01</v>
      </c>
      <c r="J467" s="207">
        <v>0.04</v>
      </c>
      <c r="K467" s="220" t="s">
        <v>298</v>
      </c>
      <c r="L467" s="141">
        <v>12366.1</v>
      </c>
      <c r="M467" s="148">
        <f>L467-L463</f>
        <v>3.6000000000003638</v>
      </c>
      <c r="N467" s="187" t="s">
        <v>330</v>
      </c>
    </row>
    <row r="468" spans="1:14" ht="20.100000000000001" customHeight="1" x14ac:dyDescent="0.25">
      <c r="A468" s="126">
        <v>42507</v>
      </c>
      <c r="B468" s="71" t="s">
        <v>179</v>
      </c>
      <c r="C468" s="220" t="s">
        <v>16</v>
      </c>
      <c r="D468" s="207">
        <v>0.01</v>
      </c>
      <c r="E468" s="207">
        <v>0.05</v>
      </c>
      <c r="F468" s="207">
        <v>0.25</v>
      </c>
      <c r="G468" s="171"/>
      <c r="H468" s="207">
        <v>0</v>
      </c>
      <c r="I468" s="207">
        <v>0.02</v>
      </c>
      <c r="J468" s="207">
        <v>7.0000000000000007E-2</v>
      </c>
      <c r="K468" s="220" t="s">
        <v>297</v>
      </c>
      <c r="L468" s="141"/>
    </row>
    <row r="469" spans="1:14" ht="20.100000000000001" customHeight="1" x14ac:dyDescent="0.25">
      <c r="A469" s="126">
        <v>42507</v>
      </c>
      <c r="B469" s="71" t="s">
        <v>90</v>
      </c>
      <c r="C469" s="220" t="s">
        <v>16</v>
      </c>
      <c r="D469" s="288" t="s">
        <v>216</v>
      </c>
      <c r="E469" s="289"/>
      <c r="F469" s="290"/>
      <c r="G469" s="171"/>
      <c r="H469" s="207"/>
      <c r="I469" s="207"/>
      <c r="J469" s="207"/>
      <c r="K469" s="220"/>
      <c r="L469" s="141"/>
    </row>
    <row r="470" spans="1:14" ht="20.100000000000001" customHeight="1" x14ac:dyDescent="0.25">
      <c r="A470" s="126">
        <v>42507</v>
      </c>
      <c r="B470" s="71" t="s">
        <v>154</v>
      </c>
      <c r="C470" s="220" t="s">
        <v>16</v>
      </c>
      <c r="D470" s="207">
        <v>0.01</v>
      </c>
      <c r="E470" s="207">
        <v>0.4</v>
      </c>
      <c r="F470" s="207">
        <v>0.39</v>
      </c>
      <c r="G470" s="171"/>
      <c r="H470" s="288" t="s">
        <v>352</v>
      </c>
      <c r="I470" s="289"/>
      <c r="J470" s="289"/>
      <c r="K470" s="290"/>
      <c r="L470" s="141"/>
    </row>
    <row r="471" spans="1:14" ht="20.100000000000001" customHeight="1" x14ac:dyDescent="0.25">
      <c r="A471" s="126">
        <v>42508</v>
      </c>
      <c r="B471" s="71" t="s">
        <v>91</v>
      </c>
      <c r="C471" s="220" t="s">
        <v>16</v>
      </c>
      <c r="D471" s="207">
        <v>0.01</v>
      </c>
      <c r="E471" s="207">
        <v>0.35</v>
      </c>
      <c r="F471" s="207">
        <v>0.5</v>
      </c>
      <c r="G471" s="171"/>
      <c r="H471" s="207">
        <v>0.01</v>
      </c>
      <c r="I471" s="207">
        <v>0.04</v>
      </c>
      <c r="J471" s="207">
        <v>0.11</v>
      </c>
      <c r="K471" s="220" t="s">
        <v>298</v>
      </c>
      <c r="L471" s="141">
        <v>12372</v>
      </c>
      <c r="M471" s="148">
        <f>L471-L467</f>
        <v>5.8999999999996362</v>
      </c>
      <c r="N471" s="187" t="s">
        <v>330</v>
      </c>
    </row>
    <row r="472" spans="1:14" ht="20.100000000000001" customHeight="1" x14ac:dyDescent="0.25">
      <c r="A472" s="126">
        <v>42509</v>
      </c>
      <c r="B472" s="71" t="s">
        <v>71</v>
      </c>
      <c r="C472" s="220" t="s">
        <v>16</v>
      </c>
      <c r="D472" s="207">
        <v>0</v>
      </c>
      <c r="E472" s="207">
        <v>0.31</v>
      </c>
      <c r="F472" s="207">
        <v>0.43</v>
      </c>
      <c r="G472" s="171"/>
      <c r="H472" s="207">
        <v>0</v>
      </c>
      <c r="I472" s="207">
        <v>0.01</v>
      </c>
      <c r="J472" s="207">
        <v>0.1</v>
      </c>
      <c r="K472" s="220" t="s">
        <v>297</v>
      </c>
      <c r="L472" s="141"/>
    </row>
    <row r="473" spans="1:14" ht="20.100000000000001" customHeight="1" x14ac:dyDescent="0.25">
      <c r="A473" s="126">
        <v>42510</v>
      </c>
      <c r="B473" s="71" t="s">
        <v>71</v>
      </c>
      <c r="C473" s="220" t="s">
        <v>16</v>
      </c>
      <c r="D473" s="207">
        <v>0.01</v>
      </c>
      <c r="E473" s="207">
        <v>0.43</v>
      </c>
      <c r="F473" s="207">
        <v>0.53</v>
      </c>
      <c r="G473" s="171"/>
      <c r="H473" s="207">
        <v>0</v>
      </c>
      <c r="I473" s="207">
        <v>0</v>
      </c>
      <c r="J473" s="207">
        <v>0.12</v>
      </c>
      <c r="K473" s="220" t="s">
        <v>297</v>
      </c>
      <c r="L473" s="141"/>
    </row>
    <row r="474" spans="1:14" ht="20.100000000000001" customHeight="1" x14ac:dyDescent="0.25">
      <c r="A474" s="126">
        <v>42510</v>
      </c>
      <c r="B474" s="71" t="s">
        <v>184</v>
      </c>
      <c r="C474" s="220" t="s">
        <v>16</v>
      </c>
      <c r="D474" s="207">
        <v>0.01</v>
      </c>
      <c r="E474" s="207">
        <v>0.3</v>
      </c>
      <c r="F474" s="207">
        <v>0.56000000000000005</v>
      </c>
      <c r="G474" s="171"/>
      <c r="H474" s="207">
        <v>0</v>
      </c>
      <c r="I474" s="207">
        <v>0.01</v>
      </c>
      <c r="J474" s="207">
        <v>0.14000000000000001</v>
      </c>
      <c r="K474" s="220" t="s">
        <v>298</v>
      </c>
      <c r="L474" s="141">
        <v>12375.9</v>
      </c>
      <c r="M474" s="148">
        <f>L474-L471</f>
        <v>3.8999999999996362</v>
      </c>
      <c r="N474" s="187" t="s">
        <v>330</v>
      </c>
    </row>
    <row r="475" spans="1:14" ht="20.100000000000001" customHeight="1" x14ac:dyDescent="0.25">
      <c r="A475" s="126">
        <v>42511</v>
      </c>
      <c r="B475" s="134" t="s">
        <v>93</v>
      </c>
      <c r="C475" s="135"/>
      <c r="D475" s="300" t="s">
        <v>334</v>
      </c>
      <c r="E475" s="301"/>
      <c r="F475" s="302"/>
      <c r="G475" s="171"/>
      <c r="H475" s="207"/>
      <c r="I475" s="207"/>
      <c r="J475" s="207"/>
      <c r="K475" s="220"/>
      <c r="L475" s="141"/>
    </row>
    <row r="476" spans="1:14" ht="20.100000000000001" customHeight="1" x14ac:dyDescent="0.25">
      <c r="A476" s="126">
        <v>42512</v>
      </c>
      <c r="B476" s="134" t="s">
        <v>94</v>
      </c>
      <c r="C476" s="135"/>
      <c r="D476" s="300" t="s">
        <v>334</v>
      </c>
      <c r="E476" s="301"/>
      <c r="F476" s="302"/>
      <c r="G476" s="171"/>
      <c r="H476" s="207"/>
      <c r="I476" s="207"/>
      <c r="J476" s="207"/>
      <c r="K476" s="220"/>
      <c r="L476" s="141"/>
    </row>
    <row r="477" spans="1:14" ht="20.100000000000001" customHeight="1" x14ac:dyDescent="0.25">
      <c r="A477" s="126">
        <v>42513</v>
      </c>
      <c r="B477" s="71" t="s">
        <v>156</v>
      </c>
      <c r="C477" s="220" t="s">
        <v>16</v>
      </c>
      <c r="D477" s="207">
        <v>0.01</v>
      </c>
      <c r="E477" s="207">
        <v>0.28000000000000003</v>
      </c>
      <c r="F477" s="207">
        <v>0.3</v>
      </c>
      <c r="G477" s="171"/>
      <c r="H477" s="207">
        <v>0</v>
      </c>
      <c r="I477" s="207">
        <v>0.01</v>
      </c>
      <c r="J477" s="207">
        <v>0.05</v>
      </c>
      <c r="K477" s="220" t="s">
        <v>298</v>
      </c>
      <c r="L477" s="141"/>
    </row>
    <row r="478" spans="1:14" ht="20.100000000000001" customHeight="1" x14ac:dyDescent="0.25">
      <c r="A478" s="126">
        <v>42514</v>
      </c>
      <c r="B478" s="71" t="s">
        <v>353</v>
      </c>
      <c r="C478" s="220" t="s">
        <v>83</v>
      </c>
      <c r="D478" s="207">
        <v>0.03</v>
      </c>
      <c r="E478" s="207">
        <v>0.24</v>
      </c>
      <c r="F478" s="207">
        <v>0.3</v>
      </c>
      <c r="G478" s="171"/>
      <c r="H478" s="207">
        <v>0.01</v>
      </c>
      <c r="I478" s="207">
        <v>0.01</v>
      </c>
      <c r="J478" s="207">
        <v>0.02</v>
      </c>
      <c r="K478" s="220" t="s">
        <v>297</v>
      </c>
      <c r="L478" s="141"/>
    </row>
    <row r="479" spans="1:14" ht="20.100000000000001" customHeight="1" x14ac:dyDescent="0.25">
      <c r="A479" s="126">
        <v>42514</v>
      </c>
      <c r="B479" s="71" t="s">
        <v>154</v>
      </c>
      <c r="C479" s="220" t="s">
        <v>16</v>
      </c>
      <c r="D479" s="207">
        <v>0.02</v>
      </c>
      <c r="E479" s="207">
        <v>0.26</v>
      </c>
      <c r="F479" s="207">
        <v>0.27</v>
      </c>
      <c r="G479" s="171"/>
      <c r="H479" s="207">
        <v>0.01</v>
      </c>
      <c r="I479" s="207">
        <v>0.01</v>
      </c>
      <c r="J479" s="207">
        <v>0.02</v>
      </c>
      <c r="K479" s="220" t="s">
        <v>298</v>
      </c>
      <c r="L479" s="141">
        <v>12381.1</v>
      </c>
      <c r="M479" s="148">
        <f>L479-L474</f>
        <v>5.2000000000007276</v>
      </c>
      <c r="N479" s="187" t="s">
        <v>330</v>
      </c>
    </row>
    <row r="480" spans="1:14" ht="20.100000000000001" customHeight="1" x14ac:dyDescent="0.25">
      <c r="A480" s="126">
        <v>42515</v>
      </c>
      <c r="B480" s="71" t="s">
        <v>70</v>
      </c>
      <c r="C480" s="220" t="s">
        <v>83</v>
      </c>
      <c r="D480" s="207">
        <v>0.02</v>
      </c>
      <c r="E480" s="207">
        <v>0.25</v>
      </c>
      <c r="F480" s="207">
        <v>0.24</v>
      </c>
      <c r="G480" s="171"/>
      <c r="H480" s="207">
        <v>0.01</v>
      </c>
      <c r="I480" s="207">
        <v>0.01</v>
      </c>
      <c r="J480" s="207">
        <v>7.0000000000000007E-2</v>
      </c>
      <c r="K480" s="220" t="s">
        <v>297</v>
      </c>
      <c r="L480" s="141"/>
    </row>
    <row r="481" spans="1:14" ht="20.100000000000001" customHeight="1" x14ac:dyDescent="0.25">
      <c r="A481" s="126">
        <v>42515</v>
      </c>
      <c r="B481" s="71" t="s">
        <v>158</v>
      </c>
      <c r="C481" s="220" t="s">
        <v>16</v>
      </c>
      <c r="D481" s="207">
        <v>0.01</v>
      </c>
      <c r="E481" s="207">
        <v>0.25</v>
      </c>
      <c r="F481" s="207">
        <v>0.33</v>
      </c>
      <c r="G481" s="171"/>
      <c r="H481" s="207"/>
      <c r="I481" s="207"/>
      <c r="J481" s="207"/>
      <c r="K481" s="220"/>
      <c r="L481" s="141"/>
    </row>
    <row r="482" spans="1:14" ht="20.100000000000001" customHeight="1" x14ac:dyDescent="0.25">
      <c r="A482" s="126">
        <v>42516</v>
      </c>
      <c r="B482" s="71" t="s">
        <v>175</v>
      </c>
      <c r="C482" s="220" t="s">
        <v>83</v>
      </c>
      <c r="D482" s="207">
        <v>0.01</v>
      </c>
      <c r="E482" s="207">
        <v>0.24</v>
      </c>
      <c r="F482" s="207">
        <v>0.26</v>
      </c>
      <c r="G482" s="171"/>
      <c r="H482" s="207">
        <v>0.01</v>
      </c>
      <c r="I482" s="207">
        <v>0.01</v>
      </c>
      <c r="J482" s="207">
        <v>0.16</v>
      </c>
      <c r="K482" s="220" t="s">
        <v>297</v>
      </c>
      <c r="L482" s="141"/>
    </row>
    <row r="483" spans="1:14" ht="20.100000000000001" customHeight="1" x14ac:dyDescent="0.25">
      <c r="A483" s="126">
        <v>42516</v>
      </c>
      <c r="B483" s="71" t="s">
        <v>158</v>
      </c>
      <c r="C483" s="220" t="s">
        <v>16</v>
      </c>
      <c r="D483" s="207">
        <v>0.01</v>
      </c>
      <c r="E483" s="207">
        <v>0.25</v>
      </c>
      <c r="F483" s="207">
        <v>0.45</v>
      </c>
      <c r="G483" s="171"/>
      <c r="H483" s="207">
        <v>0.01</v>
      </c>
      <c r="I483" s="207">
        <v>0</v>
      </c>
      <c r="J483" s="207">
        <v>0.06</v>
      </c>
      <c r="K483" s="220" t="s">
        <v>298</v>
      </c>
      <c r="L483" s="141">
        <v>12390.1</v>
      </c>
      <c r="M483" s="148">
        <f>L483-L479</f>
        <v>9</v>
      </c>
      <c r="N483" s="187" t="s">
        <v>330</v>
      </c>
    </row>
    <row r="484" spans="1:14" ht="20.100000000000001" customHeight="1" x14ac:dyDescent="0.25">
      <c r="A484" s="126">
        <v>42517</v>
      </c>
      <c r="B484" s="71" t="s">
        <v>175</v>
      </c>
      <c r="C484" s="220" t="s">
        <v>83</v>
      </c>
      <c r="D484" s="207">
        <v>0.01</v>
      </c>
      <c r="E484" s="207">
        <v>0.22</v>
      </c>
      <c r="F484" s="207">
        <v>0.25</v>
      </c>
      <c r="G484" s="171"/>
      <c r="H484" s="207">
        <v>0.01</v>
      </c>
      <c r="I484" s="207">
        <v>0.01</v>
      </c>
      <c r="J484" s="207">
        <v>0.2</v>
      </c>
      <c r="K484" s="220" t="s">
        <v>297</v>
      </c>
      <c r="L484" s="141"/>
    </row>
    <row r="485" spans="1:14" ht="20.100000000000001" customHeight="1" x14ac:dyDescent="0.25">
      <c r="A485" s="126">
        <v>42517</v>
      </c>
      <c r="B485" s="71" t="s">
        <v>201</v>
      </c>
      <c r="C485" s="220" t="s">
        <v>83</v>
      </c>
      <c r="D485" s="207">
        <v>0</v>
      </c>
      <c r="E485" s="207">
        <v>0.19</v>
      </c>
      <c r="F485" s="207">
        <v>0.24</v>
      </c>
      <c r="G485" s="171"/>
      <c r="H485" s="207">
        <v>0.01</v>
      </c>
      <c r="I485" s="207">
        <v>0.02</v>
      </c>
      <c r="J485" s="207">
        <v>0.21</v>
      </c>
      <c r="K485" s="220" t="s">
        <v>298</v>
      </c>
      <c r="L485" s="141">
        <v>12394</v>
      </c>
      <c r="M485" s="148">
        <f>L485-L483</f>
        <v>3.8999999999996362</v>
      </c>
      <c r="N485" s="187" t="s">
        <v>330</v>
      </c>
    </row>
    <row r="486" spans="1:14" ht="20.100000000000001" customHeight="1" x14ac:dyDescent="0.25">
      <c r="A486" s="126">
        <v>42518</v>
      </c>
      <c r="B486" s="134" t="s">
        <v>93</v>
      </c>
      <c r="C486" s="135"/>
      <c r="D486" s="300" t="s">
        <v>334</v>
      </c>
      <c r="E486" s="301"/>
      <c r="F486" s="302"/>
      <c r="G486" s="171"/>
      <c r="H486" s="207"/>
      <c r="I486" s="207"/>
      <c r="J486" s="207"/>
      <c r="K486" s="220"/>
      <c r="L486" s="141"/>
    </row>
    <row r="487" spans="1:14" ht="20.100000000000001" customHeight="1" x14ac:dyDescent="0.25">
      <c r="A487" s="126">
        <v>42519</v>
      </c>
      <c r="B487" s="134" t="s">
        <v>94</v>
      </c>
      <c r="C487" s="135"/>
      <c r="D487" s="300" t="s">
        <v>334</v>
      </c>
      <c r="E487" s="301"/>
      <c r="F487" s="302"/>
      <c r="G487" s="171"/>
      <c r="H487" s="207"/>
      <c r="I487" s="207"/>
      <c r="J487" s="207"/>
      <c r="K487" s="220"/>
      <c r="L487" s="141"/>
    </row>
    <row r="488" spans="1:14" ht="20.100000000000001" customHeight="1" x14ac:dyDescent="0.25">
      <c r="A488" s="126">
        <v>42520</v>
      </c>
      <c r="B488" s="134" t="s">
        <v>189</v>
      </c>
      <c r="C488" s="135"/>
      <c r="D488" s="300" t="s">
        <v>334</v>
      </c>
      <c r="E488" s="301"/>
      <c r="F488" s="302"/>
      <c r="G488" s="171"/>
      <c r="H488" s="207"/>
      <c r="I488" s="207"/>
      <c r="J488" s="207"/>
      <c r="K488" s="220"/>
      <c r="L488" s="141"/>
    </row>
    <row r="489" spans="1:14" ht="20.100000000000001" customHeight="1" x14ac:dyDescent="0.25">
      <c r="A489" s="126">
        <v>42521</v>
      </c>
      <c r="B489" s="71" t="s">
        <v>154</v>
      </c>
      <c r="C489" s="220" t="s">
        <v>16</v>
      </c>
      <c r="D489" s="207">
        <v>0</v>
      </c>
      <c r="E489" s="207">
        <v>0</v>
      </c>
      <c r="F489" s="207">
        <v>0.26</v>
      </c>
      <c r="G489" s="171"/>
      <c r="H489" s="207">
        <v>0.01</v>
      </c>
      <c r="I489" s="207">
        <v>0</v>
      </c>
      <c r="J489" s="207">
        <v>0.04</v>
      </c>
      <c r="K489" s="220" t="s">
        <v>298</v>
      </c>
      <c r="L489" s="141">
        <v>12398.3</v>
      </c>
      <c r="M489" s="148">
        <f>L489-L485</f>
        <v>4.2999999999992724</v>
      </c>
      <c r="N489" s="187" t="s">
        <v>330</v>
      </c>
    </row>
    <row r="490" spans="1:14" ht="20.100000000000001" customHeight="1" x14ac:dyDescent="0.25">
      <c r="A490" s="126">
        <v>42522</v>
      </c>
      <c r="B490" s="71" t="s">
        <v>73</v>
      </c>
      <c r="C490" s="220" t="s">
        <v>95</v>
      </c>
      <c r="D490" s="207">
        <v>0.02</v>
      </c>
      <c r="E490" s="207">
        <v>0.03</v>
      </c>
      <c r="F490" s="207">
        <v>0.04</v>
      </c>
      <c r="G490" s="171"/>
      <c r="H490" s="207">
        <v>0</v>
      </c>
      <c r="I490" s="207">
        <v>0.01</v>
      </c>
      <c r="J490" s="207">
        <v>0</v>
      </c>
      <c r="K490" s="220" t="s">
        <v>297</v>
      </c>
      <c r="L490" s="141"/>
    </row>
    <row r="491" spans="1:14" ht="20.100000000000001" customHeight="1" x14ac:dyDescent="0.25">
      <c r="A491" s="126">
        <v>42522</v>
      </c>
      <c r="B491" s="71" t="s">
        <v>194</v>
      </c>
      <c r="C491" s="220" t="s">
        <v>16</v>
      </c>
      <c r="D491" s="207">
        <v>0</v>
      </c>
      <c r="E491" s="207">
        <v>0</v>
      </c>
      <c r="F491" s="207">
        <v>7.0000000000000007E-2</v>
      </c>
      <c r="G491" s="171"/>
      <c r="H491" s="207">
        <v>0</v>
      </c>
      <c r="I491" s="207">
        <v>0.01</v>
      </c>
      <c r="J491" s="207">
        <v>0.04</v>
      </c>
      <c r="K491" s="220" t="s">
        <v>297</v>
      </c>
      <c r="L491" s="141"/>
    </row>
    <row r="492" spans="1:14" ht="20.100000000000001" customHeight="1" x14ac:dyDescent="0.25">
      <c r="A492" s="126">
        <v>42522</v>
      </c>
      <c r="B492" s="71" t="s">
        <v>156</v>
      </c>
      <c r="C492" s="220" t="s">
        <v>16</v>
      </c>
      <c r="D492" s="288" t="s">
        <v>216</v>
      </c>
      <c r="E492" s="289"/>
      <c r="F492" s="290"/>
      <c r="G492" s="171"/>
      <c r="H492" s="207"/>
      <c r="I492" s="207"/>
      <c r="J492" s="207"/>
      <c r="K492" s="220"/>
      <c r="L492" s="141"/>
    </row>
    <row r="493" spans="1:14" ht="20.100000000000001" customHeight="1" x14ac:dyDescent="0.25">
      <c r="A493" s="126">
        <v>42523</v>
      </c>
      <c r="B493" s="71" t="s">
        <v>226</v>
      </c>
      <c r="C493" s="220" t="s">
        <v>95</v>
      </c>
      <c r="D493" s="207">
        <v>0.01</v>
      </c>
      <c r="E493" s="207">
        <v>0.31</v>
      </c>
      <c r="F493" s="207">
        <v>0.3</v>
      </c>
      <c r="G493" s="171"/>
      <c r="H493" s="207">
        <v>0</v>
      </c>
      <c r="I493" s="207">
        <v>0.01</v>
      </c>
      <c r="J493" s="207">
        <v>7.0000000000000007E-2</v>
      </c>
      <c r="K493" s="220" t="s">
        <v>298</v>
      </c>
      <c r="L493" s="141"/>
    </row>
    <row r="494" spans="1:14" ht="20.100000000000001" customHeight="1" x14ac:dyDescent="0.25">
      <c r="A494" s="126">
        <v>42523</v>
      </c>
      <c r="B494" s="71" t="s">
        <v>157</v>
      </c>
      <c r="C494" s="220" t="s">
        <v>16</v>
      </c>
      <c r="D494" s="207">
        <v>0.01</v>
      </c>
      <c r="E494" s="207">
        <v>0.28000000000000003</v>
      </c>
      <c r="F494" s="207">
        <v>0.28999999999999998</v>
      </c>
      <c r="G494" s="171"/>
      <c r="H494" s="207">
        <v>0.01</v>
      </c>
      <c r="I494" s="207">
        <v>0.03</v>
      </c>
      <c r="J494" s="207">
        <v>0</v>
      </c>
      <c r="K494" s="220" t="s">
        <v>298</v>
      </c>
      <c r="L494" s="141">
        <v>12417.4</v>
      </c>
      <c r="M494" s="148">
        <f>L494-L489</f>
        <v>19.100000000000364</v>
      </c>
      <c r="N494" s="187" t="s">
        <v>330</v>
      </c>
    </row>
    <row r="495" spans="1:14" ht="20.100000000000001" customHeight="1" x14ac:dyDescent="0.25">
      <c r="A495" s="126">
        <v>42524</v>
      </c>
      <c r="B495" s="71" t="s">
        <v>73</v>
      </c>
      <c r="C495" s="220" t="s">
        <v>95</v>
      </c>
      <c r="D495" s="207">
        <v>0.03</v>
      </c>
      <c r="E495" s="207">
        <v>0.21</v>
      </c>
      <c r="F495" s="207">
        <v>0.23</v>
      </c>
      <c r="G495" s="171"/>
      <c r="H495" s="207">
        <v>0</v>
      </c>
      <c r="I495" s="207">
        <v>0.04</v>
      </c>
      <c r="J495" s="207">
        <v>0.01</v>
      </c>
      <c r="K495" s="220" t="s">
        <v>297</v>
      </c>
      <c r="L495" s="141"/>
    </row>
    <row r="496" spans="1:14" ht="20.100000000000001" customHeight="1" x14ac:dyDescent="0.25">
      <c r="A496" s="126">
        <v>42524</v>
      </c>
      <c r="B496" s="71" t="s">
        <v>90</v>
      </c>
      <c r="C496" s="220" t="s">
        <v>16</v>
      </c>
      <c r="D496" s="207">
        <v>0.02</v>
      </c>
      <c r="E496" s="207">
        <v>0.19</v>
      </c>
      <c r="F496" s="207">
        <v>0.28000000000000003</v>
      </c>
      <c r="G496" s="171"/>
      <c r="H496" s="207">
        <v>0</v>
      </c>
      <c r="I496" s="207">
        <v>0.01</v>
      </c>
      <c r="J496" s="207">
        <v>0.02</v>
      </c>
      <c r="K496" s="220" t="s">
        <v>298</v>
      </c>
      <c r="L496" s="141">
        <v>12419.2</v>
      </c>
      <c r="M496" s="148">
        <f>L496-L494</f>
        <v>1.8000000000010914</v>
      </c>
      <c r="N496" s="187" t="s">
        <v>330</v>
      </c>
    </row>
    <row r="497" spans="1:14" ht="20.100000000000001" customHeight="1" x14ac:dyDescent="0.25">
      <c r="A497" s="126">
        <v>42525</v>
      </c>
      <c r="B497" s="134" t="s">
        <v>93</v>
      </c>
      <c r="C497" s="135"/>
      <c r="D497" s="300" t="s">
        <v>334</v>
      </c>
      <c r="E497" s="301"/>
      <c r="F497" s="302"/>
      <c r="G497" s="171"/>
      <c r="H497" s="207"/>
      <c r="I497" s="207"/>
      <c r="J497" s="207"/>
      <c r="K497" s="220"/>
      <c r="L497" s="141"/>
    </row>
    <row r="498" spans="1:14" ht="20.100000000000001" customHeight="1" x14ac:dyDescent="0.25">
      <c r="A498" s="126">
        <v>42526</v>
      </c>
      <c r="B498" s="134" t="s">
        <v>94</v>
      </c>
      <c r="C498" s="135"/>
      <c r="D498" s="300" t="s">
        <v>334</v>
      </c>
      <c r="E498" s="301"/>
      <c r="F498" s="302"/>
      <c r="G498" s="171"/>
      <c r="H498" s="207"/>
      <c r="I498" s="207"/>
      <c r="J498" s="207"/>
      <c r="K498" s="220"/>
      <c r="L498" s="141"/>
    </row>
    <row r="499" spans="1:14" ht="20.100000000000001" customHeight="1" x14ac:dyDescent="0.25">
      <c r="A499" s="126">
        <v>42527</v>
      </c>
      <c r="B499" s="71" t="s">
        <v>73</v>
      </c>
      <c r="C499" s="220" t="s">
        <v>95</v>
      </c>
      <c r="D499" s="207">
        <v>0</v>
      </c>
      <c r="E499" s="207">
        <v>0.06</v>
      </c>
      <c r="F499" s="207">
        <v>0.09</v>
      </c>
      <c r="G499" s="171"/>
      <c r="H499" s="207">
        <v>0.01</v>
      </c>
      <c r="I499" s="207">
        <v>0.01</v>
      </c>
      <c r="J499" s="207">
        <v>0.11</v>
      </c>
      <c r="K499" s="220" t="s">
        <v>297</v>
      </c>
      <c r="L499" s="141"/>
    </row>
    <row r="500" spans="1:14" ht="20.100000000000001" customHeight="1" x14ac:dyDescent="0.25">
      <c r="A500" s="126">
        <v>42527</v>
      </c>
      <c r="B500" s="71" t="s">
        <v>154</v>
      </c>
      <c r="C500" s="220" t="s">
        <v>16</v>
      </c>
      <c r="D500" s="207">
        <v>0</v>
      </c>
      <c r="E500" s="207">
        <v>0.04</v>
      </c>
      <c r="F500" s="207">
        <v>0.21</v>
      </c>
      <c r="G500" s="171"/>
      <c r="H500" s="207">
        <v>0</v>
      </c>
      <c r="I500" s="207">
        <v>0.01</v>
      </c>
      <c r="J500" s="207">
        <v>0.06</v>
      </c>
      <c r="K500" s="220" t="s">
        <v>298</v>
      </c>
      <c r="L500" s="141">
        <v>12423.2</v>
      </c>
      <c r="M500" s="148">
        <f>L500-L496</f>
        <v>4</v>
      </c>
      <c r="N500" s="187" t="s">
        <v>330</v>
      </c>
    </row>
    <row r="501" spans="1:14" ht="20.100000000000001" customHeight="1" x14ac:dyDescent="0.25">
      <c r="A501" s="126">
        <v>42528</v>
      </c>
      <c r="B501" s="71" t="s">
        <v>75</v>
      </c>
      <c r="C501" s="220" t="s">
        <v>95</v>
      </c>
      <c r="D501" s="207">
        <v>0</v>
      </c>
      <c r="E501" s="207">
        <v>0.02</v>
      </c>
      <c r="F501" s="207">
        <v>0.03</v>
      </c>
      <c r="G501" s="171"/>
      <c r="H501" s="207">
        <v>0</v>
      </c>
      <c r="I501" s="207">
        <v>0.02</v>
      </c>
      <c r="J501" s="207">
        <v>0.01</v>
      </c>
      <c r="K501" s="220" t="s">
        <v>297</v>
      </c>
      <c r="L501" s="141"/>
    </row>
    <row r="502" spans="1:14" ht="20.100000000000001" customHeight="1" x14ac:dyDescent="0.25">
      <c r="A502" s="126">
        <v>42528</v>
      </c>
      <c r="B502" s="71" t="s">
        <v>173</v>
      </c>
      <c r="C502" s="220" t="s">
        <v>16</v>
      </c>
      <c r="D502" s="207">
        <v>0</v>
      </c>
      <c r="E502" s="207">
        <v>0.02</v>
      </c>
      <c r="F502" s="207">
        <v>0.23</v>
      </c>
      <c r="G502" s="171"/>
      <c r="H502" s="207">
        <v>0</v>
      </c>
      <c r="I502" s="207">
        <v>0.01</v>
      </c>
      <c r="J502" s="207">
        <v>0.05</v>
      </c>
      <c r="K502" s="220" t="s">
        <v>298</v>
      </c>
      <c r="L502" s="141">
        <v>12428.8</v>
      </c>
      <c r="M502" s="148">
        <f>L502-L500</f>
        <v>5.5999999999985448</v>
      </c>
      <c r="N502" s="187" t="s">
        <v>330</v>
      </c>
    </row>
    <row r="503" spans="1:14" ht="20.100000000000001" customHeight="1" x14ac:dyDescent="0.25">
      <c r="A503" s="126">
        <v>42529</v>
      </c>
      <c r="B503" s="71" t="s">
        <v>72</v>
      </c>
      <c r="C503" s="220" t="s">
        <v>83</v>
      </c>
      <c r="D503" s="207">
        <v>0.01</v>
      </c>
      <c r="E503" s="207">
        <v>0.02</v>
      </c>
      <c r="F503" s="207">
        <v>0.19</v>
      </c>
      <c r="G503" s="171"/>
      <c r="H503" s="207">
        <v>0</v>
      </c>
      <c r="I503" s="207">
        <v>0.01</v>
      </c>
      <c r="J503" s="207">
        <v>0.19</v>
      </c>
      <c r="K503" s="220" t="s">
        <v>297</v>
      </c>
      <c r="L503" s="141"/>
    </row>
    <row r="504" spans="1:14" ht="20.100000000000001" customHeight="1" x14ac:dyDescent="0.25">
      <c r="A504" s="126">
        <v>42529</v>
      </c>
      <c r="B504" s="71" t="s">
        <v>354</v>
      </c>
      <c r="C504" s="220" t="s">
        <v>16</v>
      </c>
      <c r="D504" s="207">
        <v>0</v>
      </c>
      <c r="E504" s="207">
        <v>0.02</v>
      </c>
      <c r="F504" s="207">
        <v>7.0000000000000007E-2</v>
      </c>
      <c r="G504" s="171"/>
      <c r="H504" s="207">
        <v>0</v>
      </c>
      <c r="I504" s="207">
        <v>0.03</v>
      </c>
      <c r="J504" s="207">
        <v>0.03</v>
      </c>
      <c r="K504" s="220" t="s">
        <v>298</v>
      </c>
      <c r="L504" s="141"/>
    </row>
    <row r="505" spans="1:14" ht="20.100000000000001" customHeight="1" x14ac:dyDescent="0.25">
      <c r="A505" s="126">
        <v>42529</v>
      </c>
      <c r="B505" s="71" t="s">
        <v>355</v>
      </c>
      <c r="C505" s="220" t="s">
        <v>16</v>
      </c>
      <c r="D505" s="288" t="s">
        <v>216</v>
      </c>
      <c r="E505" s="289"/>
      <c r="F505" s="290"/>
      <c r="G505" s="171"/>
      <c r="H505" s="288" t="s">
        <v>356</v>
      </c>
      <c r="I505" s="289"/>
      <c r="J505" s="289"/>
      <c r="K505" s="290"/>
      <c r="L505" s="141"/>
    </row>
    <row r="506" spans="1:14" ht="20.100000000000001" customHeight="1" x14ac:dyDescent="0.25">
      <c r="A506" s="126">
        <v>42530</v>
      </c>
      <c r="B506" s="71" t="s">
        <v>73</v>
      </c>
      <c r="C506" s="220" t="s">
        <v>95</v>
      </c>
      <c r="D506" s="207">
        <v>0.01</v>
      </c>
      <c r="E506" s="207">
        <v>0.34</v>
      </c>
      <c r="F506" s="207">
        <v>0.28999999999999998</v>
      </c>
      <c r="G506" s="171"/>
      <c r="H506" s="207">
        <v>0.06</v>
      </c>
      <c r="I506" s="207">
        <v>0.1</v>
      </c>
      <c r="J506" s="207">
        <v>0.05</v>
      </c>
      <c r="K506" s="220" t="s">
        <v>297</v>
      </c>
      <c r="L506" s="141"/>
    </row>
    <row r="507" spans="1:14" ht="20.100000000000001" customHeight="1" x14ac:dyDescent="0.25">
      <c r="A507" s="126">
        <v>42530</v>
      </c>
      <c r="B507" s="71" t="s">
        <v>154</v>
      </c>
      <c r="C507" s="220" t="s">
        <v>16</v>
      </c>
      <c r="D507" s="207">
        <v>0.02</v>
      </c>
      <c r="E507" s="207">
        <v>0.28999999999999998</v>
      </c>
      <c r="F507" s="207">
        <v>0.32</v>
      </c>
      <c r="G507" s="171"/>
      <c r="H507" s="207">
        <v>0.02</v>
      </c>
      <c r="I507" s="207">
        <v>0.01</v>
      </c>
      <c r="J507" s="207">
        <v>0.06</v>
      </c>
      <c r="K507" s="220" t="s">
        <v>298</v>
      </c>
      <c r="L507" s="141">
        <v>12498.4</v>
      </c>
      <c r="M507" s="148">
        <f>L507-L502</f>
        <v>69.600000000000364</v>
      </c>
      <c r="N507" s="187" t="s">
        <v>330</v>
      </c>
    </row>
    <row r="508" spans="1:14" ht="20.100000000000001" customHeight="1" x14ac:dyDescent="0.25">
      <c r="A508" s="126">
        <v>42531</v>
      </c>
      <c r="B508" s="71" t="s">
        <v>250</v>
      </c>
      <c r="C508" s="220" t="s">
        <v>83</v>
      </c>
      <c r="D508" s="207">
        <v>0.01</v>
      </c>
      <c r="E508" s="207">
        <v>0.25</v>
      </c>
      <c r="F508" s="207">
        <v>0.22</v>
      </c>
      <c r="G508" s="171"/>
      <c r="H508" s="207">
        <v>0</v>
      </c>
      <c r="I508" s="207">
        <v>0.03</v>
      </c>
      <c r="J508" s="207">
        <v>0.08</v>
      </c>
      <c r="K508" s="220" t="s">
        <v>298</v>
      </c>
      <c r="L508" s="141"/>
    </row>
    <row r="509" spans="1:14" ht="20.100000000000001" customHeight="1" x14ac:dyDescent="0.25">
      <c r="A509" s="126">
        <v>42532</v>
      </c>
      <c r="B509" s="134" t="s">
        <v>93</v>
      </c>
      <c r="C509" s="135"/>
      <c r="D509" s="300" t="s">
        <v>334</v>
      </c>
      <c r="E509" s="301"/>
      <c r="F509" s="302"/>
      <c r="G509" s="171"/>
      <c r="H509" s="207"/>
      <c r="I509" s="207"/>
      <c r="J509" s="207"/>
      <c r="K509" s="220"/>
      <c r="L509" s="141"/>
    </row>
    <row r="510" spans="1:14" ht="20.100000000000001" customHeight="1" x14ac:dyDescent="0.25">
      <c r="A510" s="126">
        <v>42533</v>
      </c>
      <c r="B510" s="134" t="s">
        <v>94</v>
      </c>
      <c r="C510" s="135"/>
      <c r="D510" s="300" t="s">
        <v>334</v>
      </c>
      <c r="E510" s="301"/>
      <c r="F510" s="302"/>
      <c r="G510" s="171"/>
      <c r="H510" s="207"/>
      <c r="I510" s="207"/>
      <c r="J510" s="207"/>
      <c r="K510" s="220"/>
      <c r="L510" s="141"/>
    </row>
    <row r="511" spans="1:14" ht="20.100000000000001" customHeight="1" x14ac:dyDescent="0.25">
      <c r="A511" s="126">
        <v>42534</v>
      </c>
      <c r="B511" s="71" t="s">
        <v>74</v>
      </c>
      <c r="C511" s="220" t="s">
        <v>95</v>
      </c>
      <c r="D511" s="207">
        <v>0.02</v>
      </c>
      <c r="E511" s="207">
        <v>0</v>
      </c>
      <c r="F511" s="207">
        <v>0.04</v>
      </c>
      <c r="G511" s="171"/>
      <c r="H511" s="207">
        <v>0.04</v>
      </c>
      <c r="I511" s="207">
        <v>0.03</v>
      </c>
      <c r="J511" s="207">
        <v>0.01</v>
      </c>
      <c r="K511" s="220" t="s">
        <v>297</v>
      </c>
      <c r="L511" s="141"/>
    </row>
    <row r="512" spans="1:14" ht="20.100000000000001" customHeight="1" x14ac:dyDescent="0.25">
      <c r="A512" s="126">
        <v>42534</v>
      </c>
      <c r="B512" s="71" t="s">
        <v>154</v>
      </c>
      <c r="C512" s="220" t="s">
        <v>16</v>
      </c>
      <c r="D512" s="207">
        <v>0</v>
      </c>
      <c r="E512" s="207">
        <v>0.01</v>
      </c>
      <c r="F512" s="207">
        <v>0.1</v>
      </c>
      <c r="G512" s="171"/>
      <c r="H512" s="207">
        <v>0.01</v>
      </c>
      <c r="I512" s="207">
        <v>0.02</v>
      </c>
      <c r="J512" s="207">
        <v>0.06</v>
      </c>
      <c r="K512" s="220" t="s">
        <v>298</v>
      </c>
      <c r="L512" s="141">
        <v>12504.5</v>
      </c>
      <c r="M512" s="148">
        <f>L512-L507</f>
        <v>6.1000000000003638</v>
      </c>
      <c r="N512" s="187" t="s">
        <v>330</v>
      </c>
    </row>
    <row r="513" spans="1:14" ht="20.100000000000001" customHeight="1" x14ac:dyDescent="0.25">
      <c r="A513" s="126">
        <v>42535</v>
      </c>
      <c r="B513" s="71" t="s">
        <v>355</v>
      </c>
      <c r="C513" s="220" t="s">
        <v>16</v>
      </c>
      <c r="D513" s="288" t="s">
        <v>216</v>
      </c>
      <c r="E513" s="289"/>
      <c r="F513" s="290"/>
      <c r="G513" s="171"/>
      <c r="H513" s="288" t="s">
        <v>357</v>
      </c>
      <c r="I513" s="289"/>
      <c r="J513" s="289"/>
      <c r="K513" s="290"/>
      <c r="L513" s="141"/>
    </row>
    <row r="514" spans="1:14" ht="20.100000000000001" customHeight="1" x14ac:dyDescent="0.25">
      <c r="A514" s="126">
        <v>42535</v>
      </c>
      <c r="B514" s="71" t="s">
        <v>90</v>
      </c>
      <c r="C514" s="220" t="s">
        <v>16</v>
      </c>
      <c r="D514" s="207">
        <v>0.01</v>
      </c>
      <c r="E514" s="207">
        <v>0.38</v>
      </c>
      <c r="F514" s="207">
        <v>0.37</v>
      </c>
      <c r="G514" s="171"/>
      <c r="H514" s="207">
        <v>0</v>
      </c>
      <c r="I514" s="207">
        <v>0.01</v>
      </c>
      <c r="J514" s="207">
        <v>0.09</v>
      </c>
      <c r="K514" s="220" t="s">
        <v>298</v>
      </c>
      <c r="L514" s="141"/>
    </row>
    <row r="515" spans="1:14" ht="20.100000000000001" customHeight="1" x14ac:dyDescent="0.25">
      <c r="A515" s="126">
        <v>42535</v>
      </c>
      <c r="B515" s="71" t="s">
        <v>186</v>
      </c>
      <c r="C515" s="220" t="s">
        <v>16</v>
      </c>
      <c r="D515" s="288" t="s">
        <v>358</v>
      </c>
      <c r="E515" s="289"/>
      <c r="F515" s="290"/>
      <c r="G515" s="171"/>
      <c r="H515" s="207"/>
      <c r="I515" s="207"/>
      <c r="J515" s="207"/>
      <c r="K515" s="220"/>
      <c r="L515" s="141"/>
    </row>
    <row r="516" spans="1:14" ht="20.100000000000001" customHeight="1" x14ac:dyDescent="0.25">
      <c r="A516" s="126">
        <v>42536</v>
      </c>
      <c r="B516" s="71" t="s">
        <v>76</v>
      </c>
      <c r="C516" s="220" t="s">
        <v>83</v>
      </c>
      <c r="D516" s="207">
        <v>0.03</v>
      </c>
      <c r="E516" s="207">
        <v>0.28999999999999998</v>
      </c>
      <c r="F516" s="207">
        <v>0.45</v>
      </c>
      <c r="G516" s="171"/>
      <c r="H516" s="207">
        <v>0</v>
      </c>
      <c r="I516" s="207">
        <v>0</v>
      </c>
      <c r="J516" s="207">
        <v>0.18</v>
      </c>
      <c r="K516" s="220" t="s">
        <v>297</v>
      </c>
      <c r="L516" s="141"/>
    </row>
    <row r="517" spans="1:14" ht="20.100000000000001" customHeight="1" x14ac:dyDescent="0.25">
      <c r="A517" s="126">
        <v>42536</v>
      </c>
      <c r="B517" s="71" t="s">
        <v>154</v>
      </c>
      <c r="C517" s="220" t="s">
        <v>16</v>
      </c>
      <c r="D517" s="207">
        <v>7.0000000000000007E-2</v>
      </c>
      <c r="E517" s="207">
        <v>0.3</v>
      </c>
      <c r="F517" s="207">
        <v>0.48</v>
      </c>
      <c r="G517" s="171"/>
      <c r="H517" s="207">
        <v>0.01</v>
      </c>
      <c r="I517" s="207">
        <v>0.03</v>
      </c>
      <c r="J517" s="207">
        <v>0.12</v>
      </c>
      <c r="K517" s="220" t="s">
        <v>298</v>
      </c>
      <c r="L517" s="141">
        <v>12511.9</v>
      </c>
      <c r="M517" s="148">
        <f>L517-L512</f>
        <v>7.3999999999996362</v>
      </c>
      <c r="N517" s="187" t="s">
        <v>330</v>
      </c>
    </row>
    <row r="518" spans="1:14" ht="20.100000000000001" customHeight="1" x14ac:dyDescent="0.25">
      <c r="A518" s="126">
        <v>42537</v>
      </c>
      <c r="B518" s="71" t="s">
        <v>359</v>
      </c>
      <c r="C518" s="220" t="s">
        <v>83</v>
      </c>
      <c r="D518" s="207">
        <v>0.03</v>
      </c>
      <c r="E518" s="207">
        <v>7.0000000000000007E-2</v>
      </c>
      <c r="F518" s="207">
        <v>0.18</v>
      </c>
      <c r="G518" s="171"/>
      <c r="H518" s="207">
        <v>0.03</v>
      </c>
      <c r="I518" s="207">
        <v>0.21</v>
      </c>
      <c r="J518" s="207">
        <v>0.06</v>
      </c>
      <c r="K518" s="220" t="s">
        <v>297</v>
      </c>
      <c r="L518" s="141"/>
    </row>
    <row r="519" spans="1:14" ht="20.100000000000001" customHeight="1" x14ac:dyDescent="0.25">
      <c r="A519" s="126">
        <v>42537</v>
      </c>
      <c r="B519" s="71" t="s">
        <v>157</v>
      </c>
      <c r="C519" s="220" t="s">
        <v>16</v>
      </c>
      <c r="D519" s="207">
        <v>0</v>
      </c>
      <c r="E519" s="207">
        <v>0.19</v>
      </c>
      <c r="F519" s="207">
        <v>0.23</v>
      </c>
      <c r="G519" s="171"/>
      <c r="H519" s="207">
        <v>0</v>
      </c>
      <c r="I519" s="207">
        <v>0.01</v>
      </c>
      <c r="J519" s="207">
        <v>0.14000000000000001</v>
      </c>
      <c r="K519" s="220" t="s">
        <v>298</v>
      </c>
      <c r="L519" s="141">
        <v>12517.9</v>
      </c>
      <c r="M519" s="148">
        <f>L519-L517</f>
        <v>6</v>
      </c>
      <c r="N519" s="187" t="s">
        <v>330</v>
      </c>
    </row>
    <row r="520" spans="1:14" ht="20.100000000000001" customHeight="1" x14ac:dyDescent="0.25">
      <c r="A520" s="126">
        <v>42538</v>
      </c>
      <c r="B520" s="71" t="s">
        <v>177</v>
      </c>
      <c r="C520" s="220" t="s">
        <v>16</v>
      </c>
      <c r="D520" s="207">
        <v>0.02</v>
      </c>
      <c r="E520" s="207">
        <v>0.13</v>
      </c>
      <c r="F520" s="207">
        <v>0.28999999999999998</v>
      </c>
      <c r="G520" s="171"/>
      <c r="H520" s="207">
        <v>0</v>
      </c>
      <c r="I520" s="207">
        <v>0.01</v>
      </c>
      <c r="J520" s="207">
        <v>0.06</v>
      </c>
      <c r="K520" s="220" t="s">
        <v>297</v>
      </c>
      <c r="L520" s="141"/>
    </row>
    <row r="521" spans="1:14" ht="20.100000000000001" customHeight="1" x14ac:dyDescent="0.25">
      <c r="A521" s="126">
        <v>42538</v>
      </c>
      <c r="B521" s="71" t="s">
        <v>275</v>
      </c>
      <c r="C521" s="220" t="s">
        <v>16</v>
      </c>
      <c r="D521" s="207">
        <v>0.01</v>
      </c>
      <c r="E521" s="207">
        <v>0.11</v>
      </c>
      <c r="F521" s="207">
        <v>0.27</v>
      </c>
      <c r="G521" s="171"/>
      <c r="H521" s="207">
        <v>0</v>
      </c>
      <c r="I521" s="207">
        <v>0.01</v>
      </c>
      <c r="J521" s="207">
        <v>0.04</v>
      </c>
      <c r="K521" s="220" t="s">
        <v>298</v>
      </c>
      <c r="L521" s="141">
        <v>12521.4</v>
      </c>
      <c r="M521" s="148">
        <f>L521-L519</f>
        <v>3.5</v>
      </c>
      <c r="N521" s="187" t="s">
        <v>330</v>
      </c>
    </row>
    <row r="522" spans="1:14" ht="20.100000000000001" customHeight="1" x14ac:dyDescent="0.25">
      <c r="A522" s="126">
        <v>42539</v>
      </c>
      <c r="B522" s="134" t="s">
        <v>93</v>
      </c>
      <c r="C522" s="135"/>
      <c r="D522" s="300" t="s">
        <v>334</v>
      </c>
      <c r="E522" s="301"/>
      <c r="F522" s="302"/>
      <c r="G522" s="171"/>
      <c r="H522" s="207"/>
      <c r="I522" s="207"/>
      <c r="J522" s="207"/>
      <c r="K522" s="220"/>
      <c r="L522" s="141"/>
    </row>
    <row r="523" spans="1:14" ht="20.100000000000001" customHeight="1" x14ac:dyDescent="0.25">
      <c r="A523" s="126">
        <v>42540</v>
      </c>
      <c r="B523" s="134" t="s">
        <v>94</v>
      </c>
      <c r="C523" s="135"/>
      <c r="D523" s="300" t="s">
        <v>334</v>
      </c>
      <c r="E523" s="301"/>
      <c r="F523" s="302"/>
      <c r="G523" s="171"/>
      <c r="H523" s="207"/>
      <c r="I523" s="207"/>
      <c r="J523" s="207"/>
      <c r="K523" s="220"/>
      <c r="L523" s="141"/>
    </row>
    <row r="524" spans="1:14" ht="20.100000000000001" customHeight="1" x14ac:dyDescent="0.25">
      <c r="A524" s="126">
        <v>42541</v>
      </c>
      <c r="B524" s="71" t="s">
        <v>66</v>
      </c>
      <c r="C524" s="220" t="s">
        <v>95</v>
      </c>
      <c r="D524" s="207">
        <v>0.01</v>
      </c>
      <c r="E524" s="207">
        <v>0.01</v>
      </c>
      <c r="F524" s="207">
        <v>0.03</v>
      </c>
      <c r="G524" s="171"/>
      <c r="H524" s="207">
        <v>0.02</v>
      </c>
      <c r="I524" s="207">
        <v>0.02</v>
      </c>
      <c r="J524" s="207">
        <v>0.05</v>
      </c>
      <c r="K524" s="220" t="s">
        <v>297</v>
      </c>
      <c r="L524" s="141"/>
    </row>
    <row r="525" spans="1:14" ht="20.100000000000001" customHeight="1" x14ac:dyDescent="0.25">
      <c r="A525" s="126">
        <v>42541</v>
      </c>
      <c r="B525" s="71" t="s">
        <v>275</v>
      </c>
      <c r="C525" s="220" t="s">
        <v>16</v>
      </c>
      <c r="D525" s="207">
        <v>0</v>
      </c>
      <c r="E525" s="207">
        <v>0.01</v>
      </c>
      <c r="F525" s="207">
        <v>0.04</v>
      </c>
      <c r="G525" s="171"/>
      <c r="H525" s="207">
        <v>0</v>
      </c>
      <c r="I525" s="207">
        <v>0.02</v>
      </c>
      <c r="J525" s="207">
        <v>0.04</v>
      </c>
      <c r="K525" s="220" t="s">
        <v>297</v>
      </c>
      <c r="L525" s="141">
        <v>12524.4</v>
      </c>
      <c r="M525" s="148">
        <f>L525-L521</f>
        <v>3</v>
      </c>
      <c r="N525" s="187" t="s">
        <v>330</v>
      </c>
    </row>
    <row r="526" spans="1:14" ht="20.100000000000001" customHeight="1" x14ac:dyDescent="0.25">
      <c r="A526" s="126">
        <v>42541</v>
      </c>
      <c r="B526" s="71" t="s">
        <v>173</v>
      </c>
      <c r="C526" s="220" t="s">
        <v>16</v>
      </c>
      <c r="D526" s="288" t="s">
        <v>360</v>
      </c>
      <c r="E526" s="289"/>
      <c r="F526" s="290"/>
      <c r="G526" s="171"/>
      <c r="H526" s="288" t="s">
        <v>361</v>
      </c>
      <c r="I526" s="289"/>
      <c r="J526" s="290"/>
      <c r="K526" s="220"/>
      <c r="L526" s="141"/>
    </row>
    <row r="527" spans="1:14" ht="20.100000000000001" customHeight="1" x14ac:dyDescent="0.25">
      <c r="A527" s="126">
        <v>42542</v>
      </c>
      <c r="B527" s="71" t="s">
        <v>264</v>
      </c>
      <c r="C527" s="220" t="s">
        <v>95</v>
      </c>
      <c r="D527" s="207">
        <v>0</v>
      </c>
      <c r="E527" s="207">
        <v>0.5</v>
      </c>
      <c r="F527" s="207">
        <v>0.28999999999999998</v>
      </c>
      <c r="G527" s="171"/>
      <c r="H527" s="207">
        <v>0</v>
      </c>
      <c r="I527" s="207">
        <v>0</v>
      </c>
      <c r="J527" s="207">
        <v>0.03</v>
      </c>
      <c r="K527" s="220" t="s">
        <v>297</v>
      </c>
      <c r="L527" s="141"/>
    </row>
    <row r="528" spans="1:14" ht="20.100000000000001" customHeight="1" x14ac:dyDescent="0.25">
      <c r="A528" s="126">
        <v>42543</v>
      </c>
      <c r="B528" s="71" t="s">
        <v>362</v>
      </c>
      <c r="C528" s="220" t="s">
        <v>95</v>
      </c>
      <c r="D528" s="207">
        <v>0.01</v>
      </c>
      <c r="E528" s="207">
        <v>0.34</v>
      </c>
      <c r="F528" s="207">
        <v>0.15</v>
      </c>
      <c r="G528" s="171"/>
      <c r="H528" s="207">
        <v>0</v>
      </c>
      <c r="I528" s="207">
        <v>0.01</v>
      </c>
      <c r="J528" s="207">
        <v>0.09</v>
      </c>
      <c r="K528" s="220" t="s">
        <v>297</v>
      </c>
      <c r="L528" s="141"/>
    </row>
    <row r="529" spans="1:14" ht="20.100000000000001" customHeight="1" x14ac:dyDescent="0.25">
      <c r="A529" s="126">
        <v>42543</v>
      </c>
      <c r="B529" s="71" t="s">
        <v>274</v>
      </c>
      <c r="C529" s="220" t="s">
        <v>16</v>
      </c>
      <c r="D529" s="207">
        <v>0</v>
      </c>
      <c r="E529" s="207" t="s">
        <v>363</v>
      </c>
      <c r="F529" s="207">
        <v>0.35</v>
      </c>
      <c r="G529" s="171"/>
      <c r="H529" s="288" t="s">
        <v>364</v>
      </c>
      <c r="I529" s="289"/>
      <c r="J529" s="290"/>
      <c r="K529" s="220"/>
      <c r="L529" s="141"/>
    </row>
    <row r="530" spans="1:14" ht="20.100000000000001" customHeight="1" x14ac:dyDescent="0.25">
      <c r="A530" s="126">
        <v>42543</v>
      </c>
      <c r="B530" s="71" t="s">
        <v>90</v>
      </c>
      <c r="C530" s="220" t="s">
        <v>16</v>
      </c>
      <c r="D530" s="288" t="s">
        <v>365</v>
      </c>
      <c r="E530" s="289"/>
      <c r="F530" s="290"/>
      <c r="G530" s="171"/>
      <c r="H530" s="207"/>
      <c r="I530" s="207"/>
      <c r="J530" s="207"/>
      <c r="K530" s="220"/>
      <c r="L530" s="141"/>
    </row>
    <row r="531" spans="1:14" ht="20.100000000000001" customHeight="1" x14ac:dyDescent="0.25">
      <c r="A531" s="126">
        <v>42544</v>
      </c>
      <c r="B531" s="71" t="s">
        <v>90</v>
      </c>
      <c r="C531" s="220" t="s">
        <v>16</v>
      </c>
      <c r="D531" s="207">
        <v>0.06</v>
      </c>
      <c r="E531" s="207">
        <v>0.15</v>
      </c>
      <c r="F531" s="207">
        <v>0.34</v>
      </c>
      <c r="G531" s="171"/>
      <c r="H531" s="207">
        <v>0.01</v>
      </c>
      <c r="I531" s="207">
        <v>0.04</v>
      </c>
      <c r="J531" s="207">
        <v>0.1</v>
      </c>
      <c r="K531" s="220" t="s">
        <v>298</v>
      </c>
      <c r="L531" s="141"/>
    </row>
    <row r="532" spans="1:14" ht="20.100000000000001" customHeight="1" x14ac:dyDescent="0.25">
      <c r="A532" s="126">
        <v>42545</v>
      </c>
      <c r="B532" s="71" t="s">
        <v>213</v>
      </c>
      <c r="C532" s="220" t="s">
        <v>95</v>
      </c>
      <c r="D532" s="207">
        <v>0.01</v>
      </c>
      <c r="E532" s="207">
        <v>7.0000000000000007E-2</v>
      </c>
      <c r="F532" s="207">
        <v>0.1</v>
      </c>
      <c r="G532" s="171"/>
      <c r="H532" s="207">
        <v>0.01</v>
      </c>
      <c r="I532" s="207">
        <v>0.01</v>
      </c>
      <c r="J532" s="207">
        <v>0.09</v>
      </c>
      <c r="K532" s="220" t="s">
        <v>297</v>
      </c>
      <c r="L532" s="141"/>
    </row>
    <row r="533" spans="1:14" ht="20.100000000000001" customHeight="1" x14ac:dyDescent="0.25">
      <c r="A533" s="126">
        <v>42545</v>
      </c>
      <c r="B533" s="71" t="s">
        <v>162</v>
      </c>
      <c r="C533" s="220" t="s">
        <v>83</v>
      </c>
      <c r="D533" s="207">
        <v>0.04</v>
      </c>
      <c r="E533" s="207">
        <v>0.06</v>
      </c>
      <c r="F533" s="207">
        <v>0.24</v>
      </c>
      <c r="G533" s="171"/>
      <c r="H533" s="207">
        <v>0</v>
      </c>
      <c r="I533" s="207">
        <v>0.01</v>
      </c>
      <c r="J533" s="207">
        <v>0.13</v>
      </c>
      <c r="K533" s="220" t="s">
        <v>298</v>
      </c>
      <c r="L533" s="141">
        <v>12538.9</v>
      </c>
      <c r="M533" s="148">
        <f>L533-L525</f>
        <v>14.5</v>
      </c>
      <c r="N533" s="187" t="s">
        <v>330</v>
      </c>
    </row>
    <row r="534" spans="1:14" ht="20.100000000000001" customHeight="1" x14ac:dyDescent="0.25">
      <c r="A534" s="126">
        <v>42546</v>
      </c>
      <c r="B534" s="134" t="s">
        <v>93</v>
      </c>
      <c r="C534" s="135"/>
      <c r="D534" s="300" t="s">
        <v>334</v>
      </c>
      <c r="E534" s="301"/>
      <c r="F534" s="302"/>
      <c r="G534" s="171"/>
      <c r="H534" s="207"/>
      <c r="I534" s="207"/>
      <c r="J534" s="207"/>
      <c r="K534" s="220"/>
      <c r="L534" s="141"/>
    </row>
    <row r="535" spans="1:14" ht="20.100000000000001" customHeight="1" x14ac:dyDescent="0.25">
      <c r="A535" s="126">
        <v>42547</v>
      </c>
      <c r="B535" s="134" t="s">
        <v>94</v>
      </c>
      <c r="C535" s="135"/>
      <c r="D535" s="300" t="s">
        <v>334</v>
      </c>
      <c r="E535" s="301"/>
      <c r="F535" s="302"/>
      <c r="G535" s="171"/>
      <c r="H535" s="207"/>
      <c r="I535" s="207"/>
      <c r="J535" s="207"/>
      <c r="K535" s="220"/>
      <c r="L535" s="141"/>
    </row>
    <row r="536" spans="1:14" ht="20.100000000000001" customHeight="1" x14ac:dyDescent="0.25">
      <c r="A536" s="126">
        <v>42548</v>
      </c>
      <c r="B536" s="71" t="s">
        <v>75</v>
      </c>
      <c r="C536" s="220" t="s">
        <v>95</v>
      </c>
      <c r="D536" s="207">
        <v>0</v>
      </c>
      <c r="E536" s="207">
        <v>0.02</v>
      </c>
      <c r="F536" s="207">
        <v>0.1</v>
      </c>
      <c r="G536" s="171"/>
      <c r="H536" s="207">
        <v>0.01</v>
      </c>
      <c r="I536" s="207">
        <v>0.01</v>
      </c>
      <c r="J536" s="207">
        <v>0.12</v>
      </c>
      <c r="K536" s="220" t="s">
        <v>297</v>
      </c>
      <c r="L536" s="141"/>
    </row>
    <row r="537" spans="1:14" ht="20.100000000000001" customHeight="1" x14ac:dyDescent="0.25">
      <c r="A537" s="126">
        <v>42548</v>
      </c>
      <c r="B537" s="71" t="s">
        <v>366</v>
      </c>
      <c r="C537" s="220" t="s">
        <v>83</v>
      </c>
      <c r="D537" s="207">
        <v>0.01</v>
      </c>
      <c r="E537" s="207">
        <v>0.02</v>
      </c>
      <c r="F537" s="207">
        <v>0.12</v>
      </c>
      <c r="G537" s="171"/>
      <c r="H537" s="207">
        <v>0</v>
      </c>
      <c r="I537" s="207">
        <v>0.02</v>
      </c>
      <c r="J537" s="207">
        <v>0.28999999999999998</v>
      </c>
      <c r="K537" s="220" t="s">
        <v>298</v>
      </c>
      <c r="L537" s="141">
        <v>12540.4</v>
      </c>
      <c r="M537" s="148">
        <f>L537-L533</f>
        <v>1.5</v>
      </c>
      <c r="N537" s="187" t="s">
        <v>330</v>
      </c>
    </row>
    <row r="538" spans="1:14" ht="20.100000000000001" customHeight="1" x14ac:dyDescent="0.25">
      <c r="A538" s="126">
        <v>42549</v>
      </c>
      <c r="B538" s="297" t="s">
        <v>367</v>
      </c>
      <c r="C538" s="298"/>
      <c r="D538" s="298"/>
      <c r="E538" s="298"/>
      <c r="F538" s="299"/>
      <c r="G538" s="171"/>
      <c r="H538" s="207"/>
      <c r="I538" s="207"/>
      <c r="J538" s="207"/>
      <c r="K538" s="220"/>
      <c r="L538" s="141"/>
    </row>
    <row r="539" spans="1:14" ht="20.100000000000001" customHeight="1" x14ac:dyDescent="0.25">
      <c r="A539" s="126">
        <v>42550</v>
      </c>
      <c r="B539" s="297" t="s">
        <v>368</v>
      </c>
      <c r="C539" s="298"/>
      <c r="D539" s="298"/>
      <c r="E539" s="298"/>
      <c r="F539" s="299"/>
      <c r="G539" s="171"/>
      <c r="H539" s="207"/>
      <c r="I539" s="207"/>
      <c r="J539" s="207"/>
      <c r="K539" s="220"/>
      <c r="L539" s="141"/>
    </row>
    <row r="540" spans="1:14" ht="20.100000000000001" customHeight="1" x14ac:dyDescent="0.25">
      <c r="A540" s="126">
        <v>42551</v>
      </c>
      <c r="B540" s="297" t="s">
        <v>369</v>
      </c>
      <c r="C540" s="298"/>
      <c r="D540" s="298"/>
      <c r="E540" s="298"/>
      <c r="F540" s="299"/>
      <c r="G540" s="171"/>
      <c r="H540" s="207"/>
      <c r="I540" s="207"/>
      <c r="J540" s="207"/>
      <c r="K540" s="220"/>
      <c r="L540" s="141"/>
    </row>
    <row r="541" spans="1:14" ht="20.100000000000001" customHeight="1" x14ac:dyDescent="0.25">
      <c r="A541" s="126">
        <v>42552</v>
      </c>
      <c r="B541" s="71" t="s">
        <v>68</v>
      </c>
      <c r="C541" s="220" t="s">
        <v>16</v>
      </c>
      <c r="D541" s="207">
        <v>0</v>
      </c>
      <c r="E541" s="207">
        <v>0.31</v>
      </c>
      <c r="F541" s="207">
        <v>0.34</v>
      </c>
      <c r="G541" s="171"/>
      <c r="H541" s="207">
        <v>0</v>
      </c>
      <c r="I541" s="207">
        <v>0.18</v>
      </c>
      <c r="J541" s="207">
        <v>0.17</v>
      </c>
      <c r="K541" s="220" t="s">
        <v>297</v>
      </c>
      <c r="L541" s="141"/>
    </row>
    <row r="542" spans="1:14" ht="20.100000000000001" customHeight="1" x14ac:dyDescent="0.25">
      <c r="A542" s="126">
        <v>42552</v>
      </c>
      <c r="B542" s="71" t="s">
        <v>173</v>
      </c>
      <c r="C542" s="220" t="s">
        <v>16</v>
      </c>
      <c r="D542" s="207">
        <v>0</v>
      </c>
      <c r="E542" s="207">
        <v>0.32</v>
      </c>
      <c r="F542" s="207">
        <v>0.56999999999999995</v>
      </c>
      <c r="G542" s="171"/>
      <c r="H542" s="207">
        <v>0</v>
      </c>
      <c r="I542" s="207">
        <v>0.08</v>
      </c>
      <c r="J542" s="207">
        <v>0.24</v>
      </c>
      <c r="K542" s="220" t="s">
        <v>298</v>
      </c>
      <c r="L542" s="141">
        <v>12622.1</v>
      </c>
      <c r="M542" s="148">
        <f>L542-L537</f>
        <v>81.700000000000728</v>
      </c>
      <c r="N542" s="187" t="s">
        <v>330</v>
      </c>
    </row>
    <row r="543" spans="1:14" ht="20.100000000000001" customHeight="1" x14ac:dyDescent="0.25">
      <c r="A543" s="126">
        <v>42553</v>
      </c>
      <c r="B543" s="145" t="s">
        <v>93</v>
      </c>
      <c r="C543" s="146"/>
      <c r="D543" s="320" t="s">
        <v>334</v>
      </c>
      <c r="E543" s="321"/>
      <c r="F543" s="322"/>
      <c r="G543" s="171"/>
      <c r="H543" s="207"/>
      <c r="I543" s="207"/>
      <c r="J543" s="207"/>
      <c r="K543" s="220"/>
      <c r="L543" s="141"/>
    </row>
    <row r="544" spans="1:14" ht="20.100000000000001" customHeight="1" x14ac:dyDescent="0.25">
      <c r="A544" s="126">
        <v>42554</v>
      </c>
      <c r="B544" s="73" t="s">
        <v>94</v>
      </c>
      <c r="C544" s="211"/>
      <c r="D544" s="306" t="s">
        <v>334</v>
      </c>
      <c r="E544" s="307"/>
      <c r="F544" s="308"/>
      <c r="G544" s="171"/>
      <c r="H544" s="207"/>
      <c r="I544" s="207"/>
      <c r="J544" s="207"/>
      <c r="K544" s="220"/>
      <c r="L544" s="141"/>
    </row>
    <row r="545" spans="1:14" ht="20.100000000000001" customHeight="1" x14ac:dyDescent="0.25">
      <c r="A545" s="126">
        <v>42555</v>
      </c>
      <c r="B545" s="182" t="s">
        <v>189</v>
      </c>
      <c r="C545" s="183"/>
      <c r="D545" s="323" t="s">
        <v>370</v>
      </c>
      <c r="E545" s="324"/>
      <c r="F545" s="325"/>
      <c r="G545" s="171"/>
      <c r="H545" s="207"/>
      <c r="I545" s="207"/>
      <c r="J545" s="207"/>
      <c r="K545" s="220"/>
      <c r="L545" s="141"/>
    </row>
    <row r="546" spans="1:14" ht="20.100000000000001" customHeight="1" x14ac:dyDescent="0.25">
      <c r="A546" s="126">
        <v>42556</v>
      </c>
      <c r="B546" s="71" t="s">
        <v>371</v>
      </c>
      <c r="C546" s="220" t="s">
        <v>83</v>
      </c>
      <c r="D546" s="207">
        <v>0.01</v>
      </c>
      <c r="E546" s="207">
        <v>0.28999999999999998</v>
      </c>
      <c r="F546" s="207">
        <v>0.55000000000000004</v>
      </c>
      <c r="G546" s="171"/>
      <c r="H546" s="207">
        <v>0.01</v>
      </c>
      <c r="I546" s="207">
        <v>0.01</v>
      </c>
      <c r="J546" s="207">
        <v>0.32</v>
      </c>
      <c r="K546" s="220" t="s">
        <v>297</v>
      </c>
      <c r="L546" s="141"/>
    </row>
    <row r="547" spans="1:14" ht="20.100000000000001" customHeight="1" x14ac:dyDescent="0.25">
      <c r="A547" s="126">
        <v>42557</v>
      </c>
      <c r="B547" s="71" t="s">
        <v>68</v>
      </c>
      <c r="C547" s="220" t="s">
        <v>83</v>
      </c>
      <c r="D547" s="220">
        <v>0</v>
      </c>
      <c r="E547" s="220">
        <v>0.25</v>
      </c>
      <c r="F547" s="220">
        <v>0.48</v>
      </c>
      <c r="G547" s="174"/>
      <c r="H547" s="207">
        <v>0</v>
      </c>
      <c r="I547" s="207">
        <v>0.01</v>
      </c>
      <c r="J547" s="220">
        <v>0.21</v>
      </c>
      <c r="K547" s="220" t="s">
        <v>297</v>
      </c>
      <c r="L547" s="141"/>
    </row>
    <row r="548" spans="1:14" ht="20.100000000000001" customHeight="1" x14ac:dyDescent="0.25">
      <c r="A548" s="126">
        <v>42557</v>
      </c>
      <c r="B548" s="71" t="s">
        <v>154</v>
      </c>
      <c r="C548" s="220" t="s">
        <v>16</v>
      </c>
      <c r="D548" s="314" t="s">
        <v>374</v>
      </c>
      <c r="E548" s="315"/>
      <c r="F548" s="315"/>
      <c r="G548" s="315"/>
      <c r="H548" s="315"/>
      <c r="I548" s="315"/>
      <c r="J548" s="315"/>
      <c r="K548" s="315"/>
      <c r="L548" s="316"/>
    </row>
    <row r="549" spans="1:14" ht="20.100000000000001" customHeight="1" x14ac:dyDescent="0.25">
      <c r="A549" s="126">
        <v>42557</v>
      </c>
      <c r="B549" s="71" t="s">
        <v>375</v>
      </c>
      <c r="C549" s="220" t="s">
        <v>16</v>
      </c>
      <c r="D549" s="207">
        <v>0.01</v>
      </c>
      <c r="E549" s="207">
        <v>0.28999999999999998</v>
      </c>
      <c r="F549" s="207">
        <v>0.32</v>
      </c>
      <c r="G549" s="171"/>
      <c r="H549" s="207">
        <v>0</v>
      </c>
      <c r="I549" s="207">
        <v>0.02</v>
      </c>
      <c r="J549" s="207">
        <v>0.1</v>
      </c>
      <c r="K549" s="220" t="s">
        <v>298</v>
      </c>
      <c r="L549" s="141">
        <v>12629.1</v>
      </c>
      <c r="M549" s="148">
        <f>L549-L542</f>
        <v>7</v>
      </c>
      <c r="N549" s="187" t="s">
        <v>330</v>
      </c>
    </row>
    <row r="550" spans="1:14" ht="20.100000000000001" customHeight="1" x14ac:dyDescent="0.25">
      <c r="A550" s="126">
        <v>42558</v>
      </c>
      <c r="B550" s="71" t="s">
        <v>226</v>
      </c>
      <c r="C550" s="220" t="s">
        <v>83</v>
      </c>
      <c r="D550" s="207">
        <v>0.04</v>
      </c>
      <c r="E550" s="207">
        <v>0.31</v>
      </c>
      <c r="F550" s="207">
        <v>0.38</v>
      </c>
      <c r="G550" s="171"/>
      <c r="H550" s="207">
        <v>0</v>
      </c>
      <c r="I550" s="207">
        <v>0.01</v>
      </c>
      <c r="J550" s="207">
        <v>0.14000000000000001</v>
      </c>
      <c r="K550" s="220" t="s">
        <v>297</v>
      </c>
      <c r="L550" s="141"/>
    </row>
    <row r="551" spans="1:14" ht="20.100000000000001" customHeight="1" x14ac:dyDescent="0.25">
      <c r="A551" s="126">
        <v>42558</v>
      </c>
      <c r="B551" s="71" t="s">
        <v>158</v>
      </c>
      <c r="C551" s="220" t="s">
        <v>16</v>
      </c>
      <c r="D551" s="314" t="s">
        <v>376</v>
      </c>
      <c r="E551" s="315"/>
      <c r="F551" s="316"/>
      <c r="G551" s="171"/>
      <c r="H551" s="207"/>
      <c r="I551" s="207"/>
      <c r="J551" s="207"/>
      <c r="K551" s="220"/>
      <c r="L551" s="141"/>
    </row>
    <row r="552" spans="1:14" ht="20.100000000000001" customHeight="1" x14ac:dyDescent="0.25">
      <c r="A552" s="126">
        <v>42558</v>
      </c>
      <c r="B552" s="71" t="s">
        <v>158</v>
      </c>
      <c r="C552" s="220" t="s">
        <v>16</v>
      </c>
      <c r="D552" s="207">
        <v>0.01</v>
      </c>
      <c r="E552" s="207">
        <v>0.28000000000000003</v>
      </c>
      <c r="F552" s="207">
        <v>0.35</v>
      </c>
      <c r="G552" s="171"/>
      <c r="H552" s="207">
        <v>0</v>
      </c>
      <c r="I552" s="207">
        <v>0</v>
      </c>
      <c r="J552" s="207">
        <v>0.25</v>
      </c>
      <c r="K552" s="220" t="s">
        <v>298</v>
      </c>
      <c r="L552" s="141">
        <v>12631.5</v>
      </c>
      <c r="M552" s="148">
        <f>L552-L549</f>
        <v>2.3999999999996362</v>
      </c>
      <c r="N552" s="187" t="s">
        <v>330</v>
      </c>
    </row>
    <row r="553" spans="1:14" ht="20.100000000000001" customHeight="1" x14ac:dyDescent="0.25">
      <c r="A553" s="126">
        <v>42559</v>
      </c>
      <c r="B553" s="71" t="s">
        <v>377</v>
      </c>
      <c r="C553" s="220" t="s">
        <v>83</v>
      </c>
      <c r="D553" s="207">
        <v>0.01</v>
      </c>
      <c r="E553" s="207">
        <v>0.34</v>
      </c>
      <c r="F553" s="207">
        <v>0.47</v>
      </c>
      <c r="G553" s="171"/>
      <c r="H553" s="207">
        <v>0</v>
      </c>
      <c r="I553" s="207">
        <v>0.01</v>
      </c>
      <c r="J553" s="207">
        <v>0.17</v>
      </c>
      <c r="K553" s="220" t="s">
        <v>297</v>
      </c>
      <c r="L553" s="141"/>
    </row>
    <row r="554" spans="1:14" ht="20.100000000000001" customHeight="1" x14ac:dyDescent="0.25">
      <c r="A554" s="126">
        <v>42559</v>
      </c>
      <c r="B554" s="71" t="s">
        <v>220</v>
      </c>
      <c r="C554" s="220" t="s">
        <v>83</v>
      </c>
      <c r="D554" s="207">
        <v>0</v>
      </c>
      <c r="E554" s="207">
        <v>0.33</v>
      </c>
      <c r="F554" s="207">
        <v>0.35</v>
      </c>
      <c r="G554" s="171"/>
      <c r="H554" s="207">
        <v>0</v>
      </c>
      <c r="I554" s="207">
        <v>0.01</v>
      </c>
      <c r="J554" s="207">
        <v>0.2</v>
      </c>
      <c r="K554" s="220" t="s">
        <v>298</v>
      </c>
      <c r="L554" s="141">
        <v>12633.9</v>
      </c>
      <c r="M554" s="148">
        <f>L554-L552</f>
        <v>2.3999999999996362</v>
      </c>
      <c r="N554" s="187" t="s">
        <v>330</v>
      </c>
    </row>
    <row r="555" spans="1:14" ht="20.100000000000001" customHeight="1" x14ac:dyDescent="0.25">
      <c r="A555" s="126">
        <v>42560</v>
      </c>
      <c r="B555" s="134" t="s">
        <v>93</v>
      </c>
      <c r="C555" s="135"/>
      <c r="D555" s="300" t="s">
        <v>334</v>
      </c>
      <c r="E555" s="301"/>
      <c r="F555" s="302"/>
      <c r="G555" s="171"/>
      <c r="H555" s="207"/>
      <c r="I555" s="207"/>
      <c r="J555" s="207"/>
      <c r="K555" s="220"/>
      <c r="L555" s="141"/>
    </row>
    <row r="556" spans="1:14" ht="20.100000000000001" customHeight="1" x14ac:dyDescent="0.25">
      <c r="A556" s="126">
        <v>42561</v>
      </c>
      <c r="B556" s="134" t="s">
        <v>94</v>
      </c>
      <c r="C556" s="135"/>
      <c r="D556" s="300" t="s">
        <v>334</v>
      </c>
      <c r="E556" s="301"/>
      <c r="F556" s="302"/>
      <c r="G556" s="171"/>
      <c r="H556" s="207"/>
      <c r="I556" s="207"/>
      <c r="J556" s="207"/>
      <c r="K556" s="220"/>
      <c r="L556" s="141"/>
    </row>
    <row r="557" spans="1:14" ht="20.100000000000001" customHeight="1" x14ac:dyDescent="0.25">
      <c r="A557" s="126">
        <v>42562</v>
      </c>
      <c r="B557" s="71" t="s">
        <v>70</v>
      </c>
      <c r="C557" s="220" t="s">
        <v>95</v>
      </c>
      <c r="D557" s="207">
        <v>0.01</v>
      </c>
      <c r="E557" s="207">
        <v>0.28000000000000003</v>
      </c>
      <c r="F557" s="207">
        <v>0.26</v>
      </c>
      <c r="G557" s="171"/>
      <c r="H557" s="207">
        <v>0</v>
      </c>
      <c r="I557" s="207">
        <v>0</v>
      </c>
      <c r="J557" s="207">
        <v>0.02</v>
      </c>
      <c r="K557" s="220" t="s">
        <v>297</v>
      </c>
      <c r="L557" s="141"/>
    </row>
    <row r="558" spans="1:14" ht="20.100000000000001" customHeight="1" x14ac:dyDescent="0.25">
      <c r="A558" s="126">
        <v>42562</v>
      </c>
      <c r="B558" s="71" t="s">
        <v>154</v>
      </c>
      <c r="C558" s="220" t="s">
        <v>16</v>
      </c>
      <c r="D558" s="314" t="s">
        <v>378</v>
      </c>
      <c r="E558" s="315"/>
      <c r="F558" s="316"/>
      <c r="G558" s="171"/>
      <c r="H558" s="207"/>
      <c r="I558" s="207"/>
      <c r="J558" s="207"/>
      <c r="K558" s="220"/>
      <c r="L558" s="141"/>
    </row>
    <row r="559" spans="1:14" ht="20.100000000000001" customHeight="1" x14ac:dyDescent="0.25">
      <c r="A559" s="126">
        <v>42562</v>
      </c>
      <c r="B559" s="71" t="s">
        <v>379</v>
      </c>
      <c r="C559" s="220" t="s">
        <v>16</v>
      </c>
      <c r="D559" s="207">
        <v>0.08</v>
      </c>
      <c r="E559" s="207">
        <v>0.41</v>
      </c>
      <c r="F559" s="207">
        <v>0.5</v>
      </c>
      <c r="G559" s="171"/>
      <c r="H559" s="207">
        <v>0</v>
      </c>
      <c r="I559" s="207">
        <v>0.01</v>
      </c>
      <c r="J559" s="207">
        <v>0.06</v>
      </c>
      <c r="K559" s="220" t="s">
        <v>298</v>
      </c>
      <c r="L559" s="141">
        <v>12638.1</v>
      </c>
      <c r="M559" s="148">
        <f>L559-L554</f>
        <v>4.2000000000007276</v>
      </c>
      <c r="N559" s="187" t="s">
        <v>330</v>
      </c>
    </row>
    <row r="560" spans="1:14" ht="20.100000000000001" customHeight="1" x14ac:dyDescent="0.25">
      <c r="A560" s="126">
        <v>42563</v>
      </c>
      <c r="B560" s="71" t="s">
        <v>380</v>
      </c>
      <c r="C560" s="220" t="s">
        <v>83</v>
      </c>
      <c r="D560" s="207">
        <v>0.03</v>
      </c>
      <c r="E560" s="207">
        <v>0.23</v>
      </c>
      <c r="F560" s="207">
        <v>0.26</v>
      </c>
      <c r="G560" s="171"/>
      <c r="H560" s="207">
        <v>0</v>
      </c>
      <c r="I560" s="207">
        <v>0.01</v>
      </c>
      <c r="J560" s="207">
        <v>0.18</v>
      </c>
      <c r="K560" s="220" t="s">
        <v>297</v>
      </c>
      <c r="L560" s="141"/>
    </row>
    <row r="561" spans="1:14" ht="20.100000000000001" customHeight="1" x14ac:dyDescent="0.25">
      <c r="A561" s="126">
        <v>42563</v>
      </c>
      <c r="B561" s="71" t="s">
        <v>177</v>
      </c>
      <c r="C561" s="220" t="s">
        <v>16</v>
      </c>
      <c r="D561" s="314" t="s">
        <v>381</v>
      </c>
      <c r="E561" s="315"/>
      <c r="F561" s="316"/>
      <c r="G561" s="171"/>
      <c r="H561" s="207"/>
      <c r="I561" s="207"/>
      <c r="J561" s="207"/>
      <c r="K561" s="220"/>
      <c r="L561" s="141"/>
    </row>
    <row r="562" spans="1:14" ht="20.100000000000001" customHeight="1" x14ac:dyDescent="0.25">
      <c r="A562" s="126">
        <v>42563</v>
      </c>
      <c r="B562" s="71" t="s">
        <v>154</v>
      </c>
      <c r="C562" s="220" t="s">
        <v>16</v>
      </c>
      <c r="D562" s="207">
        <v>0.02</v>
      </c>
      <c r="E562" s="207">
        <v>0.1</v>
      </c>
      <c r="F562" s="207">
        <v>0.27</v>
      </c>
      <c r="G562" s="171"/>
      <c r="H562" s="207">
        <v>0</v>
      </c>
      <c r="I562" s="207">
        <v>0.03</v>
      </c>
      <c r="J562" s="207">
        <v>0.06</v>
      </c>
      <c r="K562" s="220" t="s">
        <v>298</v>
      </c>
      <c r="L562" s="141">
        <v>12642.8</v>
      </c>
      <c r="M562" s="148">
        <f>L562-L559</f>
        <v>4.6999999999989086</v>
      </c>
      <c r="N562" s="187" t="s">
        <v>330</v>
      </c>
    </row>
    <row r="563" spans="1:14" ht="20.100000000000001" customHeight="1" x14ac:dyDescent="0.25">
      <c r="A563" s="126">
        <v>42564</v>
      </c>
      <c r="B563" s="71" t="s">
        <v>222</v>
      </c>
      <c r="C563" s="220" t="s">
        <v>16</v>
      </c>
      <c r="D563" s="207">
        <v>0.01</v>
      </c>
      <c r="E563" s="207">
        <v>7.0000000000000007E-2</v>
      </c>
      <c r="F563" s="207">
        <v>0.18</v>
      </c>
      <c r="G563" s="171"/>
      <c r="H563" s="207">
        <v>0</v>
      </c>
      <c r="I563" s="207">
        <v>0.02</v>
      </c>
      <c r="J563" s="207">
        <v>0.04</v>
      </c>
      <c r="K563" s="220" t="s">
        <v>297</v>
      </c>
      <c r="L563" s="141"/>
    </row>
    <row r="564" spans="1:14" ht="20.100000000000001" customHeight="1" x14ac:dyDescent="0.25">
      <c r="A564" s="126">
        <v>42564</v>
      </c>
      <c r="B564" s="71" t="s">
        <v>163</v>
      </c>
      <c r="C564" s="317" t="s">
        <v>382</v>
      </c>
      <c r="D564" s="318"/>
      <c r="E564" s="318"/>
      <c r="F564" s="318"/>
      <c r="G564" s="318"/>
      <c r="H564" s="318"/>
      <c r="I564" s="318"/>
      <c r="J564" s="318"/>
      <c r="K564" s="318"/>
      <c r="L564" s="319"/>
    </row>
    <row r="565" spans="1:14" ht="20.100000000000001" customHeight="1" x14ac:dyDescent="0.25">
      <c r="A565" s="126">
        <v>42564</v>
      </c>
      <c r="B565" s="71" t="s">
        <v>184</v>
      </c>
      <c r="C565" s="220" t="s">
        <v>16</v>
      </c>
      <c r="D565" s="207">
        <v>0.01</v>
      </c>
      <c r="E565" s="207">
        <v>0.49</v>
      </c>
      <c r="F565" s="207">
        <v>0.67</v>
      </c>
      <c r="G565" s="171">
        <v>0</v>
      </c>
      <c r="H565" s="207">
        <v>0</v>
      </c>
      <c r="I565" s="207">
        <v>0.02</v>
      </c>
      <c r="J565" s="207">
        <v>0.11</v>
      </c>
      <c r="K565" s="220" t="s">
        <v>298</v>
      </c>
      <c r="L565" s="141">
        <v>12645.8</v>
      </c>
      <c r="M565" s="148">
        <f>L565-L562</f>
        <v>3</v>
      </c>
      <c r="N565" s="187" t="s">
        <v>330</v>
      </c>
    </row>
    <row r="566" spans="1:14" ht="20.100000000000001" customHeight="1" x14ac:dyDescent="0.25">
      <c r="A566" s="126">
        <v>42564</v>
      </c>
      <c r="B566" s="71" t="s">
        <v>379</v>
      </c>
      <c r="C566" s="220" t="s">
        <v>16</v>
      </c>
      <c r="D566" s="314" t="s">
        <v>383</v>
      </c>
      <c r="E566" s="315"/>
      <c r="F566" s="316"/>
      <c r="G566" s="171"/>
      <c r="H566" s="207"/>
      <c r="I566" s="207"/>
      <c r="J566" s="207"/>
      <c r="K566" s="220"/>
      <c r="L566" s="141"/>
    </row>
    <row r="567" spans="1:14" ht="20.100000000000001" customHeight="1" x14ac:dyDescent="0.25">
      <c r="A567" s="126">
        <v>42565</v>
      </c>
      <c r="B567" s="71" t="s">
        <v>75</v>
      </c>
      <c r="C567" s="220" t="s">
        <v>95</v>
      </c>
      <c r="D567" s="207">
        <v>0.02</v>
      </c>
      <c r="E567" s="207">
        <v>0.56000000000000005</v>
      </c>
      <c r="F567" s="207">
        <v>0.56000000000000005</v>
      </c>
      <c r="G567" s="171"/>
      <c r="H567" s="207">
        <v>0</v>
      </c>
      <c r="I567" s="207">
        <v>0.01</v>
      </c>
      <c r="J567" s="207">
        <v>0.02</v>
      </c>
      <c r="K567" s="220" t="s">
        <v>297</v>
      </c>
      <c r="L567" s="141"/>
    </row>
    <row r="568" spans="1:14" ht="20.100000000000001" customHeight="1" x14ac:dyDescent="0.25">
      <c r="A568" s="126">
        <v>42565</v>
      </c>
      <c r="B568" s="71" t="s">
        <v>384</v>
      </c>
      <c r="C568" s="220" t="s">
        <v>16</v>
      </c>
      <c r="D568" s="314" t="s">
        <v>385</v>
      </c>
      <c r="E568" s="315"/>
      <c r="F568" s="316"/>
      <c r="G568" s="171"/>
      <c r="H568" s="207"/>
      <c r="I568" s="207"/>
      <c r="J568" s="207"/>
      <c r="K568" s="220"/>
      <c r="L568" s="141"/>
    </row>
    <row r="569" spans="1:14" ht="20.100000000000001" customHeight="1" x14ac:dyDescent="0.25">
      <c r="A569" s="126">
        <v>42565</v>
      </c>
      <c r="B569" s="71" t="s">
        <v>90</v>
      </c>
      <c r="C569" s="220" t="s">
        <v>16</v>
      </c>
      <c r="D569" s="207">
        <v>7.0000000000000007E-2</v>
      </c>
      <c r="E569" s="207">
        <v>0.4</v>
      </c>
      <c r="F569" s="207">
        <v>0.4</v>
      </c>
      <c r="G569" s="171"/>
      <c r="H569" s="207">
        <v>0</v>
      </c>
      <c r="I569" s="207">
        <v>0.01</v>
      </c>
      <c r="J569" s="207">
        <v>0.17</v>
      </c>
      <c r="K569" s="220" t="s">
        <v>298</v>
      </c>
      <c r="L569" s="141">
        <v>12651.8</v>
      </c>
      <c r="M569" s="148">
        <f>L569-L565</f>
        <v>6</v>
      </c>
      <c r="N569" s="187" t="s">
        <v>330</v>
      </c>
    </row>
    <row r="570" spans="1:14" ht="20.100000000000001" customHeight="1" x14ac:dyDescent="0.25">
      <c r="A570" s="126">
        <v>42565</v>
      </c>
      <c r="B570" s="71" t="s">
        <v>186</v>
      </c>
      <c r="C570" s="220" t="s">
        <v>16</v>
      </c>
      <c r="D570" s="314" t="s">
        <v>385</v>
      </c>
      <c r="E570" s="315"/>
      <c r="F570" s="316"/>
      <c r="G570" s="171"/>
      <c r="H570" s="207"/>
      <c r="I570" s="207"/>
      <c r="J570" s="207"/>
      <c r="K570" s="220"/>
      <c r="L570" s="141"/>
    </row>
    <row r="571" spans="1:14" ht="20.100000000000001" customHeight="1" x14ac:dyDescent="0.25">
      <c r="A571" s="126">
        <v>42566</v>
      </c>
      <c r="B571" s="71" t="s">
        <v>74</v>
      </c>
      <c r="C571" s="220" t="s">
        <v>95</v>
      </c>
      <c r="D571" s="207">
        <v>0.1</v>
      </c>
      <c r="E571" s="207">
        <v>0.15</v>
      </c>
      <c r="F571" s="207">
        <v>0.03</v>
      </c>
      <c r="G571" s="171"/>
      <c r="H571" s="207">
        <v>0.02</v>
      </c>
      <c r="I571" s="207">
        <v>0.01</v>
      </c>
      <c r="J571" s="207">
        <v>0.05</v>
      </c>
      <c r="K571" s="220" t="s">
        <v>297</v>
      </c>
      <c r="L571" s="141"/>
    </row>
    <row r="572" spans="1:14" ht="20.100000000000001" customHeight="1" x14ac:dyDescent="0.25">
      <c r="A572" s="126">
        <v>42566</v>
      </c>
      <c r="B572" s="71" t="s">
        <v>299</v>
      </c>
      <c r="C572" s="220" t="s">
        <v>16</v>
      </c>
      <c r="D572" s="207">
        <v>0.06</v>
      </c>
      <c r="E572" s="207">
        <v>0.11</v>
      </c>
      <c r="F572" s="207">
        <v>0.26</v>
      </c>
      <c r="G572" s="171"/>
      <c r="H572" s="207">
        <v>0.01</v>
      </c>
      <c r="I572" s="207">
        <v>0.03</v>
      </c>
      <c r="J572" s="207">
        <v>0.16</v>
      </c>
      <c r="K572" s="220" t="s">
        <v>298</v>
      </c>
      <c r="L572" s="141">
        <v>12655.7</v>
      </c>
      <c r="M572" s="148">
        <f>L572-L569</f>
        <v>3.9000000000014552</v>
      </c>
      <c r="N572" s="187" t="s">
        <v>330</v>
      </c>
    </row>
    <row r="573" spans="1:14" ht="20.100000000000001" customHeight="1" x14ac:dyDescent="0.25">
      <c r="A573" s="126">
        <v>42566</v>
      </c>
      <c r="B573" s="71" t="s">
        <v>201</v>
      </c>
      <c r="C573" s="220" t="s">
        <v>16</v>
      </c>
      <c r="D573" s="314" t="s">
        <v>383</v>
      </c>
      <c r="E573" s="315"/>
      <c r="F573" s="316"/>
      <c r="G573" s="171"/>
      <c r="H573" s="207"/>
      <c r="I573" s="207"/>
      <c r="J573" s="207"/>
      <c r="K573" s="220"/>
      <c r="L573" s="141"/>
    </row>
    <row r="574" spans="1:14" ht="20.100000000000001" customHeight="1" x14ac:dyDescent="0.25">
      <c r="A574" s="126">
        <v>42567</v>
      </c>
      <c r="B574" s="134" t="s">
        <v>93</v>
      </c>
      <c r="C574" s="135"/>
      <c r="D574" s="300" t="s">
        <v>334</v>
      </c>
      <c r="E574" s="301"/>
      <c r="F574" s="302"/>
      <c r="G574" s="171"/>
      <c r="H574" s="207"/>
      <c r="I574" s="207"/>
      <c r="J574" s="207"/>
      <c r="K574" s="220"/>
      <c r="L574" s="141"/>
    </row>
    <row r="575" spans="1:14" ht="20.100000000000001" customHeight="1" x14ac:dyDescent="0.25">
      <c r="A575" s="126">
        <v>42568</v>
      </c>
      <c r="B575" s="134" t="s">
        <v>94</v>
      </c>
      <c r="C575" s="135"/>
      <c r="D575" s="300" t="s">
        <v>334</v>
      </c>
      <c r="E575" s="301"/>
      <c r="F575" s="302"/>
      <c r="G575" s="171"/>
      <c r="H575" s="207"/>
      <c r="I575" s="207"/>
      <c r="J575" s="207"/>
      <c r="K575" s="220"/>
      <c r="L575" s="141"/>
    </row>
    <row r="576" spans="1:14" ht="20.100000000000001" customHeight="1" x14ac:dyDescent="0.25">
      <c r="A576" s="126">
        <v>42569</v>
      </c>
      <c r="B576" s="71" t="s">
        <v>380</v>
      </c>
      <c r="C576" s="220" t="s">
        <v>83</v>
      </c>
      <c r="D576" s="207">
        <v>0.12</v>
      </c>
      <c r="E576" s="207">
        <v>0.16</v>
      </c>
      <c r="F576" s="207">
        <v>0.13</v>
      </c>
      <c r="G576" s="171"/>
      <c r="H576" s="207">
        <v>0</v>
      </c>
      <c r="I576" s="207">
        <v>0</v>
      </c>
      <c r="J576" s="207">
        <v>0.2</v>
      </c>
      <c r="K576" s="220" t="s">
        <v>297</v>
      </c>
      <c r="L576" s="141"/>
    </row>
    <row r="577" spans="1:14" ht="20.100000000000001" customHeight="1" x14ac:dyDescent="0.25">
      <c r="A577" s="126">
        <v>42569</v>
      </c>
      <c r="B577" s="71" t="s">
        <v>375</v>
      </c>
      <c r="C577" s="317" t="s">
        <v>386</v>
      </c>
      <c r="D577" s="318"/>
      <c r="E577" s="318"/>
      <c r="F577" s="318"/>
      <c r="G577" s="318"/>
      <c r="H577" s="318"/>
      <c r="I577" s="318"/>
      <c r="J577" s="318"/>
      <c r="K577" s="318"/>
      <c r="L577" s="319"/>
    </row>
    <row r="578" spans="1:14" ht="20.100000000000001" customHeight="1" x14ac:dyDescent="0.25">
      <c r="A578" s="126">
        <v>42569</v>
      </c>
      <c r="B578" s="71" t="s">
        <v>275</v>
      </c>
      <c r="C578" s="220" t="s">
        <v>16</v>
      </c>
      <c r="D578" s="207">
        <v>0.33</v>
      </c>
      <c r="E578" s="207">
        <v>0.65</v>
      </c>
      <c r="F578" s="207">
        <v>0.44</v>
      </c>
      <c r="G578" s="171"/>
      <c r="H578" s="288" t="s">
        <v>387</v>
      </c>
      <c r="I578" s="289"/>
      <c r="J578" s="290"/>
      <c r="K578" s="220" t="s">
        <v>298</v>
      </c>
      <c r="L578" s="141">
        <v>12661.6</v>
      </c>
      <c r="M578" s="148">
        <f>L578-L572</f>
        <v>5.8999999999996362</v>
      </c>
      <c r="N578" s="187" t="s">
        <v>330</v>
      </c>
    </row>
    <row r="579" spans="1:14" ht="20.100000000000001" customHeight="1" x14ac:dyDescent="0.25">
      <c r="A579" s="126">
        <v>42570</v>
      </c>
      <c r="B579" s="71" t="s">
        <v>234</v>
      </c>
      <c r="C579" s="220" t="s">
        <v>16</v>
      </c>
      <c r="D579" s="207">
        <v>0.01</v>
      </c>
      <c r="E579" s="207">
        <v>0.05</v>
      </c>
      <c r="F579" s="207">
        <v>0.16</v>
      </c>
      <c r="G579" s="171"/>
      <c r="H579" s="207">
        <v>0</v>
      </c>
      <c r="I579" s="207">
        <v>0.01</v>
      </c>
      <c r="J579" s="207">
        <v>0.04</v>
      </c>
      <c r="K579" s="220" t="s">
        <v>297</v>
      </c>
      <c r="L579" s="141"/>
    </row>
    <row r="580" spans="1:14" ht="20.100000000000001" customHeight="1" x14ac:dyDescent="0.25">
      <c r="A580" s="126">
        <v>42570</v>
      </c>
      <c r="B580" s="71" t="s">
        <v>220</v>
      </c>
      <c r="C580" s="317" t="s">
        <v>386</v>
      </c>
      <c r="D580" s="318"/>
      <c r="E580" s="318"/>
      <c r="F580" s="318"/>
      <c r="G580" s="318"/>
      <c r="H580" s="318"/>
      <c r="I580" s="318"/>
      <c r="J580" s="318"/>
      <c r="K580" s="318"/>
      <c r="L580" s="319"/>
    </row>
    <row r="581" spans="1:14" ht="20.100000000000001" customHeight="1" x14ac:dyDescent="0.25">
      <c r="A581" s="126">
        <v>42570</v>
      </c>
      <c r="B581" s="71" t="s">
        <v>91</v>
      </c>
      <c r="C581" s="220" t="s">
        <v>16</v>
      </c>
      <c r="D581" s="207">
        <v>0.02</v>
      </c>
      <c r="E581" s="207">
        <v>0.37</v>
      </c>
      <c r="F581" s="207">
        <v>0.43</v>
      </c>
      <c r="G581" s="171"/>
      <c r="H581" s="288" t="s">
        <v>387</v>
      </c>
      <c r="I581" s="289"/>
      <c r="J581" s="290"/>
      <c r="K581" s="220" t="s">
        <v>297</v>
      </c>
      <c r="L581" s="141"/>
    </row>
    <row r="582" spans="1:14" ht="20.100000000000001" customHeight="1" x14ac:dyDescent="0.25">
      <c r="A582" s="126">
        <v>42570</v>
      </c>
      <c r="B582" s="71" t="s">
        <v>90</v>
      </c>
      <c r="C582" s="220" t="s">
        <v>16</v>
      </c>
      <c r="D582" s="314" t="s">
        <v>383</v>
      </c>
      <c r="E582" s="315"/>
      <c r="F582" s="316"/>
      <c r="G582" s="171"/>
      <c r="H582" s="288" t="s">
        <v>388</v>
      </c>
      <c r="I582" s="289"/>
      <c r="J582" s="290"/>
      <c r="K582" s="220" t="s">
        <v>298</v>
      </c>
      <c r="L582" s="141">
        <v>12665.4</v>
      </c>
      <c r="M582" s="148">
        <f>L582-L578</f>
        <v>3.7999999999992724</v>
      </c>
      <c r="N582" s="187" t="s">
        <v>330</v>
      </c>
    </row>
    <row r="583" spans="1:14" ht="20.100000000000001" customHeight="1" x14ac:dyDescent="0.25">
      <c r="A583" s="126">
        <v>42571</v>
      </c>
      <c r="B583" s="71" t="s">
        <v>74</v>
      </c>
      <c r="C583" s="220" t="s">
        <v>95</v>
      </c>
      <c r="D583" s="207">
        <v>0.01</v>
      </c>
      <c r="E583" s="207">
        <v>0.41</v>
      </c>
      <c r="F583" s="207">
        <v>0.37</v>
      </c>
      <c r="G583" s="171"/>
      <c r="H583" s="207">
        <v>0</v>
      </c>
      <c r="I583" s="207">
        <v>0.03</v>
      </c>
      <c r="J583" s="207">
        <v>7.0000000000000007E-2</v>
      </c>
      <c r="K583" s="220" t="s">
        <v>297</v>
      </c>
      <c r="L583" s="141"/>
    </row>
    <row r="584" spans="1:14" ht="20.100000000000001" customHeight="1" x14ac:dyDescent="0.25">
      <c r="A584" s="126">
        <v>42571</v>
      </c>
      <c r="B584" s="71" t="s">
        <v>154</v>
      </c>
      <c r="C584" s="220" t="s">
        <v>16</v>
      </c>
      <c r="D584" s="207">
        <v>0.02</v>
      </c>
      <c r="E584" s="207">
        <v>0.39</v>
      </c>
      <c r="F584" s="207">
        <v>0.43</v>
      </c>
      <c r="G584" s="171"/>
      <c r="H584" s="207">
        <v>0</v>
      </c>
      <c r="I584" s="207">
        <v>0</v>
      </c>
      <c r="J584" s="207">
        <v>0.1</v>
      </c>
      <c r="K584" s="220" t="s">
        <v>298</v>
      </c>
      <c r="L584" s="141">
        <v>12670.7</v>
      </c>
      <c r="M584" s="148">
        <f>L584-L582</f>
        <v>5.3000000000010914</v>
      </c>
      <c r="N584" s="187" t="s">
        <v>330</v>
      </c>
    </row>
    <row r="585" spans="1:14" ht="20.100000000000001" customHeight="1" x14ac:dyDescent="0.25">
      <c r="A585" s="126">
        <v>42572</v>
      </c>
      <c r="B585" s="71" t="s">
        <v>389</v>
      </c>
      <c r="C585" s="220" t="s">
        <v>95</v>
      </c>
      <c r="D585" s="207">
        <v>0.06</v>
      </c>
      <c r="E585" s="207">
        <v>0.38</v>
      </c>
      <c r="F585" s="207">
        <v>0.13</v>
      </c>
      <c r="G585" s="171"/>
      <c r="H585" s="207">
        <v>0</v>
      </c>
      <c r="I585" s="207">
        <v>0.01</v>
      </c>
      <c r="J585" s="207">
        <v>0.12</v>
      </c>
      <c r="K585" s="220" t="s">
        <v>297</v>
      </c>
      <c r="L585" s="141"/>
    </row>
    <row r="586" spans="1:14" ht="20.100000000000001" customHeight="1" x14ac:dyDescent="0.25">
      <c r="A586" s="126">
        <v>42572</v>
      </c>
      <c r="B586" s="71" t="s">
        <v>390</v>
      </c>
      <c r="C586" s="220" t="s">
        <v>16</v>
      </c>
      <c r="D586" s="207">
        <v>0.03</v>
      </c>
      <c r="E586" s="207">
        <v>0.38</v>
      </c>
      <c r="F586" s="207">
        <v>0.38</v>
      </c>
      <c r="G586" s="171"/>
      <c r="H586" s="207">
        <v>0</v>
      </c>
      <c r="I586" s="207">
        <v>0</v>
      </c>
      <c r="J586" s="207">
        <v>0.21</v>
      </c>
      <c r="K586" s="220" t="s">
        <v>297</v>
      </c>
      <c r="L586" s="141"/>
    </row>
    <row r="587" spans="1:14" ht="20.100000000000001" customHeight="1" x14ac:dyDescent="0.25">
      <c r="A587" s="126">
        <v>42572</v>
      </c>
      <c r="B587" s="71" t="s">
        <v>168</v>
      </c>
      <c r="C587" s="220" t="s">
        <v>16</v>
      </c>
      <c r="D587" s="314" t="s">
        <v>391</v>
      </c>
      <c r="E587" s="315"/>
      <c r="F587" s="316"/>
      <c r="G587" s="171"/>
      <c r="H587" s="207"/>
      <c r="I587" s="207"/>
      <c r="J587" s="207"/>
      <c r="K587" s="220"/>
      <c r="L587" s="141"/>
    </row>
    <row r="588" spans="1:14" ht="20.100000000000001" customHeight="1" x14ac:dyDescent="0.25">
      <c r="A588" s="126">
        <v>42573</v>
      </c>
      <c r="B588" s="71" t="s">
        <v>392</v>
      </c>
      <c r="C588" s="220" t="s">
        <v>83</v>
      </c>
      <c r="D588" s="207">
        <v>0</v>
      </c>
      <c r="E588" s="207">
        <v>0.04</v>
      </c>
      <c r="F588" s="207">
        <v>0.08</v>
      </c>
      <c r="G588" s="171"/>
      <c r="H588" s="207">
        <v>0.01</v>
      </c>
      <c r="I588" s="207">
        <v>0</v>
      </c>
      <c r="J588" s="207">
        <v>0.23</v>
      </c>
      <c r="K588" s="220" t="s">
        <v>297</v>
      </c>
      <c r="L588" s="141"/>
    </row>
    <row r="589" spans="1:14" ht="20.100000000000001" customHeight="1" x14ac:dyDescent="0.25">
      <c r="A589" s="126">
        <v>42573</v>
      </c>
      <c r="B589" s="71" t="s">
        <v>390</v>
      </c>
      <c r="C589" s="220" t="s">
        <v>83</v>
      </c>
      <c r="D589" s="207">
        <v>0.03</v>
      </c>
      <c r="E589" s="207">
        <v>0.05</v>
      </c>
      <c r="F589" s="207">
        <v>0.23</v>
      </c>
      <c r="G589" s="171"/>
      <c r="H589" s="207">
        <v>0</v>
      </c>
      <c r="I589" s="207">
        <v>0.01</v>
      </c>
      <c r="J589" s="207">
        <v>0.21</v>
      </c>
      <c r="K589" s="220" t="s">
        <v>298</v>
      </c>
      <c r="L589" s="141">
        <v>12678.5</v>
      </c>
      <c r="M589" s="148">
        <f>L589-L584</f>
        <v>7.7999999999992724</v>
      </c>
      <c r="N589" s="187" t="s">
        <v>330</v>
      </c>
    </row>
    <row r="590" spans="1:14" ht="20.100000000000001" customHeight="1" x14ac:dyDescent="0.25">
      <c r="A590" s="126">
        <v>42574</v>
      </c>
      <c r="B590" s="134" t="s">
        <v>93</v>
      </c>
      <c r="C590" s="135"/>
      <c r="D590" s="300" t="s">
        <v>334</v>
      </c>
      <c r="E590" s="301"/>
      <c r="F590" s="302"/>
      <c r="G590" s="171"/>
      <c r="H590" s="207"/>
      <c r="I590" s="207"/>
      <c r="J590" s="207"/>
      <c r="K590" s="220"/>
      <c r="L590" s="141"/>
    </row>
    <row r="591" spans="1:14" ht="20.100000000000001" customHeight="1" x14ac:dyDescent="0.25">
      <c r="A591" s="126">
        <v>42575</v>
      </c>
      <c r="B591" s="134" t="s">
        <v>94</v>
      </c>
      <c r="C591" s="135"/>
      <c r="D591" s="300" t="s">
        <v>334</v>
      </c>
      <c r="E591" s="301"/>
      <c r="F591" s="302"/>
      <c r="G591" s="171"/>
      <c r="H591" s="207"/>
      <c r="I591" s="207"/>
      <c r="J591" s="207"/>
      <c r="K591" s="220"/>
      <c r="L591" s="141"/>
    </row>
    <row r="592" spans="1:14" ht="20.100000000000001" customHeight="1" x14ac:dyDescent="0.25">
      <c r="A592" s="126">
        <v>42576</v>
      </c>
      <c r="B592" s="71" t="s">
        <v>380</v>
      </c>
      <c r="C592" s="220" t="s">
        <v>83</v>
      </c>
      <c r="D592" s="207">
        <v>0.01</v>
      </c>
      <c r="E592" s="207">
        <v>0.02</v>
      </c>
      <c r="F592" s="207">
        <v>0.11</v>
      </c>
      <c r="G592" s="171"/>
      <c r="H592" s="207">
        <v>0</v>
      </c>
      <c r="I592" s="207">
        <v>0.02</v>
      </c>
      <c r="J592" s="207">
        <v>0.14000000000000001</v>
      </c>
      <c r="K592" s="220" t="s">
        <v>297</v>
      </c>
      <c r="L592" s="141"/>
    </row>
    <row r="593" spans="1:14" ht="20.100000000000001" customHeight="1" x14ac:dyDescent="0.25">
      <c r="A593" s="126">
        <v>42576</v>
      </c>
      <c r="B593" s="71" t="s">
        <v>393</v>
      </c>
      <c r="C593" s="220" t="s">
        <v>83</v>
      </c>
      <c r="D593" s="207">
        <v>0.01</v>
      </c>
      <c r="E593" s="207">
        <v>0.03</v>
      </c>
      <c r="F593" s="207">
        <v>0.09</v>
      </c>
      <c r="G593" s="171"/>
      <c r="H593" s="207">
        <v>0</v>
      </c>
      <c r="I593" s="207">
        <v>0.01</v>
      </c>
      <c r="J593" s="207">
        <v>0.14000000000000001</v>
      </c>
      <c r="K593" s="220" t="s">
        <v>298</v>
      </c>
      <c r="L593" s="141">
        <v>12682.4</v>
      </c>
      <c r="M593" s="148">
        <f>L593-L589</f>
        <v>3.8999999999996362</v>
      </c>
      <c r="N593" s="187" t="s">
        <v>330</v>
      </c>
    </row>
    <row r="594" spans="1:14" ht="20.100000000000001" customHeight="1" x14ac:dyDescent="0.25">
      <c r="A594" s="126">
        <v>42576</v>
      </c>
      <c r="B594" s="71" t="s">
        <v>173</v>
      </c>
      <c r="C594" s="317" t="s">
        <v>394</v>
      </c>
      <c r="D594" s="318"/>
      <c r="E594" s="318"/>
      <c r="F594" s="318"/>
      <c r="G594" s="318"/>
      <c r="H594" s="318"/>
      <c r="I594" s="318"/>
      <c r="J594" s="318"/>
      <c r="K594" s="318"/>
      <c r="L594" s="319"/>
    </row>
    <row r="595" spans="1:14" ht="20.100000000000001" customHeight="1" x14ac:dyDescent="0.25">
      <c r="A595" s="126">
        <v>42577</v>
      </c>
      <c r="B595" s="71" t="s">
        <v>75</v>
      </c>
      <c r="C595" s="220" t="s">
        <v>95</v>
      </c>
      <c r="D595" s="207">
        <v>0.17</v>
      </c>
      <c r="E595" s="207">
        <v>0.53</v>
      </c>
      <c r="F595" s="207">
        <v>0.48</v>
      </c>
      <c r="G595" s="171"/>
      <c r="H595" s="207">
        <v>0.04</v>
      </c>
      <c r="I595" s="207">
        <v>0.03</v>
      </c>
      <c r="J595" s="207"/>
      <c r="K595" s="220"/>
      <c r="L595" s="141"/>
    </row>
    <row r="596" spans="1:14" ht="20.100000000000001" customHeight="1" x14ac:dyDescent="0.25">
      <c r="A596" s="126">
        <v>42577</v>
      </c>
      <c r="B596" s="71" t="s">
        <v>85</v>
      </c>
      <c r="C596" s="317" t="s">
        <v>395</v>
      </c>
      <c r="D596" s="318"/>
      <c r="E596" s="318"/>
      <c r="F596" s="318"/>
      <c r="G596" s="318"/>
      <c r="H596" s="318"/>
      <c r="I596" s="318"/>
      <c r="J596" s="318"/>
      <c r="K596" s="318"/>
      <c r="L596" s="319"/>
    </row>
    <row r="597" spans="1:14" ht="20.100000000000001" customHeight="1" x14ac:dyDescent="0.25">
      <c r="A597" s="126">
        <v>42577</v>
      </c>
      <c r="B597" s="71" t="s">
        <v>158</v>
      </c>
      <c r="C597" s="220" t="s">
        <v>16</v>
      </c>
      <c r="D597" s="207">
        <v>0.02</v>
      </c>
      <c r="E597" s="207">
        <v>0.5</v>
      </c>
      <c r="F597" s="207">
        <v>0.55000000000000004</v>
      </c>
      <c r="G597" s="171"/>
      <c r="H597" s="207">
        <v>0</v>
      </c>
      <c r="I597" s="207">
        <v>0.01</v>
      </c>
      <c r="J597" s="207">
        <v>0.18</v>
      </c>
      <c r="K597" s="220" t="s">
        <v>298</v>
      </c>
      <c r="L597" s="141">
        <v>12691.9</v>
      </c>
      <c r="M597" s="148">
        <f>L597-L593</f>
        <v>9.5</v>
      </c>
      <c r="N597" s="187" t="s">
        <v>330</v>
      </c>
    </row>
    <row r="598" spans="1:14" ht="20.100000000000001" customHeight="1" x14ac:dyDescent="0.25">
      <c r="A598" s="126">
        <v>42577</v>
      </c>
      <c r="B598" s="71" t="s">
        <v>154</v>
      </c>
      <c r="C598" s="220" t="s">
        <v>16</v>
      </c>
      <c r="D598" s="314" t="s">
        <v>385</v>
      </c>
      <c r="E598" s="315"/>
      <c r="F598" s="316"/>
      <c r="G598" s="171"/>
      <c r="H598" s="207"/>
      <c r="I598" s="207"/>
      <c r="J598" s="207"/>
      <c r="K598" s="220"/>
      <c r="L598" s="141"/>
    </row>
    <row r="599" spans="1:14" ht="20.100000000000001" customHeight="1" x14ac:dyDescent="0.25">
      <c r="A599" s="126">
        <v>42578</v>
      </c>
      <c r="B599" s="71" t="s">
        <v>396</v>
      </c>
      <c r="C599" s="220" t="s">
        <v>95</v>
      </c>
      <c r="D599" s="207">
        <v>0.02</v>
      </c>
      <c r="E599" s="207">
        <v>0.22</v>
      </c>
      <c r="F599" s="207">
        <v>0.22</v>
      </c>
      <c r="G599" s="171"/>
      <c r="H599" s="207">
        <v>0</v>
      </c>
      <c r="I599" s="207">
        <v>0.01</v>
      </c>
      <c r="J599" s="207">
        <v>0.09</v>
      </c>
      <c r="K599" s="220" t="s">
        <v>297</v>
      </c>
      <c r="L599" s="141"/>
    </row>
    <row r="600" spans="1:14" ht="20.100000000000001" customHeight="1" x14ac:dyDescent="0.25">
      <c r="A600" s="126">
        <v>42578</v>
      </c>
      <c r="B600" s="71" t="s">
        <v>397</v>
      </c>
      <c r="C600" s="220" t="s">
        <v>83</v>
      </c>
      <c r="D600" s="207">
        <v>0.02</v>
      </c>
      <c r="E600" s="207">
        <v>0.01</v>
      </c>
      <c r="F600" s="207">
        <v>0.48</v>
      </c>
      <c r="G600" s="171"/>
      <c r="H600" s="207">
        <v>0</v>
      </c>
      <c r="I600" s="207">
        <v>0.01</v>
      </c>
      <c r="J600" s="207">
        <v>0.08</v>
      </c>
      <c r="K600" s="220" t="s">
        <v>298</v>
      </c>
      <c r="L600" s="141">
        <v>12697.9</v>
      </c>
      <c r="M600" s="148">
        <f>L600-L597</f>
        <v>6</v>
      </c>
      <c r="N600" s="187" t="s">
        <v>330</v>
      </c>
    </row>
    <row r="601" spans="1:14" ht="20.100000000000001" customHeight="1" x14ac:dyDescent="0.25">
      <c r="A601" s="126">
        <v>42579</v>
      </c>
      <c r="B601" s="71" t="s">
        <v>63</v>
      </c>
      <c r="C601" s="220" t="s">
        <v>83</v>
      </c>
      <c r="D601" s="207">
        <v>0.02</v>
      </c>
      <c r="E601" s="207">
        <v>0.17</v>
      </c>
      <c r="F601" s="207">
        <v>0.28999999999999998</v>
      </c>
      <c r="G601" s="171"/>
      <c r="H601" s="207">
        <v>0.01</v>
      </c>
      <c r="I601" s="207">
        <v>0.01</v>
      </c>
      <c r="J601" s="207">
        <v>0.26</v>
      </c>
      <c r="K601" s="220" t="s">
        <v>297</v>
      </c>
      <c r="L601" s="141"/>
    </row>
    <row r="602" spans="1:14" ht="20.100000000000001" customHeight="1" x14ac:dyDescent="0.25">
      <c r="A602" s="126">
        <v>42579</v>
      </c>
      <c r="B602" s="71" t="s">
        <v>290</v>
      </c>
      <c r="C602" s="220" t="s">
        <v>83</v>
      </c>
      <c r="D602" s="207">
        <v>0.02</v>
      </c>
      <c r="E602" s="207">
        <v>0.18</v>
      </c>
      <c r="F602" s="207">
        <v>0.27</v>
      </c>
      <c r="G602" s="171"/>
      <c r="H602" s="207">
        <v>0</v>
      </c>
      <c r="I602" s="207">
        <v>0.01</v>
      </c>
      <c r="J602" s="207">
        <v>0.18</v>
      </c>
      <c r="K602" s="220" t="s">
        <v>298</v>
      </c>
      <c r="L602" s="141">
        <v>12710</v>
      </c>
      <c r="M602" s="148">
        <f>L602-L600</f>
        <v>12.100000000000364</v>
      </c>
      <c r="N602" s="187" t="s">
        <v>330</v>
      </c>
    </row>
    <row r="603" spans="1:14" ht="20.100000000000001" customHeight="1" x14ac:dyDescent="0.25">
      <c r="A603" s="126">
        <v>42580</v>
      </c>
      <c r="B603" s="71" t="s">
        <v>66</v>
      </c>
      <c r="C603" s="220" t="s">
        <v>95</v>
      </c>
      <c r="D603" s="207">
        <v>0.04</v>
      </c>
      <c r="E603" s="207">
        <v>0.15</v>
      </c>
      <c r="F603" s="207">
        <v>0.14000000000000001</v>
      </c>
      <c r="G603" s="171"/>
      <c r="H603" s="207">
        <v>0.02</v>
      </c>
      <c r="I603" s="207">
        <v>0.06</v>
      </c>
      <c r="J603" s="207">
        <v>0.14000000000000001</v>
      </c>
      <c r="K603" s="220" t="s">
        <v>297</v>
      </c>
      <c r="L603" s="141"/>
    </row>
    <row r="604" spans="1:14" ht="20.100000000000001" customHeight="1" x14ac:dyDescent="0.25">
      <c r="A604" s="126">
        <v>42581</v>
      </c>
      <c r="B604" s="134" t="s">
        <v>93</v>
      </c>
      <c r="C604" s="135"/>
      <c r="D604" s="300" t="s">
        <v>334</v>
      </c>
      <c r="E604" s="301"/>
      <c r="F604" s="302"/>
      <c r="G604" s="171"/>
      <c r="H604" s="207"/>
      <c r="I604" s="207"/>
      <c r="J604" s="207"/>
      <c r="K604" s="220"/>
      <c r="L604" s="141"/>
    </row>
    <row r="605" spans="1:14" ht="20.100000000000001" customHeight="1" x14ac:dyDescent="0.25">
      <c r="A605" s="126">
        <v>42582</v>
      </c>
      <c r="B605" s="134" t="s">
        <v>94</v>
      </c>
      <c r="C605" s="135"/>
      <c r="D605" s="300" t="s">
        <v>334</v>
      </c>
      <c r="E605" s="301"/>
      <c r="F605" s="302"/>
      <c r="G605" s="171"/>
      <c r="H605" s="207"/>
      <c r="I605" s="207"/>
      <c r="J605" s="207"/>
      <c r="K605" s="220"/>
      <c r="L605" s="141"/>
    </row>
    <row r="606" spans="1:14" ht="20.100000000000001" customHeight="1" x14ac:dyDescent="0.25">
      <c r="A606" s="126">
        <v>42583</v>
      </c>
      <c r="B606" s="71" t="s">
        <v>353</v>
      </c>
      <c r="C606" s="220" t="s">
        <v>83</v>
      </c>
      <c r="D606" s="207">
        <v>0.01</v>
      </c>
      <c r="E606" s="207">
        <v>0.1</v>
      </c>
      <c r="F606" s="207">
        <v>0.25</v>
      </c>
      <c r="G606" s="171"/>
      <c r="H606" s="207">
        <v>0</v>
      </c>
      <c r="I606" s="207">
        <v>0.01</v>
      </c>
      <c r="J606" s="207">
        <v>0.15</v>
      </c>
      <c r="K606" s="220" t="s">
        <v>297</v>
      </c>
      <c r="L606" s="141"/>
    </row>
    <row r="607" spans="1:14" ht="20.100000000000001" customHeight="1" x14ac:dyDescent="0.25">
      <c r="A607" s="126">
        <v>42583</v>
      </c>
      <c r="B607" s="71" t="s">
        <v>398</v>
      </c>
      <c r="C607" s="317" t="s">
        <v>399</v>
      </c>
      <c r="D607" s="318"/>
      <c r="E607" s="318"/>
      <c r="F607" s="318"/>
      <c r="G607" s="318"/>
      <c r="H607" s="318"/>
      <c r="I607" s="318"/>
      <c r="J607" s="318"/>
      <c r="K607" s="318"/>
      <c r="L607" s="319"/>
    </row>
    <row r="608" spans="1:14" ht="20.100000000000001" customHeight="1" x14ac:dyDescent="0.25">
      <c r="A608" s="126">
        <v>42583</v>
      </c>
      <c r="B608" s="71" t="s">
        <v>90</v>
      </c>
      <c r="C608" s="220">
        <v>0.09</v>
      </c>
      <c r="D608" s="207">
        <v>0.76</v>
      </c>
      <c r="E608" s="207">
        <v>0.64</v>
      </c>
      <c r="F608" s="207"/>
      <c r="G608" s="171"/>
      <c r="H608" s="207">
        <v>0</v>
      </c>
      <c r="I608" s="207">
        <v>0.01</v>
      </c>
      <c r="J608" s="207">
        <v>0.14000000000000001</v>
      </c>
      <c r="K608" s="220" t="s">
        <v>298</v>
      </c>
      <c r="L608" s="141">
        <v>12717.6</v>
      </c>
      <c r="M608" s="148">
        <f>L608-L602</f>
        <v>7.6000000000003638</v>
      </c>
      <c r="N608" s="187" t="s">
        <v>330</v>
      </c>
    </row>
    <row r="609" spans="1:14" ht="20.100000000000001" customHeight="1" x14ac:dyDescent="0.25">
      <c r="A609" s="126">
        <v>42584</v>
      </c>
      <c r="B609" s="71" t="s">
        <v>400</v>
      </c>
      <c r="C609" s="220" t="s">
        <v>83</v>
      </c>
      <c r="D609" s="207">
        <v>0.06</v>
      </c>
      <c r="E609" s="207">
        <v>0.47</v>
      </c>
      <c r="F609" s="207">
        <v>0.45</v>
      </c>
      <c r="G609" s="171"/>
      <c r="H609" s="207">
        <v>0</v>
      </c>
      <c r="I609" s="207">
        <v>0</v>
      </c>
      <c r="J609" s="207">
        <v>0.17</v>
      </c>
      <c r="K609" s="220" t="s">
        <v>297</v>
      </c>
      <c r="L609" s="141"/>
    </row>
    <row r="610" spans="1:14" ht="20.100000000000001" customHeight="1" x14ac:dyDescent="0.25">
      <c r="A610" s="126">
        <v>42584</v>
      </c>
      <c r="B610" s="71" t="s">
        <v>66</v>
      </c>
      <c r="C610" s="220" t="s">
        <v>16</v>
      </c>
      <c r="D610" s="314" t="s">
        <v>383</v>
      </c>
      <c r="E610" s="315"/>
      <c r="F610" s="316"/>
      <c r="G610" s="171"/>
      <c r="H610" s="207"/>
      <c r="I610" s="207"/>
      <c r="J610" s="207"/>
      <c r="K610" s="220"/>
      <c r="L610" s="141"/>
    </row>
    <row r="611" spans="1:14" ht="20.100000000000001" customHeight="1" x14ac:dyDescent="0.25">
      <c r="A611" s="126">
        <v>42584</v>
      </c>
      <c r="B611" s="71" t="s">
        <v>223</v>
      </c>
      <c r="C611" s="220" t="s">
        <v>16</v>
      </c>
      <c r="D611" s="207">
        <v>0.08</v>
      </c>
      <c r="E611" s="207">
        <v>0.47</v>
      </c>
      <c r="F611" s="207" t="s">
        <v>401</v>
      </c>
      <c r="G611" s="171"/>
      <c r="H611" s="207"/>
      <c r="I611" s="207"/>
      <c r="J611" s="207"/>
      <c r="K611" s="220"/>
      <c r="L611" s="141"/>
    </row>
    <row r="612" spans="1:14" ht="20.100000000000001" customHeight="1" x14ac:dyDescent="0.25">
      <c r="A612" s="126">
        <v>42584</v>
      </c>
      <c r="B612" s="71" t="s">
        <v>402</v>
      </c>
      <c r="C612" s="220" t="s">
        <v>16</v>
      </c>
      <c r="D612" s="314" t="s">
        <v>383</v>
      </c>
      <c r="E612" s="315"/>
      <c r="F612" s="316"/>
      <c r="G612" s="171"/>
      <c r="H612" s="207"/>
      <c r="I612" s="207"/>
      <c r="J612" s="207"/>
      <c r="K612" s="220"/>
      <c r="L612" s="141"/>
    </row>
    <row r="613" spans="1:14" ht="20.100000000000001" customHeight="1" x14ac:dyDescent="0.25">
      <c r="A613" s="126">
        <v>42584</v>
      </c>
      <c r="B613" s="71" t="s">
        <v>403</v>
      </c>
      <c r="C613" s="220" t="s">
        <v>16</v>
      </c>
      <c r="D613" s="207">
        <v>0.26</v>
      </c>
      <c r="E613" s="207">
        <v>0.44</v>
      </c>
      <c r="F613" s="207" t="s">
        <v>401</v>
      </c>
      <c r="G613" s="171"/>
      <c r="H613" s="207"/>
      <c r="I613" s="207"/>
      <c r="J613" s="207"/>
      <c r="K613" s="220"/>
      <c r="L613" s="141"/>
    </row>
    <row r="614" spans="1:14" ht="20.100000000000001" customHeight="1" x14ac:dyDescent="0.25">
      <c r="A614" s="126">
        <v>42584</v>
      </c>
      <c r="B614" s="71" t="s">
        <v>90</v>
      </c>
      <c r="C614" s="220" t="s">
        <v>16</v>
      </c>
      <c r="D614" s="207">
        <v>0.11</v>
      </c>
      <c r="E614" s="207">
        <v>0.17</v>
      </c>
      <c r="F614" s="207">
        <v>0.11</v>
      </c>
      <c r="G614" s="171"/>
      <c r="H614" s="207">
        <v>0</v>
      </c>
      <c r="I614" s="207">
        <v>0</v>
      </c>
      <c r="J614" s="207">
        <v>7.0000000000000007E-2</v>
      </c>
      <c r="K614" s="220" t="s">
        <v>298</v>
      </c>
      <c r="L614" s="141">
        <v>12721.9</v>
      </c>
      <c r="M614" s="148">
        <f>L614-L608</f>
        <v>4.2999999999992724</v>
      </c>
      <c r="N614" s="187" t="s">
        <v>330</v>
      </c>
    </row>
    <row r="615" spans="1:14" ht="20.100000000000001" customHeight="1" x14ac:dyDescent="0.25">
      <c r="A615" s="126">
        <v>42585</v>
      </c>
      <c r="B615" s="71" t="s">
        <v>75</v>
      </c>
      <c r="C615" s="220" t="s">
        <v>83</v>
      </c>
      <c r="D615" s="207">
        <v>0.09</v>
      </c>
      <c r="E615" s="207">
        <v>0.12</v>
      </c>
      <c r="F615" s="207">
        <v>0.12</v>
      </c>
      <c r="G615" s="171"/>
      <c r="H615" s="207">
        <v>0</v>
      </c>
      <c r="I615" s="207" t="s">
        <v>404</v>
      </c>
      <c r="J615" s="207">
        <v>0.19</v>
      </c>
      <c r="K615" s="220" t="s">
        <v>297</v>
      </c>
      <c r="L615" s="141"/>
    </row>
    <row r="616" spans="1:14" ht="20.100000000000001" customHeight="1" x14ac:dyDescent="0.25">
      <c r="A616" s="126">
        <v>42585</v>
      </c>
      <c r="B616" s="71" t="s">
        <v>154</v>
      </c>
      <c r="C616" s="220" t="s">
        <v>16</v>
      </c>
      <c r="D616" s="207">
        <v>0.06</v>
      </c>
      <c r="E616" s="207">
        <v>0.09</v>
      </c>
      <c r="F616" s="207">
        <v>0.33</v>
      </c>
      <c r="G616" s="171"/>
      <c r="H616" s="207">
        <v>0</v>
      </c>
      <c r="I616" s="207">
        <v>0.01</v>
      </c>
      <c r="J616" s="207">
        <v>0.38</v>
      </c>
      <c r="K616" s="220" t="s">
        <v>298</v>
      </c>
      <c r="L616" s="141">
        <v>12728.2</v>
      </c>
      <c r="M616" s="148">
        <f>L616-L614</f>
        <v>6.3000000000010914</v>
      </c>
      <c r="N616" s="187" t="s">
        <v>330</v>
      </c>
    </row>
    <row r="617" spans="1:14" ht="20.100000000000001" customHeight="1" x14ac:dyDescent="0.25">
      <c r="A617" s="126">
        <v>42586</v>
      </c>
      <c r="B617" s="71" t="s">
        <v>405</v>
      </c>
      <c r="C617" s="220" t="s">
        <v>83</v>
      </c>
      <c r="D617" s="207">
        <v>0.03</v>
      </c>
      <c r="E617" s="207">
        <v>0.08</v>
      </c>
      <c r="F617" s="207">
        <v>0.13</v>
      </c>
      <c r="G617" s="171"/>
      <c r="H617" s="207">
        <v>0</v>
      </c>
      <c r="I617" s="207">
        <v>0</v>
      </c>
      <c r="J617" s="207">
        <v>0.24</v>
      </c>
      <c r="K617" s="220" t="s">
        <v>297</v>
      </c>
      <c r="L617" s="141"/>
    </row>
    <row r="618" spans="1:14" ht="20.100000000000001" customHeight="1" x14ac:dyDescent="0.25">
      <c r="A618" s="126">
        <v>42586</v>
      </c>
      <c r="B618" s="71" t="s">
        <v>90</v>
      </c>
      <c r="C618" s="220" t="s">
        <v>16</v>
      </c>
      <c r="D618" s="288" t="s">
        <v>406</v>
      </c>
      <c r="E618" s="289"/>
      <c r="F618" s="290"/>
      <c r="G618" s="171"/>
      <c r="H618" s="207"/>
      <c r="I618" s="207"/>
      <c r="J618" s="207"/>
      <c r="K618" s="220"/>
      <c r="L618" s="141"/>
    </row>
    <row r="619" spans="1:14" ht="20.100000000000001" customHeight="1" x14ac:dyDescent="0.25">
      <c r="A619" s="126">
        <v>42587</v>
      </c>
      <c r="B619" s="71" t="s">
        <v>407</v>
      </c>
      <c r="C619" s="220" t="s">
        <v>95</v>
      </c>
      <c r="D619" s="207">
        <v>0.04</v>
      </c>
      <c r="E619" s="207">
        <v>0.05</v>
      </c>
      <c r="F619" s="207">
        <v>0.05</v>
      </c>
      <c r="G619" s="171"/>
      <c r="H619" s="207">
        <v>0.03</v>
      </c>
      <c r="I619" s="207">
        <v>0.03</v>
      </c>
      <c r="J619" s="207">
        <v>0.04</v>
      </c>
      <c r="K619" s="220" t="s">
        <v>297</v>
      </c>
      <c r="L619" s="141"/>
    </row>
    <row r="620" spans="1:14" ht="20.100000000000001" customHeight="1" x14ac:dyDescent="0.25">
      <c r="A620" s="126">
        <v>42587</v>
      </c>
      <c r="B620" s="71" t="s">
        <v>184</v>
      </c>
      <c r="C620" s="317" t="s">
        <v>408</v>
      </c>
      <c r="D620" s="318"/>
      <c r="E620" s="318"/>
      <c r="F620" s="318"/>
      <c r="G620" s="318"/>
      <c r="H620" s="318"/>
      <c r="I620" s="318"/>
      <c r="J620" s="318"/>
      <c r="K620" s="318"/>
      <c r="L620" s="319"/>
    </row>
    <row r="621" spans="1:14" ht="20.100000000000001" customHeight="1" x14ac:dyDescent="0.25">
      <c r="A621" s="126">
        <v>42588</v>
      </c>
      <c r="B621" s="134" t="s">
        <v>93</v>
      </c>
      <c r="C621" s="135"/>
      <c r="D621" s="300" t="s">
        <v>334</v>
      </c>
      <c r="E621" s="301"/>
      <c r="F621" s="302"/>
      <c r="G621" s="171"/>
      <c r="H621" s="207"/>
      <c r="I621" s="207"/>
      <c r="J621" s="207"/>
      <c r="K621" s="220"/>
      <c r="L621" s="141"/>
    </row>
    <row r="622" spans="1:14" ht="20.100000000000001" customHeight="1" x14ac:dyDescent="0.25">
      <c r="A622" s="126">
        <v>42589</v>
      </c>
      <c r="B622" s="134" t="s">
        <v>94</v>
      </c>
      <c r="C622" s="135"/>
      <c r="D622" s="300" t="s">
        <v>334</v>
      </c>
      <c r="E622" s="301"/>
      <c r="F622" s="302"/>
      <c r="G622" s="171"/>
      <c r="H622" s="207"/>
      <c r="I622" s="207"/>
      <c r="J622" s="207"/>
      <c r="K622" s="220"/>
      <c r="L622" s="141"/>
    </row>
    <row r="623" spans="1:14" ht="20.100000000000001" customHeight="1" x14ac:dyDescent="0.25">
      <c r="A623" s="126">
        <v>42590</v>
      </c>
      <c r="B623" s="71" t="s">
        <v>409</v>
      </c>
      <c r="C623" s="220" t="s">
        <v>16</v>
      </c>
      <c r="D623" s="207">
        <v>0.03</v>
      </c>
      <c r="E623" s="207">
        <v>0.28000000000000003</v>
      </c>
      <c r="F623" s="207">
        <v>0.45</v>
      </c>
      <c r="G623" s="171"/>
      <c r="H623" s="207">
        <v>0</v>
      </c>
      <c r="I623" s="207">
        <v>0</v>
      </c>
      <c r="J623" s="207">
        <v>0.26</v>
      </c>
      <c r="K623" s="220" t="s">
        <v>297</v>
      </c>
      <c r="L623" s="141"/>
    </row>
    <row r="624" spans="1:14" ht="20.100000000000001" customHeight="1" x14ac:dyDescent="0.25">
      <c r="A624" s="126">
        <v>42590</v>
      </c>
      <c r="B624" s="71" t="s">
        <v>310</v>
      </c>
      <c r="C624" s="220" t="s">
        <v>16</v>
      </c>
      <c r="D624" s="288" t="s">
        <v>410</v>
      </c>
      <c r="E624" s="289"/>
      <c r="F624" s="290"/>
      <c r="G624" s="171"/>
      <c r="H624" s="207"/>
      <c r="I624" s="207"/>
      <c r="J624" s="207"/>
      <c r="K624" s="220"/>
      <c r="L624" s="141"/>
    </row>
    <row r="625" spans="1:14" ht="20.100000000000001" customHeight="1" x14ac:dyDescent="0.25">
      <c r="A625" s="126">
        <v>42590</v>
      </c>
      <c r="B625" s="71" t="s">
        <v>299</v>
      </c>
      <c r="C625" s="220" t="s">
        <v>16</v>
      </c>
      <c r="D625" s="208">
        <v>0.17</v>
      </c>
      <c r="E625" s="209">
        <v>0.34</v>
      </c>
      <c r="F625" s="210">
        <v>0.22</v>
      </c>
      <c r="G625" s="171"/>
      <c r="H625" s="207">
        <v>0</v>
      </c>
      <c r="I625" s="207">
        <v>0</v>
      </c>
      <c r="J625" s="207">
        <v>0.2</v>
      </c>
      <c r="K625" s="220" t="s">
        <v>298</v>
      </c>
      <c r="L625" s="141">
        <v>12741.2</v>
      </c>
      <c r="M625" s="148">
        <f>L625-L616</f>
        <v>13</v>
      </c>
      <c r="N625" s="187" t="s">
        <v>330</v>
      </c>
    </row>
    <row r="626" spans="1:14" ht="20.100000000000001" customHeight="1" x14ac:dyDescent="0.25">
      <c r="A626" s="126">
        <v>42591</v>
      </c>
      <c r="B626" s="74" t="s">
        <v>72</v>
      </c>
      <c r="C626" s="1" t="s">
        <v>16</v>
      </c>
      <c r="D626" s="212">
        <v>0.08</v>
      </c>
      <c r="E626" s="212">
        <v>0.12</v>
      </c>
      <c r="F626" s="212">
        <v>0.18</v>
      </c>
      <c r="G626" s="175"/>
      <c r="H626" s="207">
        <v>0</v>
      </c>
      <c r="I626" s="207">
        <v>0.03</v>
      </c>
      <c r="J626" s="207">
        <v>0.23</v>
      </c>
      <c r="K626" s="220" t="s">
        <v>298</v>
      </c>
      <c r="L626" s="176">
        <v>12745.6</v>
      </c>
      <c r="M626" s="148">
        <f>L626-L625</f>
        <v>4.3999999999996362</v>
      </c>
      <c r="N626" s="187" t="s">
        <v>330</v>
      </c>
    </row>
    <row r="627" spans="1:14" ht="20.100000000000001" customHeight="1" x14ac:dyDescent="0.25">
      <c r="A627" s="126">
        <v>42592</v>
      </c>
      <c r="B627" s="74" t="s">
        <v>71</v>
      </c>
      <c r="C627" s="1" t="s">
        <v>16</v>
      </c>
      <c r="D627" s="212">
        <v>0.48</v>
      </c>
      <c r="E627" s="212">
        <v>0.55000000000000004</v>
      </c>
      <c r="F627" s="212">
        <v>0.2</v>
      </c>
      <c r="G627" s="175"/>
      <c r="H627" s="207">
        <v>0</v>
      </c>
      <c r="I627" s="207">
        <v>0</v>
      </c>
      <c r="J627" s="207">
        <v>0.12</v>
      </c>
      <c r="K627" s="220" t="s">
        <v>297</v>
      </c>
    </row>
    <row r="628" spans="1:14" ht="20.100000000000001" customHeight="1" x14ac:dyDescent="0.25">
      <c r="A628" s="126">
        <v>42592</v>
      </c>
      <c r="B628" s="74" t="s">
        <v>223</v>
      </c>
      <c r="C628" s="1" t="s">
        <v>16</v>
      </c>
      <c r="D628" s="212">
        <v>0.23</v>
      </c>
      <c r="E628" s="212">
        <v>0.4</v>
      </c>
      <c r="F628" s="212">
        <v>0.32</v>
      </c>
      <c r="G628" s="175"/>
      <c r="H628" s="331" t="s">
        <v>459</v>
      </c>
      <c r="I628" s="331"/>
      <c r="J628" s="331"/>
      <c r="K628" s="220" t="s">
        <v>298</v>
      </c>
      <c r="L628" s="176">
        <v>12750.5</v>
      </c>
      <c r="M628" s="148">
        <f>L628-L626</f>
        <v>4.8999999999996362</v>
      </c>
      <c r="N628" s="187" t="s">
        <v>330</v>
      </c>
    </row>
    <row r="629" spans="1:14" ht="20.100000000000001" customHeight="1" x14ac:dyDescent="0.25">
      <c r="A629" s="126">
        <v>42593</v>
      </c>
      <c r="B629" s="74" t="s">
        <v>181</v>
      </c>
      <c r="C629" s="1" t="s">
        <v>16</v>
      </c>
      <c r="D629" s="212">
        <v>0.03</v>
      </c>
      <c r="E629" s="212">
        <v>0.08</v>
      </c>
      <c r="F629" s="212">
        <v>0.15</v>
      </c>
      <c r="G629" s="175"/>
      <c r="H629" s="207">
        <v>0</v>
      </c>
      <c r="I629" s="207">
        <v>0</v>
      </c>
      <c r="J629" s="207">
        <v>0.06</v>
      </c>
      <c r="K629" s="220" t="s">
        <v>297</v>
      </c>
    </row>
    <row r="630" spans="1:14" ht="20.100000000000001" customHeight="1" x14ac:dyDescent="0.25">
      <c r="A630" s="126">
        <v>42593</v>
      </c>
      <c r="B630" s="74" t="s">
        <v>460</v>
      </c>
      <c r="C630" s="1" t="s">
        <v>16</v>
      </c>
      <c r="D630" s="326" t="s">
        <v>408</v>
      </c>
      <c r="E630" s="326"/>
      <c r="F630" s="326"/>
      <c r="G630" s="326"/>
      <c r="H630" s="326"/>
      <c r="I630" s="326"/>
      <c r="J630" s="326"/>
      <c r="K630" s="326"/>
      <c r="L630" s="326"/>
    </row>
    <row r="631" spans="1:14" ht="20.100000000000001" customHeight="1" x14ac:dyDescent="0.25">
      <c r="A631" s="126">
        <v>42593</v>
      </c>
      <c r="B631" s="74" t="s">
        <v>192</v>
      </c>
      <c r="C631" s="1" t="s">
        <v>16</v>
      </c>
      <c r="D631" s="212">
        <v>0.25</v>
      </c>
      <c r="E631" s="212">
        <v>0.84</v>
      </c>
      <c r="F631" s="212">
        <v>0.75</v>
      </c>
      <c r="G631" s="175"/>
      <c r="H631" s="326" t="s">
        <v>461</v>
      </c>
      <c r="I631" s="326"/>
      <c r="J631" s="326"/>
      <c r="K631" s="326"/>
      <c r="L631" s="326"/>
    </row>
    <row r="632" spans="1:14" ht="20.100000000000001" customHeight="1" x14ac:dyDescent="0.25">
      <c r="A632" s="126">
        <v>42593</v>
      </c>
      <c r="B632" s="74" t="s">
        <v>462</v>
      </c>
      <c r="C632" s="1" t="s">
        <v>16</v>
      </c>
      <c r="D632" s="326" t="s">
        <v>463</v>
      </c>
      <c r="E632" s="326"/>
      <c r="F632" s="326"/>
      <c r="G632" s="175"/>
      <c r="H632" s="207">
        <v>0.11</v>
      </c>
      <c r="I632" s="207">
        <v>0.1</v>
      </c>
      <c r="J632" s="207">
        <v>0.3</v>
      </c>
      <c r="K632" s="220" t="s">
        <v>298</v>
      </c>
      <c r="L632" s="141">
        <v>12754.9</v>
      </c>
      <c r="M632" s="148">
        <f>L632-L628</f>
        <v>4.3999999999996362</v>
      </c>
      <c r="N632" s="187" t="s">
        <v>330</v>
      </c>
    </row>
    <row r="633" spans="1:14" ht="20.100000000000001" customHeight="1" x14ac:dyDescent="0.25">
      <c r="A633" s="126">
        <v>42594</v>
      </c>
      <c r="B633" s="134" t="s">
        <v>101</v>
      </c>
      <c r="C633" s="135"/>
      <c r="D633" s="300" t="s">
        <v>334</v>
      </c>
      <c r="E633" s="301"/>
      <c r="F633" s="302"/>
      <c r="G633" s="175"/>
      <c r="H633" s="207"/>
      <c r="I633" s="207"/>
      <c r="J633" s="207"/>
      <c r="K633" s="220"/>
      <c r="L633" s="141"/>
    </row>
    <row r="634" spans="1:14" ht="20.100000000000001" customHeight="1" x14ac:dyDescent="0.25">
      <c r="A634" s="126">
        <v>42595</v>
      </c>
      <c r="B634" s="134" t="s">
        <v>93</v>
      </c>
      <c r="C634" s="135"/>
      <c r="D634" s="300" t="s">
        <v>334</v>
      </c>
      <c r="E634" s="301"/>
      <c r="F634" s="302"/>
      <c r="G634" s="175"/>
      <c r="H634" s="207"/>
      <c r="I634" s="207"/>
      <c r="J634" s="207"/>
      <c r="K634" s="220"/>
      <c r="L634" s="141"/>
    </row>
    <row r="635" spans="1:14" ht="20.100000000000001" customHeight="1" x14ac:dyDescent="0.25">
      <c r="A635" s="126">
        <v>42596</v>
      </c>
      <c r="B635" s="193" t="s">
        <v>94</v>
      </c>
      <c r="C635" s="194"/>
      <c r="D635" s="327" t="s">
        <v>334</v>
      </c>
      <c r="E635" s="328"/>
      <c r="F635" s="329"/>
      <c r="G635" s="175"/>
      <c r="H635" s="207"/>
      <c r="I635" s="207"/>
      <c r="J635" s="207"/>
      <c r="K635" s="220"/>
      <c r="L635" s="141"/>
    </row>
    <row r="636" spans="1:14" ht="20.100000000000001" customHeight="1" x14ac:dyDescent="0.25">
      <c r="A636" s="126">
        <v>42597</v>
      </c>
      <c r="B636" s="71" t="s">
        <v>66</v>
      </c>
      <c r="C636" s="220" t="s">
        <v>95</v>
      </c>
      <c r="D636" s="207">
        <v>0.02</v>
      </c>
      <c r="E636" s="207">
        <v>0.11</v>
      </c>
      <c r="F636" s="207">
        <v>0.15</v>
      </c>
      <c r="G636" s="171"/>
      <c r="H636" s="207">
        <v>0</v>
      </c>
      <c r="I636" s="207">
        <v>0</v>
      </c>
      <c r="J636" s="207">
        <v>0.04</v>
      </c>
      <c r="K636" s="220" t="s">
        <v>297</v>
      </c>
      <c r="L636" s="141"/>
      <c r="M636" s="128"/>
      <c r="N636" s="217"/>
    </row>
    <row r="637" spans="1:14" ht="20.100000000000001" customHeight="1" x14ac:dyDescent="0.25">
      <c r="A637" s="126">
        <v>42598</v>
      </c>
      <c r="B637" s="71" t="s">
        <v>67</v>
      </c>
      <c r="C637" s="220" t="s">
        <v>95</v>
      </c>
      <c r="D637" s="207">
        <v>0.03</v>
      </c>
      <c r="E637" s="207">
        <v>0.03</v>
      </c>
      <c r="F637" s="207">
        <v>0.05</v>
      </c>
      <c r="G637" s="171"/>
      <c r="H637" s="207">
        <v>0</v>
      </c>
      <c r="I637" s="207">
        <v>0</v>
      </c>
      <c r="J637" s="207">
        <v>0.04</v>
      </c>
      <c r="K637" s="220" t="s">
        <v>297</v>
      </c>
      <c r="L637" s="141"/>
      <c r="M637" s="128"/>
      <c r="N637" s="217"/>
    </row>
    <row r="638" spans="1:14" ht="20.100000000000001" customHeight="1" x14ac:dyDescent="0.25">
      <c r="A638" s="126">
        <v>42598</v>
      </c>
      <c r="B638" s="71" t="s">
        <v>464</v>
      </c>
      <c r="C638" s="220" t="s">
        <v>16</v>
      </c>
      <c r="D638" s="330" t="s">
        <v>334</v>
      </c>
      <c r="E638" s="330"/>
      <c r="F638" s="330"/>
      <c r="G638" s="171"/>
      <c r="H638" s="330" t="s">
        <v>334</v>
      </c>
      <c r="I638" s="330"/>
      <c r="J638" s="330"/>
      <c r="K638" s="220" t="s">
        <v>298</v>
      </c>
      <c r="L638" s="141">
        <v>12759.1</v>
      </c>
      <c r="M638" s="128">
        <f>L638-L632</f>
        <v>4.2000000000007276</v>
      </c>
      <c r="N638" s="217" t="s">
        <v>330</v>
      </c>
    </row>
    <row r="639" spans="1:14" ht="20.100000000000001" customHeight="1" x14ac:dyDescent="0.25">
      <c r="A639" s="126">
        <v>42599</v>
      </c>
      <c r="B639" s="71" t="s">
        <v>163</v>
      </c>
      <c r="C639" s="220" t="s">
        <v>83</v>
      </c>
      <c r="D639" s="207">
        <v>0.01</v>
      </c>
      <c r="E639" s="207">
        <v>0.03</v>
      </c>
      <c r="F639" s="207">
        <v>0.12</v>
      </c>
      <c r="G639" s="171"/>
      <c r="H639" s="207">
        <v>0</v>
      </c>
      <c r="I639" s="207">
        <v>0</v>
      </c>
      <c r="J639" s="207">
        <v>0.13</v>
      </c>
      <c r="K639" s="220" t="s">
        <v>297</v>
      </c>
      <c r="L639" s="141"/>
      <c r="M639" s="128"/>
      <c r="N639" s="217"/>
    </row>
    <row r="640" spans="1:14" ht="20.100000000000001" customHeight="1" x14ac:dyDescent="0.25">
      <c r="A640" s="126">
        <v>42600</v>
      </c>
      <c r="B640" s="71" t="s">
        <v>157</v>
      </c>
      <c r="C640" s="220" t="s">
        <v>16</v>
      </c>
      <c r="D640" s="330" t="s">
        <v>334</v>
      </c>
      <c r="E640" s="330"/>
      <c r="F640" s="330"/>
      <c r="G640" s="171"/>
      <c r="H640" s="330" t="s">
        <v>334</v>
      </c>
      <c r="I640" s="330"/>
      <c r="J640" s="330"/>
      <c r="K640" s="220" t="s">
        <v>298</v>
      </c>
      <c r="L640" s="141">
        <v>12762.8</v>
      </c>
      <c r="M640" s="128">
        <f>L640-L638</f>
        <v>3.6999999999989086</v>
      </c>
      <c r="N640" s="217" t="s">
        <v>330</v>
      </c>
    </row>
    <row r="641" spans="1:14" ht="20.100000000000001" customHeight="1" x14ac:dyDescent="0.25">
      <c r="A641" s="126">
        <v>42601</v>
      </c>
      <c r="B641" s="134" t="s">
        <v>101</v>
      </c>
      <c r="C641" s="135"/>
      <c r="D641" s="300" t="s">
        <v>334</v>
      </c>
      <c r="E641" s="301"/>
      <c r="F641" s="302"/>
      <c r="G641" s="171"/>
      <c r="H641" s="207"/>
      <c r="I641" s="207"/>
      <c r="J641" s="207"/>
      <c r="K641" s="220"/>
      <c r="L641" s="141"/>
      <c r="M641" s="128"/>
      <c r="N641" s="217"/>
    </row>
    <row r="642" spans="1:14" ht="20.100000000000001" customHeight="1" x14ac:dyDescent="0.25">
      <c r="A642" s="126">
        <v>42602</v>
      </c>
      <c r="B642" s="134" t="s">
        <v>93</v>
      </c>
      <c r="C642" s="135"/>
      <c r="D642" s="300" t="s">
        <v>334</v>
      </c>
      <c r="E642" s="301"/>
      <c r="F642" s="302"/>
      <c r="G642" s="171"/>
      <c r="H642" s="207"/>
      <c r="I642" s="207"/>
      <c r="J642" s="207"/>
      <c r="K642" s="220"/>
      <c r="L642" s="141"/>
      <c r="M642" s="128"/>
      <c r="N642" s="217"/>
    </row>
    <row r="643" spans="1:14" ht="20.100000000000001" customHeight="1" x14ac:dyDescent="0.25">
      <c r="A643" s="126">
        <v>42603</v>
      </c>
      <c r="B643" s="193" t="s">
        <v>94</v>
      </c>
      <c r="C643" s="194"/>
      <c r="D643" s="327" t="s">
        <v>334</v>
      </c>
      <c r="E643" s="328"/>
      <c r="F643" s="329"/>
      <c r="G643" s="171"/>
      <c r="H643" s="207"/>
      <c r="I643" s="207"/>
      <c r="J643" s="207"/>
      <c r="K643" s="220"/>
      <c r="L643" s="141"/>
      <c r="M643" s="128"/>
      <c r="N643" s="217"/>
    </row>
    <row r="644" spans="1:14" ht="20.100000000000001" customHeight="1" x14ac:dyDescent="0.25">
      <c r="A644" s="126">
        <v>42604</v>
      </c>
      <c r="B644" s="193" t="s">
        <v>103</v>
      </c>
      <c r="C644" s="194"/>
      <c r="D644" s="327" t="s">
        <v>334</v>
      </c>
      <c r="E644" s="328"/>
      <c r="F644" s="329"/>
      <c r="G644" s="195"/>
      <c r="H644" s="196"/>
      <c r="I644" s="196"/>
      <c r="J644" s="196"/>
      <c r="K644" s="197"/>
      <c r="L644" s="198"/>
      <c r="M644" s="128"/>
      <c r="N644" s="217"/>
    </row>
    <row r="645" spans="1:14" ht="20.100000000000001" customHeight="1" x14ac:dyDescent="0.25">
      <c r="A645" s="126">
        <v>42605</v>
      </c>
      <c r="B645" s="71" t="s">
        <v>158</v>
      </c>
      <c r="C645" s="220" t="s">
        <v>16</v>
      </c>
      <c r="D645" s="331" t="s">
        <v>465</v>
      </c>
      <c r="E645" s="331"/>
      <c r="F645" s="331"/>
      <c r="G645" s="331"/>
      <c r="H645" s="331"/>
      <c r="I645" s="331"/>
      <c r="J645" s="331"/>
      <c r="K645" s="331"/>
      <c r="L645" s="331"/>
      <c r="M645" s="128"/>
      <c r="N645" s="217"/>
    </row>
    <row r="646" spans="1:14" ht="20.100000000000001" customHeight="1" x14ac:dyDescent="0.25">
      <c r="A646" s="126">
        <v>42605</v>
      </c>
      <c r="B646" s="71" t="s">
        <v>156</v>
      </c>
      <c r="C646" s="220" t="s">
        <v>16</v>
      </c>
      <c r="D646" s="207"/>
      <c r="E646" s="207"/>
      <c r="F646" s="207"/>
      <c r="G646" s="171"/>
      <c r="H646" s="288" t="s">
        <v>466</v>
      </c>
      <c r="I646" s="289"/>
      <c r="J646" s="290"/>
      <c r="K646" s="220" t="s">
        <v>298</v>
      </c>
      <c r="L646" s="141">
        <v>12767.2</v>
      </c>
      <c r="M646" s="128">
        <f>L646-L640</f>
        <v>4.4000000000014552</v>
      </c>
      <c r="N646" s="217" t="s">
        <v>330</v>
      </c>
    </row>
    <row r="647" spans="1:14" ht="20.100000000000001" customHeight="1" x14ac:dyDescent="0.25">
      <c r="A647" s="126">
        <v>42606</v>
      </c>
      <c r="B647" s="71" t="s">
        <v>467</v>
      </c>
      <c r="C647" s="220" t="s">
        <v>16</v>
      </c>
      <c r="D647" s="207">
        <v>0.05</v>
      </c>
      <c r="E647" s="207">
        <v>0.26</v>
      </c>
      <c r="F647" s="207">
        <v>0.39</v>
      </c>
      <c r="G647" s="171"/>
      <c r="H647" s="207">
        <v>0.01</v>
      </c>
      <c r="I647" s="207">
        <v>0.03</v>
      </c>
      <c r="J647" s="207">
        <v>0.2</v>
      </c>
      <c r="K647" s="220" t="s">
        <v>298</v>
      </c>
      <c r="L647" s="141">
        <v>12772.8</v>
      </c>
      <c r="M647" s="128">
        <f>L647-L646</f>
        <v>5.5999999999985448</v>
      </c>
      <c r="N647" s="217" t="s">
        <v>330</v>
      </c>
    </row>
    <row r="648" spans="1:14" ht="20.100000000000001" customHeight="1" x14ac:dyDescent="0.25">
      <c r="A648" s="126">
        <v>42606</v>
      </c>
      <c r="B648" s="71" t="s">
        <v>201</v>
      </c>
      <c r="C648" s="220" t="s">
        <v>16</v>
      </c>
      <c r="D648" s="331" t="s">
        <v>468</v>
      </c>
      <c r="E648" s="331"/>
      <c r="F648" s="331"/>
      <c r="G648" s="171"/>
      <c r="H648" s="207">
        <v>0.28000000000000003</v>
      </c>
      <c r="I648" s="207">
        <v>0.59</v>
      </c>
      <c r="J648" s="207">
        <v>0.31</v>
      </c>
      <c r="K648" s="220"/>
      <c r="L648" s="141"/>
    </row>
    <row r="649" spans="1:14" ht="20.100000000000001" customHeight="1" x14ac:dyDescent="0.25">
      <c r="A649" s="126">
        <v>42607</v>
      </c>
      <c r="B649" s="71" t="s">
        <v>231</v>
      </c>
      <c r="C649" s="220" t="s">
        <v>16</v>
      </c>
      <c r="D649" s="207">
        <v>0.05</v>
      </c>
      <c r="E649" s="207">
        <v>0.06</v>
      </c>
      <c r="F649" s="207">
        <v>0.14000000000000001</v>
      </c>
      <c r="G649" s="171"/>
      <c r="H649" s="207">
        <v>0</v>
      </c>
      <c r="I649" s="207">
        <v>0.01</v>
      </c>
      <c r="J649" s="207">
        <v>0.05</v>
      </c>
      <c r="K649" s="220" t="s">
        <v>298</v>
      </c>
      <c r="L649" s="141">
        <v>12777.5</v>
      </c>
      <c r="M649" s="148">
        <f>L649-L647</f>
        <v>4.7000000000007276</v>
      </c>
      <c r="N649" s="187" t="s">
        <v>330</v>
      </c>
    </row>
    <row r="650" spans="1:14" ht="20.100000000000001" customHeight="1" x14ac:dyDescent="0.25">
      <c r="A650" s="126">
        <v>42608</v>
      </c>
      <c r="B650" s="71" t="s">
        <v>375</v>
      </c>
      <c r="C650" s="220" t="s">
        <v>16</v>
      </c>
      <c r="D650" s="207">
        <v>0</v>
      </c>
      <c r="E650" s="207">
        <v>0.05</v>
      </c>
      <c r="F650" s="207">
        <v>7.0000000000000007E-2</v>
      </c>
      <c r="G650" s="171"/>
      <c r="H650" s="207">
        <v>0</v>
      </c>
      <c r="I650" s="207">
        <v>0.02</v>
      </c>
      <c r="J650" s="207">
        <v>7.0000000000000007E-2</v>
      </c>
      <c r="K650" s="220" t="s">
        <v>298</v>
      </c>
      <c r="L650" s="141">
        <v>12783.6</v>
      </c>
      <c r="M650" s="148">
        <f>L650-L649</f>
        <v>6.1000000000003638</v>
      </c>
      <c r="N650" s="187" t="s">
        <v>330</v>
      </c>
    </row>
    <row r="651" spans="1:14" ht="20.100000000000001" customHeight="1" x14ac:dyDescent="0.25">
      <c r="A651" s="126">
        <v>42609</v>
      </c>
      <c r="B651" s="134" t="s">
        <v>93</v>
      </c>
      <c r="C651" s="135"/>
      <c r="D651" s="300" t="s">
        <v>334</v>
      </c>
      <c r="E651" s="301"/>
      <c r="F651" s="302"/>
      <c r="G651" s="171"/>
      <c r="H651" s="207"/>
      <c r="I651" s="207"/>
      <c r="J651" s="207"/>
      <c r="K651" s="220"/>
      <c r="L651" s="141"/>
    </row>
    <row r="652" spans="1:14" ht="20.100000000000001" customHeight="1" x14ac:dyDescent="0.25">
      <c r="A652" s="126">
        <v>42610</v>
      </c>
      <c r="B652" s="193" t="s">
        <v>94</v>
      </c>
      <c r="C652" s="194"/>
      <c r="D652" s="327" t="s">
        <v>334</v>
      </c>
      <c r="E652" s="328"/>
      <c r="F652" s="329"/>
      <c r="G652" s="171"/>
      <c r="H652" s="207"/>
      <c r="I652" s="207"/>
      <c r="J652" s="207"/>
      <c r="K652" s="220"/>
      <c r="L652" s="141"/>
    </row>
    <row r="653" spans="1:14" ht="20.100000000000001" customHeight="1" x14ac:dyDescent="0.25">
      <c r="A653" s="126">
        <v>42611</v>
      </c>
      <c r="B653" s="71" t="s">
        <v>75</v>
      </c>
      <c r="C653" s="285" t="s">
        <v>334</v>
      </c>
      <c r="D653" s="286"/>
      <c r="E653" s="286"/>
      <c r="F653" s="287"/>
      <c r="G653" s="171"/>
      <c r="H653" s="288" t="s">
        <v>497</v>
      </c>
      <c r="I653" s="289"/>
      <c r="J653" s="289"/>
      <c r="K653" s="289"/>
      <c r="L653" s="290"/>
    </row>
    <row r="654" spans="1:14" ht="20.100000000000001" customHeight="1" x14ac:dyDescent="0.25">
      <c r="A654" s="126">
        <v>42612</v>
      </c>
      <c r="B654" s="71" t="s">
        <v>75</v>
      </c>
      <c r="C654" s="285" t="s">
        <v>334</v>
      </c>
      <c r="D654" s="286"/>
      <c r="E654" s="286"/>
      <c r="F654" s="287"/>
      <c r="G654" s="171"/>
      <c r="H654" s="288" t="s">
        <v>498</v>
      </c>
      <c r="I654" s="289"/>
      <c r="J654" s="289"/>
      <c r="K654" s="289"/>
      <c r="L654" s="290"/>
    </row>
    <row r="655" spans="1:14" ht="20.100000000000001" customHeight="1" x14ac:dyDescent="0.25">
      <c r="A655" s="126">
        <v>42613</v>
      </c>
      <c r="B655" s="71" t="s">
        <v>75</v>
      </c>
      <c r="C655" s="285" t="s">
        <v>334</v>
      </c>
      <c r="D655" s="286"/>
      <c r="E655" s="286"/>
      <c r="F655" s="287"/>
      <c r="G655" s="171"/>
      <c r="H655" s="288" t="s">
        <v>499</v>
      </c>
      <c r="I655" s="289"/>
      <c r="J655" s="289"/>
      <c r="K655" s="289"/>
      <c r="L655" s="290"/>
    </row>
    <row r="656" spans="1:14" ht="20.100000000000001" customHeight="1" x14ac:dyDescent="0.25">
      <c r="A656" s="126">
        <v>42614</v>
      </c>
      <c r="B656" s="71" t="s">
        <v>66</v>
      </c>
      <c r="C656" s="220" t="s">
        <v>16</v>
      </c>
      <c r="D656" s="207" t="s">
        <v>300</v>
      </c>
      <c r="E656" s="207">
        <v>0.59</v>
      </c>
      <c r="F656" s="207">
        <v>0.11</v>
      </c>
      <c r="G656" s="171"/>
      <c r="H656" s="207"/>
      <c r="I656" s="207"/>
      <c r="J656" s="207"/>
      <c r="K656" s="220" t="s">
        <v>298</v>
      </c>
      <c r="L656" s="141">
        <v>12816.8</v>
      </c>
      <c r="M656" s="148">
        <f>L656-L650</f>
        <v>33.199999999998909</v>
      </c>
      <c r="N656" s="187" t="s">
        <v>330</v>
      </c>
    </row>
    <row r="657" spans="1:14" ht="20.100000000000001" customHeight="1" x14ac:dyDescent="0.25">
      <c r="A657" s="126">
        <v>42615</v>
      </c>
      <c r="B657" s="222" t="s">
        <v>101</v>
      </c>
      <c r="C657" s="135"/>
      <c r="D657" s="300" t="s">
        <v>334</v>
      </c>
      <c r="E657" s="301"/>
      <c r="F657" s="302"/>
      <c r="G657" s="171"/>
      <c r="H657" s="207"/>
      <c r="I657" s="207"/>
      <c r="J657" s="207"/>
      <c r="K657" s="220"/>
      <c r="L657" s="141"/>
    </row>
    <row r="658" spans="1:14" ht="20.100000000000001" customHeight="1" x14ac:dyDescent="0.25">
      <c r="A658" s="126">
        <v>42616</v>
      </c>
      <c r="B658" s="134" t="s">
        <v>93</v>
      </c>
      <c r="C658" s="135"/>
      <c r="D658" s="300" t="s">
        <v>334</v>
      </c>
      <c r="E658" s="301"/>
      <c r="F658" s="302"/>
      <c r="G658" s="171"/>
      <c r="H658" s="207"/>
      <c r="I658" s="207"/>
      <c r="J658" s="207"/>
      <c r="K658" s="220"/>
      <c r="L658" s="141"/>
    </row>
    <row r="659" spans="1:14" ht="20.100000000000001" customHeight="1" x14ac:dyDescent="0.25">
      <c r="A659" s="126">
        <v>42617</v>
      </c>
      <c r="B659" s="193" t="s">
        <v>94</v>
      </c>
      <c r="C659" s="194"/>
      <c r="D659" s="327" t="s">
        <v>334</v>
      </c>
      <c r="E659" s="328"/>
      <c r="F659" s="329"/>
      <c r="G659" s="171"/>
      <c r="H659" s="207"/>
      <c r="I659" s="207"/>
      <c r="J659" s="207"/>
      <c r="K659" s="220"/>
      <c r="L659" s="141"/>
    </row>
    <row r="660" spans="1:14" ht="20.100000000000001" customHeight="1" x14ac:dyDescent="0.25">
      <c r="A660" s="126">
        <v>42618</v>
      </c>
      <c r="B660" s="193" t="s">
        <v>103</v>
      </c>
      <c r="C660" s="194" t="s">
        <v>189</v>
      </c>
      <c r="D660" s="327" t="s">
        <v>334</v>
      </c>
      <c r="E660" s="328"/>
      <c r="F660" s="329"/>
      <c r="G660" s="171"/>
      <c r="H660" s="207"/>
      <c r="I660" s="207"/>
      <c r="J660" s="207"/>
      <c r="K660" s="220"/>
      <c r="L660" s="141"/>
    </row>
    <row r="661" spans="1:14" ht="20.100000000000001" customHeight="1" x14ac:dyDescent="0.25">
      <c r="A661" s="126">
        <v>42619</v>
      </c>
      <c r="B661" s="71" t="s">
        <v>265</v>
      </c>
      <c r="C661" s="220" t="s">
        <v>16</v>
      </c>
      <c r="D661" s="207">
        <v>0.4</v>
      </c>
      <c r="E661" s="207">
        <v>0.37</v>
      </c>
      <c r="F661" s="207">
        <v>0.3</v>
      </c>
      <c r="G661" s="171"/>
      <c r="H661" s="207">
        <v>0</v>
      </c>
      <c r="I661" s="207">
        <v>0.03</v>
      </c>
      <c r="J661" s="207">
        <v>0.2</v>
      </c>
      <c r="K661" s="220" t="s">
        <v>500</v>
      </c>
      <c r="L661" s="141">
        <v>12821.2</v>
      </c>
      <c r="M661" s="148">
        <f>L661-L656</f>
        <v>4.4000000000014552</v>
      </c>
      <c r="N661" s="187" t="s">
        <v>330</v>
      </c>
    </row>
    <row r="662" spans="1:14" ht="20.100000000000001" customHeight="1" x14ac:dyDescent="0.25">
      <c r="A662" s="126">
        <v>42620</v>
      </c>
      <c r="B662" s="71" t="s">
        <v>159</v>
      </c>
      <c r="C662" s="220" t="s">
        <v>16</v>
      </c>
      <c r="D662" s="207">
        <v>0.31</v>
      </c>
      <c r="E662" s="207">
        <v>0.34</v>
      </c>
      <c r="F662" s="207">
        <v>0.23</v>
      </c>
      <c r="G662" s="171"/>
      <c r="H662" s="207">
        <v>0</v>
      </c>
      <c r="I662" s="207">
        <v>0.02</v>
      </c>
      <c r="J662" s="207">
        <v>0.08</v>
      </c>
      <c r="K662" s="220" t="s">
        <v>500</v>
      </c>
      <c r="L662" s="141">
        <v>12825.4</v>
      </c>
      <c r="M662" s="148">
        <f>L662-L661</f>
        <v>4.1999999999989086</v>
      </c>
      <c r="N662" s="187" t="s">
        <v>330</v>
      </c>
    </row>
    <row r="663" spans="1:14" ht="20.100000000000001" customHeight="1" x14ac:dyDescent="0.25">
      <c r="A663" s="126">
        <v>42621</v>
      </c>
      <c r="B663" s="222" t="s">
        <v>107</v>
      </c>
      <c r="C663" s="223" t="s">
        <v>16</v>
      </c>
      <c r="D663" s="327" t="s">
        <v>334</v>
      </c>
      <c r="E663" s="328"/>
      <c r="F663" s="329"/>
      <c r="G663" s="171"/>
      <c r="H663" s="207"/>
      <c r="I663" s="207"/>
      <c r="J663" s="207"/>
      <c r="K663" s="220"/>
      <c r="L663" s="141"/>
    </row>
    <row r="664" spans="1:14" ht="20.100000000000001" customHeight="1" x14ac:dyDescent="0.25">
      <c r="A664" s="126">
        <v>42622</v>
      </c>
      <c r="B664" s="71" t="s">
        <v>501</v>
      </c>
      <c r="C664" s="220" t="s">
        <v>16</v>
      </c>
      <c r="D664" s="207">
        <v>0.26</v>
      </c>
      <c r="E664" s="207">
        <v>0.28999999999999998</v>
      </c>
      <c r="F664" s="207">
        <v>0.21</v>
      </c>
      <c r="G664" s="171"/>
      <c r="H664" s="207">
        <v>0</v>
      </c>
      <c r="I664" s="207">
        <v>0.02</v>
      </c>
      <c r="J664" s="207">
        <v>0.21</v>
      </c>
      <c r="K664" s="220" t="s">
        <v>500</v>
      </c>
      <c r="L664" s="141">
        <v>12829.4</v>
      </c>
      <c r="M664" s="148">
        <f>L664-L662</f>
        <v>4</v>
      </c>
      <c r="N664" s="187" t="s">
        <v>330</v>
      </c>
    </row>
    <row r="665" spans="1:14" ht="20.100000000000001" customHeight="1" x14ac:dyDescent="0.25">
      <c r="A665" s="126">
        <v>42623</v>
      </c>
      <c r="B665" s="134" t="s">
        <v>93</v>
      </c>
      <c r="C665" s="135"/>
      <c r="D665" s="300" t="s">
        <v>334</v>
      </c>
      <c r="E665" s="301"/>
      <c r="F665" s="302"/>
      <c r="G665" s="171"/>
      <c r="H665" s="207"/>
      <c r="I665" s="207"/>
      <c r="J665" s="207"/>
      <c r="K665" s="220"/>
      <c r="L665" s="141"/>
    </row>
    <row r="666" spans="1:14" ht="20.100000000000001" customHeight="1" x14ac:dyDescent="0.25">
      <c r="A666" s="126">
        <v>42624</v>
      </c>
      <c r="B666" s="193" t="s">
        <v>94</v>
      </c>
      <c r="C666" s="194"/>
      <c r="D666" s="327" t="s">
        <v>334</v>
      </c>
      <c r="E666" s="328"/>
      <c r="F666" s="329"/>
      <c r="G666" s="171"/>
      <c r="H666" s="207"/>
      <c r="I666" s="207"/>
      <c r="J666" s="207"/>
      <c r="K666" s="220"/>
      <c r="L666" s="141"/>
    </row>
    <row r="667" spans="1:14" ht="20.100000000000001" customHeight="1" x14ac:dyDescent="0.25">
      <c r="A667" s="126">
        <v>42625</v>
      </c>
      <c r="B667" s="193" t="s">
        <v>103</v>
      </c>
      <c r="C667" s="194"/>
      <c r="D667" s="327" t="s">
        <v>334</v>
      </c>
      <c r="E667" s="328"/>
      <c r="F667" s="329"/>
      <c r="G667" s="171"/>
      <c r="H667" s="207"/>
      <c r="I667" s="207"/>
      <c r="J667" s="207"/>
      <c r="K667" s="220"/>
      <c r="L667" s="141"/>
    </row>
    <row r="668" spans="1:14" ht="20.100000000000001" customHeight="1" x14ac:dyDescent="0.25">
      <c r="A668" s="126">
        <v>42626</v>
      </c>
      <c r="B668" s="71" t="s">
        <v>184</v>
      </c>
      <c r="C668" s="220" t="s">
        <v>16</v>
      </c>
      <c r="D668" s="207">
        <v>0.16</v>
      </c>
      <c r="E668" s="207">
        <v>0.22</v>
      </c>
      <c r="F668" s="207">
        <v>0.1</v>
      </c>
      <c r="G668" s="171"/>
      <c r="H668" s="207">
        <v>0</v>
      </c>
      <c r="I668" s="207">
        <v>0.02</v>
      </c>
      <c r="J668" s="207">
        <v>0.1</v>
      </c>
      <c r="K668" s="220" t="s">
        <v>500</v>
      </c>
      <c r="L668" s="141">
        <v>12833.6</v>
      </c>
      <c r="M668" s="148">
        <f>L668-L664</f>
        <v>4.2000000000007276</v>
      </c>
      <c r="N668" s="187" t="s">
        <v>330</v>
      </c>
    </row>
    <row r="669" spans="1:14" ht="20.100000000000001" customHeight="1" x14ac:dyDescent="0.25">
      <c r="A669" s="126">
        <v>42627</v>
      </c>
      <c r="B669" s="71" t="s">
        <v>299</v>
      </c>
      <c r="C669" s="220" t="s">
        <v>16</v>
      </c>
      <c r="D669" s="207">
        <v>0.01</v>
      </c>
      <c r="E669" s="207">
        <v>0.03</v>
      </c>
      <c r="F669" s="207">
        <v>0.26</v>
      </c>
      <c r="G669" s="171"/>
      <c r="H669" s="207">
        <v>0</v>
      </c>
      <c r="I669" s="207">
        <v>0.02</v>
      </c>
      <c r="J669" s="207">
        <v>0.18</v>
      </c>
      <c r="K669" s="220" t="s">
        <v>500</v>
      </c>
      <c r="L669" s="141">
        <v>12844.4</v>
      </c>
      <c r="M669" s="148">
        <f>L669-L668</f>
        <v>10.799999999999272</v>
      </c>
      <c r="N669" s="187" t="s">
        <v>330</v>
      </c>
    </row>
    <row r="670" spans="1:14" ht="20.100000000000001" customHeight="1" x14ac:dyDescent="0.25">
      <c r="A670" s="126">
        <v>42628</v>
      </c>
      <c r="B670" s="71" t="s">
        <v>186</v>
      </c>
      <c r="C670" s="220" t="s">
        <v>16</v>
      </c>
      <c r="D670" s="220">
        <v>0.01</v>
      </c>
      <c r="E670" s="220">
        <v>0.03</v>
      </c>
      <c r="F670" s="220">
        <v>0.17</v>
      </c>
      <c r="G670" s="174"/>
      <c r="H670" s="207">
        <v>0</v>
      </c>
      <c r="I670" s="207">
        <v>0.01</v>
      </c>
      <c r="J670" s="220">
        <v>7.0000000000000007E-2</v>
      </c>
      <c r="K670" s="220" t="s">
        <v>500</v>
      </c>
      <c r="L670" s="141">
        <v>12850.7</v>
      </c>
      <c r="M670" s="148">
        <f>L670-L669</f>
        <v>6.3000000000010914</v>
      </c>
      <c r="N670" s="187" t="s">
        <v>330</v>
      </c>
    </row>
    <row r="671" spans="1:14" ht="20.100000000000001" customHeight="1" x14ac:dyDescent="0.25">
      <c r="A671" s="126">
        <v>42629</v>
      </c>
      <c r="B671" s="71" t="s">
        <v>71</v>
      </c>
      <c r="C671" s="285" t="s">
        <v>502</v>
      </c>
      <c r="D671" s="286"/>
      <c r="E671" s="286"/>
      <c r="F671" s="286"/>
      <c r="G671" s="286"/>
      <c r="H671" s="286"/>
      <c r="I671" s="286"/>
      <c r="J671" s="286"/>
      <c r="K671" s="286"/>
      <c r="L671" s="287"/>
    </row>
    <row r="672" spans="1:14" ht="20.100000000000001" customHeight="1" x14ac:dyDescent="0.25">
      <c r="A672" s="126">
        <v>42629</v>
      </c>
      <c r="B672" s="71" t="s">
        <v>173</v>
      </c>
      <c r="C672" s="220" t="s">
        <v>16</v>
      </c>
      <c r="D672" s="220">
        <v>0.04</v>
      </c>
      <c r="E672" s="220">
        <v>0.27</v>
      </c>
      <c r="F672" s="220">
        <v>0.38</v>
      </c>
      <c r="G672" s="174"/>
      <c r="H672" s="288" t="s">
        <v>503</v>
      </c>
      <c r="I672" s="289"/>
      <c r="J672" s="290"/>
      <c r="K672" s="220"/>
      <c r="L672" s="141"/>
    </row>
    <row r="673" spans="1:14" ht="20.100000000000001" customHeight="1" x14ac:dyDescent="0.25">
      <c r="A673" s="126">
        <v>42630</v>
      </c>
      <c r="B673" s="134" t="s">
        <v>93</v>
      </c>
      <c r="C673" s="135"/>
      <c r="D673" s="300" t="s">
        <v>334</v>
      </c>
      <c r="E673" s="301"/>
      <c r="F673" s="302"/>
      <c r="G673" s="174"/>
      <c r="H673" s="207"/>
      <c r="I673" s="207"/>
      <c r="J673" s="220"/>
      <c r="K673" s="220"/>
      <c r="L673" s="141"/>
    </row>
    <row r="674" spans="1:14" ht="20.100000000000001" customHeight="1" x14ac:dyDescent="0.25">
      <c r="A674" s="126">
        <v>42631</v>
      </c>
      <c r="B674" s="193" t="s">
        <v>94</v>
      </c>
      <c r="C674" s="194"/>
      <c r="D674" s="327" t="s">
        <v>334</v>
      </c>
      <c r="E674" s="328"/>
      <c r="F674" s="329"/>
      <c r="G674" s="174"/>
      <c r="H674" s="207"/>
      <c r="I674" s="207"/>
      <c r="J674" s="220"/>
      <c r="K674" s="220"/>
      <c r="L674" s="141"/>
    </row>
    <row r="675" spans="1:14" ht="20.100000000000001" customHeight="1" x14ac:dyDescent="0.25">
      <c r="A675" s="126">
        <v>42632</v>
      </c>
      <c r="B675" s="71" t="s">
        <v>198</v>
      </c>
      <c r="C675" s="220" t="s">
        <v>16</v>
      </c>
      <c r="D675" s="220">
        <v>0.01</v>
      </c>
      <c r="E675" s="220">
        <v>0.21</v>
      </c>
      <c r="F675" s="220" t="s">
        <v>347</v>
      </c>
      <c r="G675" s="174"/>
      <c r="H675" s="207"/>
      <c r="I675" s="207"/>
      <c r="J675" s="220"/>
      <c r="K675" s="220"/>
      <c r="L675" s="141"/>
    </row>
    <row r="676" spans="1:14" ht="20.100000000000001" customHeight="1" x14ac:dyDescent="0.25">
      <c r="A676" s="126">
        <v>42633</v>
      </c>
      <c r="B676" s="134" t="s">
        <v>104</v>
      </c>
      <c r="C676" s="135"/>
      <c r="D676" s="300" t="s">
        <v>334</v>
      </c>
      <c r="E676" s="301"/>
      <c r="F676" s="302"/>
      <c r="G676" s="174"/>
      <c r="H676" s="207"/>
      <c r="I676" s="207"/>
      <c r="J676" s="220"/>
      <c r="K676" s="220"/>
      <c r="L676" s="141"/>
    </row>
    <row r="677" spans="1:14" ht="20.100000000000001" customHeight="1" x14ac:dyDescent="0.25">
      <c r="A677" s="126">
        <v>42634</v>
      </c>
      <c r="B677" s="134" t="s">
        <v>106</v>
      </c>
      <c r="C677" s="194"/>
      <c r="D677" s="327" t="s">
        <v>334</v>
      </c>
      <c r="E677" s="328"/>
      <c r="F677" s="329"/>
      <c r="G677" s="174"/>
      <c r="H677" s="207"/>
      <c r="I677" s="207"/>
      <c r="J677" s="220"/>
      <c r="K677" s="220"/>
      <c r="L677" s="141"/>
    </row>
    <row r="678" spans="1:14" ht="20.100000000000001" customHeight="1" x14ac:dyDescent="0.25">
      <c r="A678" s="126">
        <v>42635</v>
      </c>
      <c r="B678" s="71" t="s">
        <v>214</v>
      </c>
      <c r="C678" s="220" t="s">
        <v>16</v>
      </c>
      <c r="D678" s="220">
        <v>0</v>
      </c>
      <c r="E678" s="220">
        <v>0.06</v>
      </c>
      <c r="F678" s="220">
        <v>0.22</v>
      </c>
      <c r="G678" s="174"/>
      <c r="H678" s="207">
        <v>0</v>
      </c>
      <c r="I678" s="207">
        <v>0.01</v>
      </c>
      <c r="J678" s="220">
        <v>0.04</v>
      </c>
      <c r="K678" s="220" t="s">
        <v>504</v>
      </c>
      <c r="L678" s="141"/>
    </row>
    <row r="679" spans="1:14" ht="20.100000000000001" customHeight="1" x14ac:dyDescent="0.25">
      <c r="A679" s="126">
        <v>42636</v>
      </c>
      <c r="B679" s="71" t="s">
        <v>505</v>
      </c>
      <c r="C679" s="285" t="s">
        <v>502</v>
      </c>
      <c r="D679" s="286"/>
      <c r="E679" s="286"/>
      <c r="F679" s="286"/>
      <c r="G679" s="286"/>
      <c r="H679" s="286"/>
      <c r="I679" s="286"/>
      <c r="J679" s="286"/>
      <c r="K679" s="286"/>
      <c r="L679" s="287"/>
    </row>
    <row r="680" spans="1:14" ht="20.100000000000001" customHeight="1" x14ac:dyDescent="0.25">
      <c r="A680" s="126">
        <v>42636</v>
      </c>
      <c r="B680" s="71" t="s">
        <v>506</v>
      </c>
      <c r="C680" s="220" t="s">
        <v>16</v>
      </c>
      <c r="D680" s="220">
        <v>7.0000000000000007E-2</v>
      </c>
      <c r="E680" s="220">
        <v>0.75</v>
      </c>
      <c r="F680" s="220">
        <v>0.67</v>
      </c>
      <c r="G680" s="174"/>
      <c r="H680" s="207"/>
      <c r="I680" s="207"/>
      <c r="J680" s="220"/>
      <c r="K680" s="220"/>
      <c r="L680" s="141"/>
    </row>
    <row r="681" spans="1:14" ht="20.100000000000001" customHeight="1" x14ac:dyDescent="0.25">
      <c r="A681" s="126">
        <v>42636</v>
      </c>
      <c r="B681" s="71" t="s">
        <v>507</v>
      </c>
      <c r="C681" s="220" t="s">
        <v>16</v>
      </c>
      <c r="D681" s="285" t="s">
        <v>508</v>
      </c>
      <c r="E681" s="286"/>
      <c r="F681" s="287"/>
      <c r="G681" s="174"/>
      <c r="H681" s="288" t="s">
        <v>509</v>
      </c>
      <c r="I681" s="289"/>
      <c r="J681" s="290"/>
      <c r="K681" s="220" t="s">
        <v>500</v>
      </c>
      <c r="L681" s="141">
        <v>12870.8</v>
      </c>
      <c r="M681" s="148">
        <f>L681-L670</f>
        <v>20.099999999998545</v>
      </c>
      <c r="N681" s="187" t="s">
        <v>330</v>
      </c>
    </row>
    <row r="682" spans="1:14" ht="20.100000000000001" customHeight="1" x14ac:dyDescent="0.25">
      <c r="A682" s="126">
        <v>42637</v>
      </c>
      <c r="B682" s="134" t="s">
        <v>93</v>
      </c>
      <c r="C682" s="135"/>
      <c r="D682" s="300" t="s">
        <v>334</v>
      </c>
      <c r="E682" s="301"/>
      <c r="F682" s="302"/>
      <c r="G682" s="174"/>
      <c r="H682" s="207"/>
      <c r="I682" s="207"/>
      <c r="J682" s="220"/>
      <c r="K682" s="220"/>
      <c r="L682" s="141"/>
    </row>
    <row r="683" spans="1:14" ht="20.100000000000001" customHeight="1" x14ac:dyDescent="0.25">
      <c r="A683" s="126">
        <v>42638</v>
      </c>
      <c r="B683" s="193" t="s">
        <v>94</v>
      </c>
      <c r="C683" s="194"/>
      <c r="D683" s="327" t="s">
        <v>334</v>
      </c>
      <c r="E683" s="328"/>
      <c r="F683" s="329"/>
      <c r="G683" s="174"/>
      <c r="H683" s="207"/>
      <c r="I683" s="207"/>
      <c r="J683" s="220"/>
      <c r="K683" s="220"/>
      <c r="L683" s="141"/>
    </row>
    <row r="684" spans="1:14" ht="20.100000000000001" customHeight="1" x14ac:dyDescent="0.25">
      <c r="A684" s="126">
        <v>42639</v>
      </c>
      <c r="B684" s="71" t="s">
        <v>186</v>
      </c>
      <c r="C684" s="220" t="s">
        <v>16</v>
      </c>
      <c r="D684" s="220">
        <v>0.03</v>
      </c>
      <c r="E684" s="220">
        <v>0.34</v>
      </c>
      <c r="F684" s="220">
        <v>0.38</v>
      </c>
      <c r="G684" s="174"/>
      <c r="H684" s="207">
        <v>0.04</v>
      </c>
      <c r="I684" s="207">
        <v>0.11</v>
      </c>
      <c r="J684" s="220">
        <v>0.21</v>
      </c>
      <c r="K684" s="220" t="s">
        <v>500</v>
      </c>
      <c r="L684" s="141">
        <v>12876.5</v>
      </c>
      <c r="M684" s="148">
        <f>L684-L681</f>
        <v>5.7000000000007276</v>
      </c>
      <c r="N684" s="187" t="s">
        <v>330</v>
      </c>
    </row>
    <row r="685" spans="1:14" ht="20.100000000000001" customHeight="1" x14ac:dyDescent="0.25">
      <c r="A685" s="126">
        <v>42640</v>
      </c>
      <c r="B685" s="134" t="s">
        <v>104</v>
      </c>
      <c r="C685" s="135"/>
      <c r="D685" s="300" t="s">
        <v>334</v>
      </c>
      <c r="E685" s="301"/>
      <c r="F685" s="302"/>
      <c r="G685" s="174"/>
      <c r="H685" s="207"/>
      <c r="I685" s="207"/>
      <c r="J685" s="220"/>
      <c r="K685" s="220"/>
      <c r="L685" s="141"/>
    </row>
    <row r="686" spans="1:14" ht="20.100000000000001" customHeight="1" x14ac:dyDescent="0.25">
      <c r="A686" s="126">
        <v>42641</v>
      </c>
      <c r="B686" s="71" t="s">
        <v>234</v>
      </c>
      <c r="C686" s="220" t="s">
        <v>16</v>
      </c>
      <c r="D686" s="220">
        <v>0.02</v>
      </c>
      <c r="E686" s="220">
        <v>0.3</v>
      </c>
      <c r="F686" s="220">
        <v>0.34</v>
      </c>
      <c r="G686" s="174"/>
      <c r="H686" s="207">
        <v>0</v>
      </c>
      <c r="I686" s="207">
        <v>0.04</v>
      </c>
      <c r="J686" s="220">
        <v>0.04</v>
      </c>
      <c r="K686" s="220" t="s">
        <v>500</v>
      </c>
      <c r="L686" s="141">
        <v>12887.9</v>
      </c>
      <c r="M686" s="148">
        <f>L686-L684</f>
        <v>11.399999999999636</v>
      </c>
      <c r="N686" s="187" t="s">
        <v>330</v>
      </c>
    </row>
    <row r="687" spans="1:14" ht="20.100000000000001" customHeight="1" x14ac:dyDescent="0.25">
      <c r="A687" s="126">
        <v>42642</v>
      </c>
      <c r="B687" s="71"/>
      <c r="C687" s="220"/>
      <c r="D687" s="220"/>
      <c r="E687" s="220"/>
      <c r="F687" s="220"/>
      <c r="G687" s="174"/>
      <c r="H687" s="207"/>
      <c r="I687" s="207"/>
      <c r="J687" s="220"/>
      <c r="K687" s="220"/>
      <c r="L687" s="141"/>
    </row>
    <row r="688" spans="1:14" ht="20.100000000000001" customHeight="1" x14ac:dyDescent="0.25">
      <c r="A688" s="126">
        <v>42643</v>
      </c>
      <c r="B688" s="71"/>
      <c r="C688" s="220"/>
      <c r="D688" s="226">
        <f>COUNT(D2:D9,D11:D19,D21:D37,D39:D44,D46:D54,D56:D60,D62:D75,D77:D85,D87:D102,D104:D105,D107:D108,D116,D120,D122:D129,D132:D141,D144:D146,D148:D151,D153:D155,D158,D160,D162:D164,D166:D167,D177,D179,D183:D184,D197,D201:D202,D205:D208,D210:D213,D216:D222,D224:D225,D228:D233,D236:D237,D239:D240,D243:D246,D250:D254,D256:D260,D263:D267,D269:D272,D275:D281,D284:D285,D287:D292,D295:D303,D306:D308,D312,D314:D315,D318,D322:D325,D327:D329,D332:D341,D344:D352,D356:D365,D368,D372,D375,D378:D384,D389:D398,D401:D409,D412:D419,D422:D428,D430:D431,D434:D435,D440,D445:D451,D454:D456,D458:D460,D462,D465:D467,D469:D473,D476:D484,D488:D490,D492:D495,D498:D503,D505:D507,D510:D511,D513,D515:D520,D523:D524,D526:D528,D530:D532,D535:D536,D540:D541,D545:D546,D548:D549,D551:D553,D556,D558:D559,D561:D562,D564,D566,D568,D570:D571,D575,D577:D578,D580,D582:D585,D587:D588,D591:D592,D594,D596,D598:D602,D605,D607:D608,D610,D612:D616,D618,D622,D624:D628,D630,D635:D636,D638,D646,D648:D649,D660:D661,D663,D667:D669,D671,D674,D677,D679,D683,D685)</f>
        <v>324</v>
      </c>
      <c r="E688" s="226">
        <f>COUNT(E2:E9,E11:E19,E21:E37,E39:E44,E46:E54,E56:E60,E62:E75,E77:E85,E87:E102,E104:E105,E107:E108,E116,E120,E122:E129,E132:E141,E144:E146,E148:E151,E153:E155,E158,E160,E162:E164,E166:E167,E177,E179,E183:E184,E197,E201:E202,E205:E208,E210:E213,E216:E222,E224:E225,E228:E233,E236:E237,E239:E240,E243:E246,E250:E254,E256:E260,E263:E267,E269:E272,E275:E281,E284:E285,E287:E292,E295:E303,E306:E308,E312,E314:E315,E318,E322:E325,E327:E329,E332:E341,E344:E352,E356:E365,E368,E372,E375,E378:E384,E389:E398,E401:E409,E412:E419,E422:E428,E430:E431,E434:E435,E440,E445:E451,E454:E456,E458:E460,E462,E465:E467,E469:E473,E476:E484,E488:E490,E492:E495,E498:E503,E505:E507,E510:E511,E513,E515:E520,E523:E524,E526:E528,E530:E532,E535:E536,E540:E541,E545:E546,E548:E549,E551:E553,E556,E558:E559,E561:E562,E564,E566,E568,E570:E571,E575,E577:E578,E580,E582:E585,E587:E588,E591:E592,E594,E596,E598:E602,E605,E607:E608,E610,E612:E616,E618,E622,E624:E628,E630,E635:E636,E638,E646,E648:E649,E660:E661,E663,E667:E669,E671,E674,E677,E679,E683,E685)</f>
        <v>325</v>
      </c>
      <c r="F688" s="226">
        <f>COUNT(F2:F9,F11:F19,F21:F37,F39:F44,F46:F54,F56:F60,F62:F75,F77:F85,F87:F102,F104:F105,F107:F108,F116,F120,F122:F129,F132:F141,F144:F146,F148:F151,F153:F155,F158,F160,F162:F164,F166:F167,F177,F179,F183:F184,F197,F201:F202,F205:F208,F210:F213,F216:F222,F224:F225,F228:F233,F236:F237,F239:F240,F243:F246,F250:F254,F256:F260,F263:F267,F269:F272,F275:F281,F284:F285,F287:F292,F295:F303,F306:F308,F312,F314:F315,F318,F322:F325,F327:F329,F332:F341,F344:F352,F356:F365,F368,F372,F375,F378:F384,F389:F398,F401:F409,F412:F419,F422:F428,F430:F431,F434:F435,F440,F445:F451,F454:F456,F458:F460,F462,F465:F467,F469:F473,F476:F484,F488:F490,F492:F495,F498:F503,F505:F507,F510:F511,F513,F515:F520,F523:F524,F526:F528,F530:F532,F535:F536,F540:F541,F545:F546,F548:F549,F551:F553,F556,F558:F559,F561:F562,F564,F566,F568,F570:F571,F575,F577:F578,F580,F582:F585,F587:F588,F591:F592,F594,F596,F598:F602,F605,F607:F608,F610,F612:F616,F618,F622,F624:F628,F630,F635:F636,F638,F646,F648:F649,F660:F661,F663,F667:F669,F671,F674,F677,F679,F683,F685)</f>
        <v>275</v>
      </c>
      <c r="G688" s="174"/>
      <c r="H688" s="226">
        <f>COUNT(H2:H9,H11:H19,H21:H37,H39:H44,H46:H54,H56:H60,H62:H75,H77:H85,H87:H102,H104:H105,H107:H108,H116,H120,H122:H129,H132:H141,H144:H146,H148:H151,H153:H155,H158,H160,H162:H164,H166:H167,H177,H179,H183:H184,H197,H201:H202,H205:H208,H210:H213,H216:H222,H224:H225,H228:H233,H236:H237,H239:H240,H243:H246,H250:H254,H256:H260,H263:H267,H269:H272,H275:H281,H284:H285,H287:H292,H295:H303,H306:H308,H312,H314:H315,H318,H322:H325,H327:H329,H332:H341,H344:H352,H356:H365,H368,H372,H375,H378:H384,H389:H398,H401:H409,H412:H419,H422:H428,H430:H431,H434:H435,H440,H445:H451,H454:H456,H458:H460,H462,H465:H467,H469:H473,H476:H484,H488:H490,H492:H495,H498:H503,H505:H507,H510:H511,H513,H515:H520,H523:H524,H526:H528,H530:H532,H535:H536,H540:H541,H545:H546,H548:H549,H551:H553,H556,H558:H559,H561:H562,H564,H566,H568,H570:H571,H575,H577:H578,H580,H582:H585,H587:H588,H591:H592,H594,H596,H598:H602,H605,H607:H608,H610,H612:H616,H618,H622,H624:H628,H630,H635:H636,H638,H646,H648:H649,H660:H661,H663,H667:H669,H671,H674,H677,H679,H683,H685)</f>
        <v>307</v>
      </c>
      <c r="I688" s="226">
        <f>COUNT(I2:I9,I11:I19,I21:I37,I39:I44,I46:I54,I56:I60,I62:I75,I77:I85,I87:I102,I104:I105,I107:I108,I116,I120,I122:I129,I132:I141,I144:I146,I148:I151,I153:I155,I158,I160,I162:I164,I166:I167,I177,I179,I183:I184,I197,I201:I202,I205:I208,I210:I213,I216:I222,I224:I225,I228:I233,I236:I237,I239:I240,I243:I246,I250:I254,I256:I260,I263:I267,I269:I272,I275:I281,I284:I285,I287:I292,I295:I303,I306:I308,I312,I314:I315,I318,I322:I325,I327:I329,I332:I341,I344:I352,I356:I365,I368,I372,I375,I378:I384,I389:I398,I401:I409,I412:I419,I422:I428,I430:I431,I434:I435,I440,I445:I451,I454:I456,I458:I460,I462,I465:I467,I469:I473,I476:I484,I488:I490,I492:I495,I498:I503,I505:I507,I510:I511,I513,I515:I520,I523:I524,I526:I528,I530:I532,I535:I536,I540:I541,I545:I546,I548:I549,I551:I553,I556,I558:I559,I561:I562,I564,I566,I568,I570:I571,I575,I577:I578,I580,I582:I585,I587:I588,I591:I592,I594,I596,I598:I602,I605,I607:I608,I610,I612:I616,I618,I622,I624:I628,I630,I635:I636,I638,I646,I648:I649,I660:I661,I663,I667:I669,I671,I674,I677,I679,I683,I685)</f>
        <v>310</v>
      </c>
      <c r="J688" s="226">
        <f>COUNT(J2:J9,J11:J19,J21:J37,J39:J44,J46:J54,J56:J60,J62:J75,J77:J85,J87:J102,J104:J105,J107:J108,J116,J120,J122:J129,J132:J141,J144:J146,J148:J151,J153:J155,J158,J160,J162:J164,J166:J167,J177,J179,J183:J184,J197,J201:J202,J205:J208,J210:J213,J216:J222,J224:J225,J228:J233,J236:J237,J239:J240,J243:J246,J250:J254,J256:J260,J263:J267,J269:J272,J275:J281,J284:J285,J287:J292,J295:J303,J306:J308,J312,J314:J315,J318,J322:J325,J327:J329,J332:J341,J344:J352,J356:J365,J368,J372,J375,J378:J384,J389:J398,J401:J409,J412:J419,J422:J428,J430:J431,J434:J435,J440,J445:J451,J454:J456,J458:J460,J462,J465:J467,J469:J473,J476:J484,J488:J490,J492:J495,J498:J503,J505:J507,J510:J511,J513,J515:J520,J523:J524,J526:J528,J530:J532,J535:J536,J540:J541,J545:J546,J548:J549,J551:J553,J556,J558:J559,J561:J562,J564,J566,J568,J570:J571,J575,J577:J578,J580,J582:J585,J587:J588,J591:J592,J594,J596,J598:J602,J605,J607:J608,J610,J612:J616,J618,J622,J624:J628,J630,J635:J636,J638,J646,J648:J649,J660:J661,J663,J667:J669,J671,J674,J677,J679,J683,J685)</f>
        <v>266</v>
      </c>
      <c r="K688" s="220"/>
      <c r="L688" s="141"/>
    </row>
    <row r="689" spans="1:12" ht="20.100000000000001" customHeight="1" x14ac:dyDescent="0.25">
      <c r="A689" s="220"/>
      <c r="B689" s="71"/>
      <c r="C689" s="220" t="s">
        <v>430</v>
      </c>
      <c r="D689" s="224">
        <f>AVERAGE(D3:D10,D12:D20,D22:D38,D40:D45,D47:D55,D57:D61,D63:D76,D78:D86,D88:D103,D105:D106,D108:D109,D117,D121,D123:D130,D133:D142,D145:D147,D149:D152,D154:D156,D159,D161,D163:D165,D167:D168,D178,D180,D184:D185,D198,D202:D203,D206:D209,D211:D214,D217:D223,D225:D226,D229:D234,D237:D238,D240:D241,D244:D247,D251:D255,D257:D261,D264:D268,D270:D273,D276:D282,D285:D286,D288:D293,D296:D304,D307:D309,D313,D315:D316,D319,D323:D326,D328:D330,D333:D342,D345:D353,D357:D366,D369,D373,D376,D379:D385,D390:D399,D402:D410,D413:D420,D423:D429,D431:D432,D435:D436,D441,D446:D452,D455:D457,D459:D461,D463,D466:D468,D470:D474,D477:D485,D489:D491,D493:D496,D499:D504,D506:D508,D511:D512,D514,D516:D521,D524:D525,D527:D529,D531:D533,D536:D537,D541:D542,D546:D547,D549:D550,D552:D554,D557,D559:D560,D562:D563,D565,D567,D569,D571:D572,D576,D578:D579,D581,D583:D586,D588:D589,D592:D593,D595,D597,D599:D603,D606,D608:D609,D611,D613:D617,D619,D623,D625:D629,D631,D636:D637,D639,D647,D649:D650,D661:D662,D664,D668:D670,D672,D675,D678,D680,D684,D686)</f>
        <v>4.6883408071748768E-2</v>
      </c>
      <c r="E689" s="224">
        <f>AVERAGE(E3:E10,E12:E20,E22:E38,E40:E45,E47:E55,E57:E61,E63:E76,E78:E86,E88:E103,E105:E106,E108:E109,E117,E121,E123:E130,E133:E142,E145:E147,E149:E152,E154:E156,E159,E161,E163:E165,E167:E168,E178,E180,E184:E185,E198,E202:E203,E206:E209,E211:E214,E217:E223,E225:E226,E229:E234,E237:E238,E240:E241,E244:E247,E251:E255,E257:E261,E264:E268,E270:E273,E276:E282,E285:E286,E288:E293,E296:E304,E307:E309,E313,E315:E316,E319,E323:E326,E328:E330,E333:E342,E345:E353,E357:E366,E369,E373,E376,E379:E385,E390:E399,E402:E410,E413:E420,E423:E429,E431:E432,E435:E436,E441,E446:E452,E455:E457,E459:E461,E463,E466:E468,E470:E474,E477:E485,E489:E491,E493:E496,E499:E504,E506:E508,E511:E512,E514,E516:E521,E524:E525,E527:E529,E531:E533,E536:E537,E541:E542,E546:E547,E549:E550,E552:E554,E557,E559:E560,E562:E563,E565,E567,E569,E571:E572,E576,E578:E579,E581,E583:E586,E588:E589,E592:E593,E595,E597,E599:E603,E606,E608:E609,E611,E613:E617,E619,E623,E625:E629,E631,E636:E637,E639,E647,E649:E650,E661:E662,E664,E668:E670,E672,E675,E678,E680,E684,E686)</f>
        <v>0.2259684684684686</v>
      </c>
      <c r="F689" s="226">
        <f>AVERAGE(F3:F10,F12:F20,F22:F38,F40:F45,F47:F55,F57:F61,F63:F76,F78:F86,F88:F103,F105:F106,F108:F109,F117,F121,F123:F130,F133:F142,F145:F147,F149:F152,F154:F156,F159,F161,F163:F165,F167:F168,F178,F180,F184:F185,F198,F202:F203,F206:F209,F211:F214,F217:F223,F225:F226,F229:F234,F237:F238,F240:F241,F244:F247,F251:F255,F257:F261,F264:F268,F270:F273,F276:F282,F285:F286,F288:F293,F296:F304,F307:F309,F313,F315:F316,F319,F323:F326,F328:F330,F333:F342,F345:F353,F357:F366,F369,F373,F376,F379:F385,F390:F399,F402:F410,F413:F420,F423:F429,F431:F432,F435:F436,F441,F446:F452,F455:F457,F459:F461,F463,F466:F468,F470:F474,F477:F485,F489:F491,F493:F496,F499:F504,F506:F508,F511:F512,F514,F516:F521,F524:F525,F527:F529,F531:F533,F536:F537,F541:F542,F546:F547,F549:F550,F552:F554,F557,F559:F560,F562:F563,F565,F567,F569,F571:F572,F576,F578:F579,F581,F583:F586,F588:F589,F592:F593,F595,F597,F599:F603,F606,F608:F609,F611,F613:F617,F619,F623,F625:F629,F631,F636:F637,F639,F647,F649:F650,F661:F662,F664,F668:F670,F672,F675,F678,F680,F684,F686)</f>
        <v>0.28363157894736851</v>
      </c>
      <c r="G689" s="174"/>
      <c r="H689" s="224">
        <f>AVERAGE(H3:H10,H12:H20,H22:H38,H40:H45,H47:H55,H57:H61,H63:H76,H78:H86,H88:H103,H105:H106,H108:H109,H117,H121,H123:H130,H133:H142,H145:H147,H149:H152,H154:H156,H159,H161,H163:H165,H167:H168,H178,H180,H184:H185,H198,H202:H203,H206:H209,H211:H214,H217:H223,H225:H226,H229:H234,H237:H238,H240:H241,H244:H247,H251:H255,H257:H261,H264:H268,H270:H273,H276:H282,H285:H286,H288:H293,H296:H304,H307:H309,H313,H315:H316,H319,H323:H326,H328:H330,H333:H342,H345:H353,H357:H366,H369,H373,H376,H379:H385,H390:H399,H402:H410,H413:H420,H423:H429,H431:H432,H435:H436,H441,H446:H452,H455:H457,H459:H461,H463,H466:H468,H470:H474,H477:H485,H489:H491,H493:H496,H499:H504,H506:H508,H511:H512,H514,H516:H521,H524:H525,H527:H529,H531:H533,H536:H537,H541:H542,H546:H547,H549:H550,H552:H554,H557,H559:H560,H562:H563,H565,H567,H569,H571:H572,H576,H578:H579,H581,H583:H586,H588:H589,H592:H593,H595,H597,H599:H603,H606,H608:H609,H611,H613:H617,H619,H623,H625:H629,H631,H636:H637,H639,H647,H649:H650,H661:H662,H664,H668:H670,H672,H675,H678,H680,H684,H686)</f>
        <v>1.0343980343980305E-2</v>
      </c>
      <c r="I689" s="224">
        <f>AVERAGE(I3:I10,I12:I20,I22:I38,I40:I45,I47:I55,I57:I61,I63:I76,I78:I86,I88:I103,I105:I106,I108:I109,I117,I121,I123:I130,I133:I142,I145:I147,I149:I152,I154:I156,I159,I161,I163:I165,I167:I168,I178,I180,I184:I185,I198,I202:I203,I206:I209,I211:I214,I217:I223,I225:I226,I229:I234,I237:I238,I240:I241,I244:I247,I251:I255,I257:I261,I264:I268,I270:I273,I276:I282,I285:I286,I288:I293,I296:I304,I307:I309,I313,I315:I316,I319,I323:I326,I328:I330,I333:I342,I345:I353,I357:I366,I369,I373,I376,I379:I385,I390:I399,I402:I410,I413:I420,I423:I429,I431:I432,I435:I436,I441,I446:I452,I455:I457,I459:I461,I463,I466:I468,I470:I474,I477:I485,I489:I491,I493:I496,I499:I504,I506:I508,I511:I512,I514,I516:I521,I524:I525,I527:I529,I531:I533,I536:I537,I541:I542,I546:I547,I549:I550,I552:I554,I557,I559:I560,I562:I563,I565,I567,I569,I571:I572,I576,I578:I579,I581,I583:I586,I588:I589,I592:I593,I595,I597,I599:I603,I606,I608:I609,I611,I613:I617,I619,I623,I625:I629,I631,I636:I637,I639,I647,I649:I650,I661:I662,I664,I668:I670,I672,I675,I678,I680,I684,I686)</f>
        <v>3.6715328467153134E-2</v>
      </c>
      <c r="J689" s="226">
        <f>AVERAGE(J3:J10,J12:J20,J22:J38,J40:J45,J47:J55,J57:J61,J63:J76,J78:J86,J88:J103,J105:J106,J108:J109,J117,J121,J123:J130,J133:J142,J145:J147,J149:J152,J154:J156,J159,J161,J163:J165,J167:J168,J178,J180,J184:J185,J198,J202:J203,J206:J209,J211:J214,J217:J223,J225:J226,J229:J234,J237:J238,J240:J241,J244:J247,J251:J255,J257:J261,J264:J268,J270:J273,J276:J282,J285:J286,J288:J293,J296:J304,J307:J309,J313,J315:J316,J319,J323:J326,J328:J330,J333:J342,J345:J353,J357:J366,J369,J373,J376,J379:J385,J390:J399,J402:J410,J413:J420,J423:J429,J431:J432,J435:J436,J441,J446:J452,J455:J457,J459:J461,J463,J466:J468,J470:J474,J477:J485,J489:J491,J493:J496,J499:J504,J506:J508,J511:J512,J514,J516:J521,J524:J525,J527:J529,J531:J533,J536:J537,J541:J542,J546:J547,J549:J550,J552:J554,J557,J559:J560,J562:J563,J565,J567,J569,J571:J572,J576,J578:J579,J581,J583:J586,J588:J589,J592:J593,J595,J597,J599:J603,J606,J608:J609,J611,J613:J617,J619,J623,J625:J629,J631,J636:J637,J639,J647,J649:J650,J661:J662,J664,J668:J670,J672,J675,J678,J680,J684,J686)</f>
        <v>0.10519662921348308</v>
      </c>
      <c r="K689" s="220"/>
      <c r="L689" s="141"/>
    </row>
    <row r="690" spans="1:12" ht="20.100000000000001" customHeight="1" x14ac:dyDescent="0.25">
      <c r="A690" s="220"/>
      <c r="B690" s="71"/>
      <c r="C690" s="220" t="s">
        <v>511</v>
      </c>
      <c r="D690" s="224">
        <f>STDEV(D3:D10,D12:D20,D22:D38,D40:D45,D47:D55,D57:D61,D63:D76,D78:D86,D88:D103,D105:D106,D108:D109,D117,D121,D123:D130,D133:D142,D145:D147,D149:D152,D154:D156,D159,D161,D163:D165,D167:D168,D178,D180,D184:D185,D198,D202:D203,D206:D209,D211:D214,D217:D223,D225:D226,D229:D234,D237:D238,D240:D241,D244:D247,D251:D255,D257:D261,D264:D268,D270:D273,D276:D282,D285:D286,D288:D293,D296:D304,D307:D309,D313,D315:D316,D319,D323:D326,D328:D330,D333:D342,D345:D353,D357:D366,D369,D373,D376,D379:D385,D390:D399,D402:D410,D413:D420,D423:D429,D431:D432,D435:D436,D441,D446:D452,D455:D457,D459:D461,D463,D466:D468,D470:D474,D477:D485,D489:D491,D493:D496,D499:D504,D506:D508,D511:D512,D514,D516:D521,D524:D525,D527:D529,D531:D533,D536:D537,D541:D542,D546:D547,D549:D550,D552:D554,D557,D559:D560,D562:D563,D565,D567,D569,D571:D572,D576,D578:D579,D581,D583:D586,D588:D589,D592:D593,D595,D597,D599:D603,D606,D608:D609,D611,D613:D617,D619,D623,D625:D629,D631,D636:D637,D639,D647,D649:D650,D661:D662,D664,D668:D670,D672,D675,D678,D680,D684,D686)</f>
        <v>8.483119970382616E-2</v>
      </c>
      <c r="E690" s="224">
        <f>STDEV(E3:E10,E12:E20,E22:E38,E40:E45,E47:E55,E57:E61,E63:E76,E78:E86,E88:E103,E105:E106,E108:E109,E117,E121,E123:E130,E133:E142,E145:E147,E149:E152,E154:E156,E159,E161,E163:E165,E167:E168,E178,E180,E184:E185,E198,E202:E203,E206:E209,E211:E214,E217:E223,E225:E226,E229:E234,E237:E238,E240:E241,E244:E247,E251:E255,E257:E261,E264:E268,E270:E273,E276:E282,E285:E286,E288:E293,E296:E304,E307:E309,E313,E315:E316,E319,E323:E326,E328:E330,E333:E342,E345:E353,E357:E366,E369,E373,E376,E379:E385,E390:E399,E402:E410,E413:E420,E423:E429,E431:E432,E435:E436,E441,E446:E452,E455:E458,E459:E461,E463,E466:E468,E470:E474,E477:E485,E489:E491,E493:E496,E499:E504,E506:E508,E511:E512,E514,E516:E521,E524:E525,E527:E529,E531:E533,E536:E537,E541:E542,E546:E547,E549:E550,E552:E554,E557,E559:E560,E562:E563,E565,E567,E569,E571:E572,E576,E578:E579,E581,E583:E586,E588:E589,E592:E593,E595,E597,E599:E603,E606,E608:E609,E611,E613:E617,E619,E623,E625:E629,E631,E636:E637,E639,E647,E649:E650,E661:E662,E664,E668:E670,E672,E675,E678,E680,E684,E686)</f>
        <v>0.16148255963572239</v>
      </c>
      <c r="F690" s="226">
        <f>STDEV(F3:F10,F12:F20,F22:F38,F40:F45,F47:F55,F57:F61,F63:F76,F78:F86,F88:F103,F105:F106,F108:F109,F117,F121,F123:F130,F133:F142,F145:F147,F149:F152,F154:F156,F159,F161,F163:F165,F167:F168,F178,F180,F184:F185,F198,F202:F203,F206:F209,F211:F214,F217:F223,F225:F226,F229:F234,F237:F238,F240:F241,F244:F247,F251:F255,F257:F261,F264:F268,F270:F273,F276:F282,F285:F286,F288:F293,F296:F304,F307:F309,F313,F315:F316,F319,F323:F326,F328:F330,F333:F342,F345:F353,F357:F366,F369,F373,F376,F379:F385,F390:F399,F402:F410,F413:F420,F423:F429,F431:F432,F435:F436,F441,F446:F452,F455:F458,F459:F461,F463,F466:F468,F470:F474,F477:F485,F489:F491,F493:F496,F499:F504,F506:F508,F511:F512,F514,F516:F521,F524:F525,F527:F529,F531:F533,F536:F537,F541:F542,F546:F547,F549:F550,F552:F554,F557,F559:F560,F562:F563,F565,F567,F569,F571:F572,F576,F578:F579,F581,F583:F586,F588:F589,F592:F593,F595,F597,F599:F603,F606,F608:F609,F611,F613:F617,F619,F623,F625:F629,F631,F636:F637,F639,F647,F649:F650,F661:F662,F664,F668:F670,F672,F675,F678,F680,F684,F686)</f>
        <v>0.17077533390549862</v>
      </c>
      <c r="G690" s="174"/>
      <c r="H690" s="224">
        <f>STDEV(H3:H10,H12:H20,H22:H38,H40:H45,H47:H55,H57:H61,H63:H76,H78:H86,H88:H103,H105:H106,H108:H109,H117,H121,H123:H130,H133:H142,H145:H147,H149:H152,H154:H156,H159,H161,H163:H165,H167:H168,H178,H180,H184:H185,H198,H202:H203,H206:H209,H211:H214,H217:H223,H225:H226,H229:H234,H237:H238,H240:H241,H244:H247,H251:H255,H257:H261,H264:H268,H270:H273,H276:H282,H285:H286,H288:H293,H296:H304,H307:H309,H313,H315:H316,H319,H323:H326,H328:H330,H333:H342,H345:H353,H357:H366,H369,H373,H376,H379:H385,H390:H399,H402:H410,H413:H420,H423:H429,H431:H432,H435:H436,H441,H446:H452,H455:H457,H459:H461,H463,H466:H468,H470:H474,H477:H485,H489:H491,H493:H496,H499:H504,H506:H508,H511:H512,H514,H516:H521,H524:H525,H527:H529,H531:H533,H536:H537,H541:H542,H546:H547,H549:H550,H552:H554,H557,H559:H560,H562:H563,H565,H567,H569,H571:H572,H576,H578:H579,H581,H583:H586,H588:H589,H592:H593,H595,H597,H599:H603,H606,H608:H609,H611,H613:H617,H619,H623,H625:H629,H631,H636:H637,H639,H647,H649:H650,H661:H662,H664,H668:H670,H672,H675,H678,H680,H684,H686)</f>
        <v>1.9115402885306727E-2</v>
      </c>
      <c r="I690" s="224">
        <f>STDEV(I3:I10,I12:I20,I22:I38,I40:I45,I47:I55,I57:I61,I63:I76,I78:I86,I88:I103,I105:I106,I108:I109,I117,I121,I123:I130,I133:I142,I145:I147,I149:I152,I154:I156,I159,I161,I163:I165,I167:I168,I178,I180,I184:I185,I198,I202:I203,I206:I209,I211:I214,I217:I223,I225:I226,I229:I234,I237:I238,I240:I241,I244:I247,I251:I255,I257:I261,I264:I268,I270:I273,I276:I282,I285:I286,I288:I293,I296:I304,I307:I309,I313,I315:I316,I319,I323:I326,I328:I330,I333:I342,I345:I353,I357:I366,I369,I373,I376,I379:I385,I390:I399,I402:I410,I413:I420,I423:I429,I431:I432,I435:I436,I441,I446:I452,I455:I457,I459:I461,I463,I466:I468,I470:I474,I477:I485,I489:I491,I493:I496,I499:I504,I506:I508,I511:I512,I514,I516:I521,I524:I525,I527:I529,I531:I533,I536:I537,I541:I542,I546:I547,I549:I550,I552:I554,I557,I559:I560,I562:I563,I565,I567,I569,I571:I572,I576,I578:I579,I581,I583:I586,I588:I589,I592:I593,I595,I597,I599:I603,I606,I608:I609,I611,I613:I617,I619,I623,I625:I629,I631,I636:I637,I639,I647,I649:I650,I661:I662,I664,I668:I670,I672,I675,I678,I680,I684,I686)</f>
        <v>7.3269727110222921E-2</v>
      </c>
      <c r="J690" s="226">
        <f>STDEV(J3:J10,J12:J20,J22:J38,J40:J45,J47:J55,J57:J61,J63:J76,J78:J86,J88:J103,J105:J106,J108:J109,J117,J121,J123:J130,J133:J142,J145:J147,J149:J152,J154:J156,J159,J161,J163:J165,J167:J168,J178,J180,J184:J185,J198,J202:J203,J206:J209,J211:J214,J217:J223,J225:J226,J229:J234,J237:J238,J240:J241,J244:J247,J251:J255,J257:J261,J264:J268,J270:J273,J276:J282,J285:J286,J288:J293,J296:J304,J307:J309,J313,J315:J316,J319,J323:J326,J328:J330,J333:J342,J345:J353,J357:J366,J369,J373,J376,J379:J385,J390:J399,J402:J410,J413:J420,J423:J429,J431:J432,J435:J436,J441,J446:J452,J455:J457,J459:J461,J463,J466:J468,J470:J474,J477:J485,J489:J491,J493:J496,J499:J504,J506:J508,J511:J512,J514,J516:J521,J524:J525,J527:J529,J531:J533,J536:J537,J541:J542,J546:J547,J549:J550,J552:J554,J557,J559:J560,J562:J563,J565,J567,J569,J571:J572,J576,J578:J579,J581,J583:J586,J588:J589,J592:J593,J595,J597,J599:J603,J606,J608:J609,J611,J613:J617,J619,J623,J625:J629,J631,J636:J637,J639,J647,J649:J650,J661:J662,J664,J668:J670,J672,J675,J678,J680,J684,J686)</f>
        <v>0.10562871776545806</v>
      </c>
      <c r="K690" s="220"/>
      <c r="L690" s="141"/>
    </row>
    <row r="691" spans="1:12" ht="20.100000000000001" customHeight="1" x14ac:dyDescent="0.25">
      <c r="A691" s="220"/>
      <c r="B691" s="71"/>
      <c r="C691" s="220" t="s">
        <v>512</v>
      </c>
      <c r="D691" s="224">
        <f>MAX(D3:D10,D12:D20,D22:D38,D40:D45,D47:D55,D57:D61,D63:D76,D78:D86,D88:D103,D105:D106,D108:D109,D117,D121,D123:D130,D133:D142,D145:D147,D149:D152,D154:D156,D159,D161,D163:D165,D167:D168,D178,D180,D184:D185,D198,D202:D203,D206:D209,D211:D214,D217:D223,D225:D226,D229:D234,D237:D238,D240:D241,D244:D247,D251:D255,D257:D261,D264:D268,D270:D273,D276:D282,D285:D286,D288:D293,D296:D304,D307:D309,D313,D315:D316,D319,D323:D326,D328:D330,D333:D342,D345:D353,D357:D366,D369,D373,D376,D379:D385,D390:D399,D402:D410,D413:D420,D423:D429,D431:D432,D435:D436,D441,D446:D452,D455:D457,D459:D461,D463,D466:D468,D470:D474,D477:D485,D489:D491,D493:D496,D499:D504,D506:D508,D511:D512,D514,D516:D521,D524:D525,D527:D529,D531:D533,D536:D537,D541:D542,D546:D547,D549:D550,D552:D554,D557,D559:D560,D562:D563,D565,D567,D569,D571:D572,D576,D578:D579,D581,D583:D586,D588:D589,D592:D593,D595,D597,D599:D603,D606,D608:D609,D611,D613:D617,D619,D623,D625:D629,D631,D636:D637,D639,D647,D649:D650,D661:D662,D664,D668:D670,D672,D675,D678,D680,D684,D686)</f>
        <v>0.76</v>
      </c>
      <c r="E691" s="224">
        <f>MAX(E3:E10,E12:E20,E22:E38,E40:E45,E47:E55,E57:E61,E63:E76,E78:E86,E88:E103,E105:E106,E108:E109,E117,E121,E123:E130,E133:E142,E145:E147,E149:E152,E154:E156,E159,E161,E163:E165,E167:E168,E178,E180,E184:E185,E198,E202:E203,E206:E209,E211:E214,E217:E223,E225:E226,E229:E234,E237:E238,E240:E241,E244:E247,E251:E255,E257:E261,E264:E268,E270:E273,E276:E282,E285:E286,E288:E293,E296:E304,E307:E309,E313,E315:E316,E319,E323:E326,E328:E330,E333:E342,E345:E353,E357:E366,E369,E373,E376,E379:E385,E390:E399,E402:E410,E413:E420,E423:E429,E431:E432,E435:E436,E441,E446:E452,E455:E457,E459:E461,E463,E466:E468,E470:E474,E477:E485,E489:E491,E493:E496,E499:E504,E506:E508,E511:E512,E514,E516:E521,E524:E525,E527:E529,E531:E533,E536:E537,E541:E542,E546:E547,E549:E550,E552:E554,E557,E559:E560,E562:E563,E565,E567,E569,E571:E572,E576,E578:E579,E581,E583:E586,E588:E589,E592:E593,E595,E597,E599:E603,E606,E608:E609,E611,E613:E617,E619,E623,E625:E629,E631,E636:E637,E639,E647,E649:E650,E661:E662,E664,E668:E670,E672,E675,E678,E680,E684,E686)</f>
        <v>0.84</v>
      </c>
      <c r="F691" s="226">
        <f>MAX(F3:F10,F12:F20,F22:F38,F40:F45,F47:F55,F57:F61,F63:F76,F78:F86,F88:F103,F105:F106,F108:F109,F117,F121,F123:F130,F133:F142,F145:F147,F149:F152,F154:F156,F159,F161,F163:F165,F167:F168,F178,F180,F184:F185,F198,F202:F203,F206:F209,F211:F214,F217:F223,F225:F226,F229:F234,F237:F238,F240:F241,F244:F247,F251:F255,F257:F261,F264:F268,F270:F273,F276:F282,F285:F286,F288:F293,F296:F304,F307:F309,F313,F315:F316,F319,F323:F326,F328:F330,F333:F342,F345:F353,F357:F366,F369,F373,F376,F379:F385,F390:F399,F402:F410,F413:F420,F423:F429,F431:F432,F435:F436,F441,F446:F452,F455:F457,F459:F461,F463,F466:F468,F470:F474,F477:F485,F489:F491,F493:F496,F499:F504,F506:F508,F511:F512,F514,F516:F521,F524:F525,F527:F529,F531:F533,F536:F537,F541:F542,F546:F547,F549:F550,F552:F554,F557,F559:F560,F562:F563,F565,F567,F569,F571:F572,F576,F578:F579,F581,F583:F586,F588:F589,F592:F593,F595,F597,F599:F603,F606,F608:F609,F611,F613:F617,F619,F623,F625:F629,F631,F636:F637,F639,F647,F649:F650,F661:F662,F664,F668:F670,F672,F675,F678,F680,F684,F686)</f>
        <v>1.32</v>
      </c>
      <c r="G691" s="174"/>
      <c r="H691" s="224">
        <f>MAX(H3:H10,H12:H20,H22:H38,H40:H45,H47:H55,H57:H61,H63:H76,H78:H86,H88:H103,H105:H106,H108:H109,H117,H121,H123:H130,H133:H142,H145:H147,H149:H152,H154:H156,H159,H161,H163:H165,H167:H168,H178,H180,H184:H185,H198,H202:H203,H206:H209,H211:H214,H217:H223,H225:H226,H229:H234,H237:H238,H240:H241,H244:H247,H251:H255,H257:H261,H264:H268,H270:H273,H276:H282,H285:H286,H288:H293,H296:H304,H307:H309,H313,H315:H316,H319,H323:H326,H328:H330,H333:H342,H345:H353,H357:H366,H369,H373,H376,H379:H385,H390:H399,H402:H410,H413:H420,H423:H429,H431:H432,H435:H436,H441,H446:H452,H455:H457,H459:H461,H463,H466:H468,H470:H474,H477:H485,H489:H491,H493:H496,H499:H504,H506:H508,H511:H512,H514,H516:H521,H524:H525,H527:H529,H531:H533,H536:H537,H541:H542,H546:H547,H549:H550,H552:H554,H557,H559:H560,H562:H563,H565,H567,H569,H571:H572,H576,H578:H579,H581,H583:H586,H588:H589,H592:H593,H595,H597,H599:H603,H606,H608:H609,H611,H613:H617,H619,H623,H625:H629,H631,H636:H637,H639,H647,H649:H650,H661:H662,H664,H668:H670,H672,H675,H678,H680,H684,H686)</f>
        <v>0.22</v>
      </c>
      <c r="I691" s="224">
        <f>MAX(I3:I10,I12:I20,I22:I38,I40:I45,I47:I55,I57:I61,I63:I76,I78:I86,I88:I103,I105:I106,I108:I109,I117,I121,I123:I130,I133:I142,I145:I147,I149:I152,I154:I156,I159,I161,I163:I165,I167:I168,I178,I180,I184:I185,I198,I202:I203,I206:I209,I211:I214,I217:I223,I225:I226,I229:I234,I237:I238,I240:I241,I244:I247,I251:I255,I257:I261,I264:I268,I270:I273,I276:I282,I285:I286,I288:I293,I296:I304,I307:I309,I313,I315:I316,I319,I323:I326,I328:I330,I333:I342,I345:I353,I357:I366,I369,I373,I376,I379:I385,I390:I399,I402:I410,I413:I420,I423:I429,I431:I432,I435:I436,I441,I446:I452,I455:I457,I459:I461,I463,I466:I468,I470:I474,I477:I485,I489:I491,I493:I496,I499:I504,I506:I508,I511:I512,I514,I516:I521,I524:I525,I527:I529,I531:I533,I536:I537,I541:I542,I546:I547,I549:I550,I552:I554,I557,I559:I560,I562:I563,I565,I567,I569,I571:I572,I576,I578:I579,I581,I583:I586,I588:I589,I592:I593,I595,I597,I599:I603,I606,I608:I609,I611,I613:I617,I619,I623,I625:I629,I631,I636:I637,I639,I647,I649:I650,I661:I662,I664,I668:I670,I672,I675,I678,I680,I684,I686)</f>
        <v>0.81</v>
      </c>
      <c r="J691" s="226">
        <f>MAX(J3:J10,J12:J20,J22:J38,J40:J45,J47:J55,J57:J61,J63:J76,J78:J86,J88:J103,J105:J106,J108:J109,J117,J121,J123:J130,J133:J142,J145:J147,J149:J152,J154:J156,J159,J161,J163:J165,J167:J168,J178,J180,J184:J185,J198,J202:J203,J206:J209,J211:J214,J217:J223,J225:J226,J229:J234,J237:J238,J240:J241,J244:J247,J251:J255,J257:J261,J264:J268,J270:J273,J276:J282,J285:J286,J288:J293,J296:J304,J307:J309,J313,J315:J316,J319,J323:J326,J328:J330,J333:J342,J345:J353,J357:J366,J369,J373,J376,J379:J385,J390:J399,J402:J410,J413:J420,J423:J429,J431:J432,J435:J436,J441,J446:J452,J455:J457,J459:J461,J463,J466:J468,J470:J474,J477:J485,J489:J491,J493:J496,J499:J504,J506:J508,J511:J512,J514,J516:J521,J524:J525,J527:J529,J531:J533,J536:J537,J541:J542,J546:J547,J549:J550,J552:J554,J557,J559:J560,J562:J563,J565,J567,J569,J571:J572,J576,J578:J579,J581,J583:J586,J588:J589,J592:J593,J595,J597,J599:J603,J606,J608:J609,J611,J613:J617,J619,J623,J625:J629,J631,J636:J637,J639,J647,J649:J650,J661:J662,J664,J668:J670,J672,J675,J678,J680,J684,J686)</f>
        <v>1.18</v>
      </c>
      <c r="K691" s="220"/>
      <c r="L691" s="141"/>
    </row>
    <row r="692" spans="1:12" ht="20.100000000000001" customHeight="1" x14ac:dyDescent="0.25">
      <c r="A692" s="220"/>
      <c r="B692" s="71"/>
      <c r="C692" s="220" t="s">
        <v>513</v>
      </c>
      <c r="D692" s="224">
        <f>MIN(D3:D10,D12:D20,D22:D38,D40:D45,D47:D55,D57:D61,D63:D76,D78:D86,D88:D103,D105:D106,D108:D109,D117,D121,D123:D130,D133:D142,D145:D147,D149:D152,D154:D156,D159,D161,D163:D165,D167:D168,D178,D180,D184:D185,D198,D202:D203,D206:D209,D211:D214,D217:D223,D225:D226,D229:D234,D237:D238,D240:D241,D244:D247,D251:D255,D257:D261,D264:D268,D270:D273,D276:D282,D285:D286,D288:D293,D296:D304,D307:D309,D313,D315:D316,D319,D323:D326,D328:D330,D333:D342,D345:D353,D357:D366,D369,D373,D376,D379:D385,D390:D399,D402:D410,D413:D420,D423:D429,D431:D432,D435:D436,D441,D446:D452,D455:D457,D459:D461,D463,D466:D468,D470:D474,D477:D485,D489:D491,D493:D496,D499:D504,D506:D508,D511:D512,D514,D516:D521,D524:D525,D527:D529,D531:D533,D536:D537,D541:D542,D546:D547,D549:D550,D552:D554,D557,D559:D560,D562:D563,D565,D567,D569,D571:D572,D576,D578:D579,D581,D583:D586,D588:D589,D592:D593,D595,D597,D599:D603,D606,D608:D609,D611,D613:D617,D619,D623,D625:D629,D631,D636:D637,D639,D647,D649:D650,D661:D662,D664,D668:D670,D672,D675,D678,D680,D684,D686)</f>
        <v>0</v>
      </c>
      <c r="E692" s="224">
        <f>MIN(E3:E10,E12:E20,E22:E38,E40:E45,E47:E55,E57:E61,E63:E76,E78:E86,E88:E103,E105:E106,E108:E109,E117,E121,E123:E130,E133:E142,E145:E147,E149:E152,E154:E156,E159,E161,E163:E165,E167:E168,E178,E180,E184:E185,E198,E202:E203,E206:E209,E211:E214,E217:E223,E225:E226,E229:E234,E237:E238,E240:E241,E244:E247,E251:E255,E257:E261,E264:E268,E270:E273,E276:E282,E285:E286,E288:E293,E296:E304,E307:E309,E313,E315:E316,E319,E323:E326,E328:E330,E333:E342,E345:E353,E357:E366,E369,E373,E376,E379:E385,E390:E399,E402:E410,E413:E420,E423:E429,E431:E432,E435:E436,E441,E446:E452,E455:E457,E459:E461,E463,E466:E468,E470:E474,E477:E485,E489:E491,E493:E496,E499:E504,E506:E508,E511:E512,E514,E516:E521,E524:E525,E527:E529,E531:E533,E536:E537,E541:E542,E546:E547,E549:E550,E552:E554,E557,E559:E560,E562:E563,E565,E567,E569,E571:E572,E576,E578:E579,E581,E583:E586,E588:E589,E592:E593,E595,E597,E599:E603,E606,E608:E609,E611,E613:E617,E619,E623,E625:E629,E631,E636:E637,E639,E647,E649:E650,E661:E662,E664,E668:E670,E672,E675,E678,E680,E684,E686)</f>
        <v>0</v>
      </c>
      <c r="F692" s="226">
        <f>MIN(F3:F10,F12:F20,F22:F38,F40:F45,F47:F55,F57:F61,F63:F76,F78:F86,F88:F103,F105:F106,F108:F109,F117,F121,F123:F130,F133:F142,F145:F147,F149:F152,F154:F156,F159,F161,F163:F165,F167:F168,F178,F180,F184:F185,F198,F202:F203,F206:F209,F211:F214,F217:F223,F225:F226,F229:F234,F237:F238,F240:F241,F244:F247,F251:F255,F257:F261,F264:F268,F270:F273,F276:F282,F285:F286,F288:F293,F296:F304,F307:F309,F313,F315:F316,F319,F323:F326,F328:F330,F333:F342,F345:F353,F357:F366,F369,F373,F376,F379:F385,F390:F399,F402:F410,F413:F420,F423:F429,F431:F432,F435:F436,F441,F446:F452,F455:F457,F459:F461,F463,F466:F468,F470:F474,F477:F485,F489:F491,F493:F496,F499:F504,F506:F508,F511:F512,F514,F516:F521,F524:F525,F527:F529,F531:F533,F536:F537,F541:F542,F546:F547,F549:F550,F552:F554,F557,F559:F560,F562:F563,F565,F567,F569,F571:F572,F576,F578:F579,F581,F583:F586,F588:F589,F592:F593,F595,F597,F599:F603,F606,F608:F609,F611,F613:F617,F619,F623,F625:F629,F631,F636:F637,F639,F647,F649:F650,F661:F662,F664,F668:F670,F672,F675,F678,F680,F684,F686)</f>
        <v>0</v>
      </c>
      <c r="G692" s="174"/>
      <c r="H692" s="224">
        <f>MIN(H3:H10,H12:H20,H22:H38,H40:H45,H47:H55,H57:H61,H63:H76,H78:H86,H88:H103,H105:H106,H108:H109,H117,H121,H123:H130,H133:H142,H145:H147,H149:H152,H154:H156,H159,H161,H163:H165,H167:H168,H178,H180,H184:H185,H198,H202:H203,H206:H209,H211:H214,H217:H223,H225:H226,H229:H234,H237:H238,H240:H241,H244:H247,H251:H255,H257:H261,H264:H268,H270:H273,H276:H282,H285:H286,H288:H293,H296:H304,H307:H309,H313,H315:H316,H319,H323:H326,H328:H330,H333:H342,H345:H353,H357:H366,H369,H373,H376,H379:H385,H390:H399,H402:H410,H413:H420,H423:H429,H431:H432,H435:H436,H441,H446:H452,H455:H457,H459:H461,H463,H466:H468,H470:H474,H477:H485,H489:H491,H493:H496,H499:H504,H506:H508,H511:H512,H514,H516:H521,H524:H525,H527:H529,H531:H533,H536:H537,H541:H542,H546:H547,H549:H550,H552:H554,H557,H559:H560,H562:H563,H565,H567,H569,H571:H572,H576,H578:H579,H581,H583:H586,H588:H589,H592:H593,H595,H597,H599:H603,H606,H608:H609,H611,H613:H617,H619,H623,H625:H629,H631,H636:H637,H639,H647,H649:H650,H661:H662,H664,H668:H670,H672,H675,H678,H680,H684,H686)</f>
        <v>0</v>
      </c>
      <c r="I692" s="224">
        <f>MIN(I3:I10,I12:I20,I22:I38,I40:I45,I47:I55,I57:I61,I63:I76,I78:I86,I88:I103,I105:I106,I108:I109,I117,I121,I123:I130,I133:I142,I145:I147,I149:I152,I154:I156,I159,I161,I163:I165,I167:I168,I178,I180,I184:I185,I198,I202:I203,I206:I209,I211:I214,I217:I223,I225:I226,I229:I234,I237:I238,I240:I241,I244:I247,I251:I255,I257:I261,I264:I268,I270:I273,I276:I282,I285:I286,I288:I293,I296:I304,I307:I309,I313,I315:I316,I319,I323:I326,I328:I330,I333:I342,I345:I353,I357:I366,I369,I373,I376,I379:I385,I390:I399,I402:I410,I413:I420,I423:I429,I431:I432,I435:I436,I441,I446:I452,I455:I457,I459:I461,I463,I466:I468,I470:I474,I477:I485,I489:I491,I493:I496,I499:I504,I506:I508,I511:I512,I514,I516:I521,I524:I525,I527:I529,I531:I533,I536:I537,I541:I542,I546:I547,I549:I550,I552:I554,I557,I559:I560,I562:I563,I565,I567,I569,I571:I572,I576,I578:I579,I581,I583:I586,I588:I589,I592:I593,I595,I597,I599:I603,I606,I608:I609,I611,I613:I617,I619,I623,I625:I629,I631,I636:I637,I639,I647,I649:I650,I661:I662,I664,I668:I670,I672,I675,I678,I680,I684,I686)</f>
        <v>0</v>
      </c>
      <c r="J692" s="226">
        <f>MIN(J3:J10,J12:J20,J22:J38,J40:J45,J47:J55,J57:J61,J63:J76,J78:J86,J88:J103,J105:J106,J108:J109,J117,J121,J123:J130,J133:J142,J145:J147,J149:J152,J154:J156,J159,J161,J163:J165,J167:J168,J178,J180,J184:J185,J198,J202:J203,J206:J209,J211:J214,J217:J223,J225:J226,J229:J234,J237:J238,J240:J241,J244:J247,J251:J255,J257:J261,J264:J268,J270:J273,J276:J282,J285:J286,J288:J293,J296:J304,J307:J309,J313,J315:J316,J319,J323:J326,J328:J330,J333:J342,J345:J353,J357:J366,J369,J373,J376,J379:J385,J390:J399,J402:J410,J413:J420,J423:J429,J431:J432,J435:J436,J441,J446:J452,J455:J457,J459:J461,J463,J466:J468,J470:J474,J477:J485,J489:J491,J493:J496,J499:J504,J506:J508,J511:J512,J514,J516:J521,J524:J525,J527:J529,J531:J533,J536:J537,J541:J542,J546:J547,J549:J550,J552:J554,J557,J559:J560,J562:J563,J565,J567,J569,J571:J572,J576,J578:J579,J581,J583:J586,J588:J589,J592:J593,J595,J597,J599:J603,J606,J608:J609,J611,J613:J617,J619,J623,J625:J629,J631,J636:J637,J639,J647,J649:J650,J661:J662,J664,J668:J670,J672,J675,J678,J680,J684,J686)</f>
        <v>0</v>
      </c>
      <c r="K692" s="220"/>
      <c r="L692" s="141"/>
    </row>
    <row r="693" spans="1:12" ht="20.100000000000001" customHeight="1" x14ac:dyDescent="0.25">
      <c r="A693" s="220"/>
      <c r="B693" s="71"/>
      <c r="C693" s="220" t="s">
        <v>514</v>
      </c>
      <c r="D693" s="224">
        <f>MEDIAN(D3:D10,D12:D20,D22:D38,D40:D45,D47:D55,D57:D61,D63:D76,D78:D86,D88:D103,D105:D106,D108:D109,D117,D121,D123:D130,D133:D142,D145:D147,D149:D152,D154:D156,D159,D161,D163:D165,D167:D168,D178,D180,D184:D185,D198,D202:D203,D206:D209,D211:D214,D217:D223,D225:D226,D229:D234,D237:D238,D240:D241,D244:D247,D251:D255,D257:D261,D264:D268,D270:D273,D276:D282,D285:D286,D288:D293,D296:D304,D307:D309,D313,D315:D316,D319,D323:D326,D328:D330,D333:D342,D345:D353,D357:D366,D369,D373,D376,D379:D385,D390:D399,D402:D410,D413:D420,D423:D429,D431:D432,D435:D436,D441,D446:D452,D455:D457,D459:D461,D463,D466:D468,D470:D474,D477:D485,D489:D491,D493:D496,D499:D504,D506:D508,D511:D512,D514,D516:D521,D524:D525,D527:D529,D531:D533,D536:D537,D541:D542,D546:D547,D549:D550,D552:D554,D557,D559:D560,D562:D563,D565,D567,D569,D571:D572,D576,D578:D579,D581,D583:D586,D588:D589,D592:D593,D595,D597,D599:D603,D606,D608:D609,D611,D613:D617,D619,D623,D625:D629,D631,D636:D637,D639,D647,D649:D650,D661:D662,D664,D668:D670,D672,D675,D678,D680,D684,D686)</f>
        <v>0.02</v>
      </c>
      <c r="E693" s="224">
        <f>MEDIAN(E3:E10,E12:E20,E22:E38,E40:E45,E47:E55,E57:E61,E63:E76,E78:E86,E88:E103,E105:E106,E108:E109,E117,E121,E123:E130,E133:E142,E145:E147,E149:E152,E154:E156,E159,E161,E163:E165,E167:E168,E178,E180,E184:E185,E198,E202:E203,E206:E209,E211:E214,E217:E223,E225:E226,E229:E234,E237:E238,E240:E241,E244:E247,E251:E255,E257:E261,E264:E268,E270:E273,E276:E282,E285:E286,E288:E293,E296:E304,E307:E309,E313,E315:E316,E319,E323:E326,E328:E330,E333:E342,E345:E353,E357:E366,E369,E373,E376,E379:E385,E390:E399,E402:E410,E413:E420,E423:E429,E431:E432,E435:E436,E441,E446:E452,E455:E457,E459:E461,E463,E466:E468,E470:E474,E477:E485,E489:E491,E493:E496,E499:E504,E506:E508,E511:E512,E514,E516:E521,E524:E525,E527:E529,E531:E533,E536:E537,E541:E542,E546:E547,E549:E550,E552:E554,E557,E559:E560,E562:E563,E565,E567,E569,E571:E572,E576,E578:E579,E581,E583:E586,E588:E589,E592:E593,E595,E597,E599:E603,E606,E608:E609,E611,E613:E617,E619,E623,E625:E629,E631,E636:E637,E639,E647,E649:E650,E661:E662,E664,E668:E670,E672,E675,E678,E680,E684,E686)</f>
        <v>0.24</v>
      </c>
      <c r="F693" s="226">
        <f>MEDIAN(F3:F10,F12:F20,F22:F38,F40:F45,F47:F55,F57:F61,F63:F76,F78:F86,F88:F103,F105:F106,F108:F109,F117,F121,F123:F130,F133:F142,F145:F147,F149:F152,F154:F156,F159,F161,F163:F165,F167:F168,F178,F180,F184:F185,F198,F202:F203,F206:F209,F211:F214,F217:F223,F225:F226,F229:F234,F237:F238,F240:F241,F244:F247,F251:F255,F257:F261,F264:F268,F270:F273,F276:F282,F285:F286,F288:F293,F296:F304,F307:F309,F313,F315:F316,F319,F323:F326,F328:F330,F333:F342,F345:F353,F357:F366,F369,F373,F376,F379:F385,F390:F399,F402:F410,F413:F420,F423:F429,F431:F432,F435:F436,F441,F446:F452,F455:F457,F459:F461,F463,F466:F468,F470:F474,F477:F485,F489:F491,F493:F496,F499:F504,F506:F508,F511:F512,F514,F516:F521,F524:F525,F527:F529,F531:F533,F536:F537,F541:F542,F546:F547,F549:F550,F552:F554,F557,F559:F560,F562:F563,F565,F567,F569,F571:F572,F576,F578:F579,F581,F583:F586,F588:F589,F592:F593,F595,F597,F599:F603,F606,F608:F609,F611,F613:F617,F619,F623,F625:F629,F631,F636:F637,F639,F647,F649:F650,F661:F662,F664,F668:F670,F672,F675,F678,F680,F684,F686)</f>
        <v>0.27</v>
      </c>
      <c r="G693" s="174"/>
      <c r="H693" s="224">
        <f>MEDIAN(H3:H10,H12:H20,H22:H38,H40:H45,H47:H55,H57:H61,H63:H76,H78:H86,H88:H103,H105:H106,H108:H109,H117,H121,H123:H130,H133:H142,H145:H147,H149:H152,H154:H156,H159,H161,H163:H165,H167:H168,H178,H180,H184:H185,H198,H202:H203,H206:H209,H211:H214,H217:H223,H225:H226,H229:H234,H237:H238,H240:H241,H244:H247,H251:H255,H257:H261,H264:H268,H270:H273,H276:H282,H285:H286,H288:H293,H296:H304,H307:H309,H313,H315:H316,H319,H323:H326,H328:H330,H333:H342,H345:H353,H357:H366,H369,H373,H376,H379:H385,H390:H399,H402:H410,H413:H420,H423:H429,H431:H432,H435:H436,H441,H446:H452,H455:H457,H459:H461,H463,H466:H468,H470:H474,H477:H485,H489:H491,H493:H496,H499:H504,H506:H508,H511:H512,H514,H516:H521,H524:H525,H527:H529,H531:H533,H536:H537,H541:H542,H546:H547,H549:H550,H552:H554,H557,H559:H560,H562:H563,H565,H567,H569,H571:H572,H576,H578:H579,H581,H583:H586,H588:H589,H592:H593,H595,H597,H599:H603,H606,H608:H609,H611,H613:H617,H619,H623,H625:H629,H631,H636:H637,H639,H647,H649:H650,H661:H662,H664,H668:H670,H672,H675,H678,H680,H684,H686)</f>
        <v>0.01</v>
      </c>
      <c r="I693" s="224">
        <f>MEDIAN(I3:I10,I12:I20,I22:I38,I40:I45,I47:I55,I57:I61,I63:I76,I78:I86,I88:I103,I105:I106,I108:I109,I117,I121,I123:I130,I133:I142,I145:I147,I149:I152,I154:I156,I159,I161,I163:I165,I167:I168,I178,I180,I184:I185,I198,I202:I203,I206:I209,I211:I214,I217:I223,I225:I226,I229:I234,I237:I238,I240:I241,I244:I247,I251:I255,I257:I261,I264:I268,I270:I273,I276:I282,I285:I286,I288:I293,I296:I304,I307:I309,I313,I315:I316,I319,I323:I326,I328:I330,I333:I342,I345:I353,I357:I366,I369,I373,I376,I379:I385,I390:I399,I402:I410,I413:I420,I423:I429,I431:I432,I435:I436,I441,I446:I452,I455:I457,I459:I461,I463,I466:I468,I470:I474,I477:I485,I489:I491,I493:I496,I499:I504,I506:I508,I511:I512,I514,I516:I521,I524:I525,I527:I529,I531:I533,I536:I537,I541:I542,I546:I547,I549:I550,I552:I554,I557,I559:I560,I562:I563,I565,I567,I569,I571:I572,I576,I578:I579,I581,I583:I586,I588:I589,I592:I593,I595,I597,I599:I603,I606,I608:I609,I611,I613:I617,I619,I623,I625:I629,I631,I636:I637,I639,I647,I649:I650,I661:I662,I664,I668:I670,I672,I675,I678,I680,I684,I686)</f>
        <v>0.02</v>
      </c>
      <c r="J693" s="226">
        <f>MEDIAN(J3:J10,J12:J20,J22:J38,J40:J45,J47:J55,J57:J61,J63:J76,J78:J86,J88:J103,J105:J106,J108:J109,J117,J121,J123:J130,J133:J142,J145:J147,J149:J152,J154:J156,J159,J161,J163:J165,J167:J168,J178,J180,J184:J185,J198,J202:J203,J206:J209,J211:J214,J217:J223,J225:J226,J229:J234,J237:J238,J240:J241,J244:J247,J251:J255,J257:J261,J264:J268,J270:J273,J276:J282,J285:J286,J288:J293,J296:J304,J307:J309,J313,J315:J316,J319,J323:J326,J328:J330,J333:J342,J345:J353,J357:J366,J369,J373,J376,J379:J385,J390:J399,J402:J410,J413:J420,J423:J429,J431:J432,J435:J436,J441,J446:J452,J455:J457,J459:J461,J463,J466:J468,J470:J474,J477:J485,J489:J491,J493:J496,J499:J504,J506:J508,J511:J512,J514,J516:J521,J524:J525,J527:J529,J531:J533,J536:J537,J541:J542,J546:J547,J549:J550,J552:J554,J557,J559:J560,J562:J563,J565,J567,J569,J571:J572,J576,J578:J579,J581,J583:J586,J588:J589,J592:J593,J595,J597,J599:J603,J606,J608:J609,J611,J613:J617,J619,J623,J625:J629,J631,J636:J637,J639,J647,J649:J650,J661:J662,J664,J668:J670,J672,J675,J678,J680,J684,J686)</f>
        <v>7.0000000000000007E-2</v>
      </c>
      <c r="K693" s="220"/>
      <c r="L693" s="141"/>
    </row>
    <row r="694" spans="1:12" ht="20.100000000000001" customHeight="1" x14ac:dyDescent="0.25">
      <c r="A694" s="220"/>
      <c r="B694" s="71"/>
      <c r="C694" s="143" t="s">
        <v>523</v>
      </c>
      <c r="D694" s="143">
        <f>_xlfn.T.TEST(D696:D1379,H696:H1379,2,1)</f>
        <v>3.912631591115314E-15</v>
      </c>
      <c r="E694" s="143">
        <f>_xlfn.T.TEST(E696:E1379,I696:I1379,2,1)</f>
        <v>7.7284935729924739E-79</v>
      </c>
      <c r="F694" s="143">
        <f>_xlfn.T.TEST(F696:F1379,J696:J1379,2,1)</f>
        <v>2.8044461420554524E-66</v>
      </c>
      <c r="G694" s="174"/>
      <c r="H694" s="207"/>
      <c r="I694" s="207"/>
      <c r="J694" s="220"/>
      <c r="K694" s="220"/>
      <c r="L694" s="141"/>
    </row>
    <row r="695" spans="1:12" ht="20.100000000000001" customHeight="1" x14ac:dyDescent="0.25">
      <c r="A695" s="220"/>
      <c r="B695" s="71"/>
      <c r="C695" s="143"/>
      <c r="D695" s="143"/>
      <c r="E695" s="143"/>
      <c r="F695" s="143"/>
      <c r="G695" s="174"/>
      <c r="H695" s="207"/>
      <c r="I695" s="207"/>
      <c r="J695" s="220"/>
      <c r="K695" s="220"/>
      <c r="L695" s="141"/>
    </row>
    <row r="696" spans="1:12" ht="20.100000000000001" customHeight="1" x14ac:dyDescent="0.25">
      <c r="A696" s="220"/>
      <c r="B696" s="71"/>
      <c r="C696" s="245"/>
      <c r="D696" s="244">
        <v>0.11</v>
      </c>
      <c r="E696" s="244">
        <v>0.14000000000000001</v>
      </c>
      <c r="F696" s="244"/>
      <c r="G696" s="171"/>
      <c r="H696" s="244">
        <v>0.02</v>
      </c>
      <c r="I696" s="244">
        <v>0.06</v>
      </c>
      <c r="J696" s="244"/>
      <c r="K696" s="127" t="s">
        <v>298</v>
      </c>
      <c r="L696" s="141"/>
    </row>
    <row r="697" spans="1:12" ht="20.100000000000001" customHeight="1" x14ac:dyDescent="0.25">
      <c r="A697" s="220"/>
      <c r="B697" s="71"/>
      <c r="C697" s="245"/>
      <c r="D697" s="244">
        <v>0.11</v>
      </c>
      <c r="E697" s="244">
        <v>0.17</v>
      </c>
      <c r="F697" s="244"/>
      <c r="G697" s="171"/>
      <c r="H697" s="244"/>
      <c r="I697" s="244"/>
      <c r="J697" s="244"/>
      <c r="K697" s="245"/>
      <c r="L697" s="141"/>
    </row>
    <row r="698" spans="1:12" ht="20.100000000000001" customHeight="1" x14ac:dyDescent="0.25">
      <c r="A698" s="220"/>
      <c r="B698" s="71"/>
      <c r="C698" s="245"/>
      <c r="D698" s="244">
        <v>0.11</v>
      </c>
      <c r="E698" s="244">
        <v>0.13</v>
      </c>
      <c r="F698" s="244"/>
      <c r="G698" s="171"/>
      <c r="H698" s="244">
        <v>0.01</v>
      </c>
      <c r="I698" s="244">
        <v>0.02</v>
      </c>
      <c r="J698" s="244"/>
      <c r="K698" s="245" t="s">
        <v>298</v>
      </c>
      <c r="L698" s="141"/>
    </row>
    <row r="699" spans="1:12" ht="20.100000000000001" customHeight="1" x14ac:dyDescent="0.25">
      <c r="A699" s="220"/>
      <c r="B699" s="71"/>
      <c r="C699" s="245"/>
      <c r="D699" s="244">
        <v>0.08</v>
      </c>
      <c r="E699" s="244">
        <v>0.09</v>
      </c>
      <c r="F699" s="244"/>
      <c r="G699" s="171"/>
      <c r="H699" s="244">
        <v>0.01</v>
      </c>
      <c r="I699" s="244">
        <v>0.02</v>
      </c>
      <c r="J699" s="244"/>
      <c r="K699" s="245"/>
      <c r="L699" s="141"/>
    </row>
    <row r="700" spans="1:12" ht="20.100000000000001" customHeight="1" x14ac:dyDescent="0.25">
      <c r="A700" s="220"/>
      <c r="B700" s="71"/>
      <c r="C700" s="245"/>
      <c r="D700" s="244">
        <v>0.03</v>
      </c>
      <c r="E700" s="244">
        <v>0.08</v>
      </c>
      <c r="F700" s="244"/>
      <c r="G700" s="171"/>
      <c r="H700" s="244">
        <v>0.02</v>
      </c>
      <c r="I700" s="244">
        <v>0.05</v>
      </c>
      <c r="J700" s="244"/>
      <c r="K700" s="245" t="s">
        <v>298</v>
      </c>
      <c r="L700" s="141"/>
    </row>
    <row r="701" spans="1:12" ht="20.100000000000001" customHeight="1" x14ac:dyDescent="0.25">
      <c r="A701" s="220"/>
      <c r="B701" s="71"/>
      <c r="C701" s="245"/>
      <c r="D701" s="244">
        <v>0.02</v>
      </c>
      <c r="E701" s="244">
        <v>0.06</v>
      </c>
      <c r="F701" s="244"/>
      <c r="G701" s="171"/>
      <c r="H701" s="244">
        <v>0.01</v>
      </c>
      <c r="I701" s="244">
        <v>0.01</v>
      </c>
      <c r="J701" s="244"/>
      <c r="K701" s="245"/>
      <c r="L701" s="141"/>
    </row>
    <row r="702" spans="1:12" ht="20.100000000000001" customHeight="1" x14ac:dyDescent="0.25">
      <c r="A702" s="220"/>
      <c r="B702" s="71"/>
      <c r="C702" s="245"/>
      <c r="D702" s="244">
        <v>0.02</v>
      </c>
      <c r="E702" s="244">
        <v>0.06</v>
      </c>
      <c r="F702" s="244"/>
      <c r="G702" s="171"/>
      <c r="H702" s="244">
        <v>0.02</v>
      </c>
      <c r="I702" s="244">
        <v>0.03</v>
      </c>
      <c r="J702" s="244"/>
      <c r="K702" s="245" t="s">
        <v>298</v>
      </c>
      <c r="L702" s="141"/>
    </row>
    <row r="703" spans="1:12" ht="20.100000000000001" customHeight="1" x14ac:dyDescent="0.25">
      <c r="A703" s="220"/>
      <c r="B703" s="71"/>
      <c r="C703" s="245"/>
      <c r="D703" s="244">
        <v>0.19</v>
      </c>
      <c r="E703" s="244">
        <v>0.4</v>
      </c>
      <c r="F703" s="244"/>
      <c r="G703" s="171"/>
      <c r="H703" s="250"/>
      <c r="I703" s="251"/>
      <c r="J703" s="244"/>
      <c r="K703" s="245"/>
      <c r="L703" s="141"/>
    </row>
    <row r="704" spans="1:12" ht="20.100000000000001" customHeight="1" x14ac:dyDescent="0.25">
      <c r="A704" s="220"/>
      <c r="B704" s="71"/>
      <c r="C704" s="245"/>
      <c r="D704" s="72"/>
      <c r="E704" s="72"/>
      <c r="F704" s="244"/>
      <c r="G704" s="171"/>
      <c r="H704" s="244">
        <v>0.02</v>
      </c>
      <c r="I704" s="244">
        <v>0.01</v>
      </c>
      <c r="J704" s="244"/>
      <c r="K704" s="245"/>
      <c r="L704" s="141"/>
    </row>
    <row r="705" spans="1:12" ht="20.100000000000001" customHeight="1" x14ac:dyDescent="0.25">
      <c r="A705" s="220"/>
      <c r="B705" s="71"/>
      <c r="C705" s="245"/>
      <c r="D705" s="244">
        <v>0.04</v>
      </c>
      <c r="E705" s="244">
        <v>0.1</v>
      </c>
      <c r="F705" s="244"/>
      <c r="G705" s="171"/>
      <c r="H705" s="244">
        <v>0.01</v>
      </c>
      <c r="I705" s="244">
        <v>0.04</v>
      </c>
      <c r="J705" s="244"/>
      <c r="K705" s="245" t="s">
        <v>298</v>
      </c>
      <c r="L705" s="141"/>
    </row>
    <row r="706" spans="1:12" ht="20.100000000000001" customHeight="1" x14ac:dyDescent="0.25">
      <c r="B706" s="71"/>
      <c r="C706" s="245"/>
      <c r="D706" s="244">
        <v>0.02</v>
      </c>
      <c r="E706" s="244">
        <v>0.04</v>
      </c>
      <c r="F706" s="244"/>
      <c r="G706" s="171"/>
      <c r="H706" s="244">
        <v>0.01</v>
      </c>
      <c r="I706" s="244">
        <v>0.01</v>
      </c>
      <c r="J706" s="244"/>
      <c r="K706" s="245"/>
      <c r="L706" s="141"/>
    </row>
    <row r="707" spans="1:12" ht="20.100000000000001" customHeight="1" x14ac:dyDescent="0.25">
      <c r="B707" s="71"/>
      <c r="C707" s="245"/>
      <c r="D707" s="244">
        <v>0.01</v>
      </c>
      <c r="E707" s="244">
        <v>0.06</v>
      </c>
      <c r="F707" s="244"/>
      <c r="G707" s="171"/>
      <c r="H707" s="244">
        <v>0.05</v>
      </c>
      <c r="I707" s="244">
        <v>0.05</v>
      </c>
      <c r="J707" s="244"/>
      <c r="K707" s="245" t="s">
        <v>298</v>
      </c>
      <c r="L707" s="141"/>
    </row>
    <row r="708" spans="1:12" ht="20.100000000000001" customHeight="1" x14ac:dyDescent="0.25">
      <c r="B708" s="71"/>
      <c r="C708" s="245"/>
      <c r="D708" s="244">
        <v>0.02</v>
      </c>
      <c r="E708" s="244">
        <v>0.02</v>
      </c>
      <c r="F708" s="244"/>
      <c r="G708" s="171"/>
      <c r="H708" s="244">
        <v>0.01</v>
      </c>
      <c r="I708" s="244">
        <v>0.01</v>
      </c>
      <c r="J708" s="244"/>
      <c r="K708" s="245"/>
      <c r="L708" s="141"/>
    </row>
    <row r="709" spans="1:12" ht="20.100000000000001" customHeight="1" x14ac:dyDescent="0.25">
      <c r="B709" s="71"/>
      <c r="C709" s="245"/>
      <c r="D709" s="244">
        <v>0.01</v>
      </c>
      <c r="E709" s="244">
        <v>0.03</v>
      </c>
      <c r="F709" s="244"/>
      <c r="G709" s="171"/>
      <c r="H709" s="244">
        <v>0.03</v>
      </c>
      <c r="I709" s="244">
        <v>0.05</v>
      </c>
      <c r="J709" s="244"/>
      <c r="K709" s="245" t="s">
        <v>298</v>
      </c>
      <c r="L709" s="141"/>
    </row>
    <row r="710" spans="1:12" ht="20.100000000000001" customHeight="1" x14ac:dyDescent="0.25">
      <c r="B710" s="71"/>
      <c r="C710" s="245"/>
      <c r="D710" s="244">
        <v>0.03</v>
      </c>
      <c r="E710" s="244">
        <v>0.05</v>
      </c>
      <c r="F710" s="244"/>
      <c r="G710" s="171"/>
      <c r="H710" s="72" t="s">
        <v>20</v>
      </c>
      <c r="I710" s="244">
        <v>0.01</v>
      </c>
      <c r="J710" s="244"/>
      <c r="K710" s="245"/>
      <c r="L710" s="141"/>
    </row>
    <row r="711" spans="1:12" ht="20.100000000000001" customHeight="1" x14ac:dyDescent="0.25">
      <c r="B711" s="71"/>
      <c r="C711" s="245"/>
      <c r="D711" s="244">
        <v>0.01</v>
      </c>
      <c r="E711" s="244">
        <v>0.01</v>
      </c>
      <c r="F711" s="244"/>
      <c r="G711" s="171"/>
      <c r="H711" s="244">
        <v>0.02</v>
      </c>
      <c r="I711" s="244">
        <v>0.03</v>
      </c>
      <c r="J711" s="244"/>
      <c r="K711" s="245" t="s">
        <v>298</v>
      </c>
      <c r="L711" s="141"/>
    </row>
    <row r="712" spans="1:12" ht="20.100000000000001" customHeight="1" x14ac:dyDescent="0.25">
      <c r="B712" s="71"/>
      <c r="C712" s="245"/>
      <c r="D712" s="244">
        <v>0.01</v>
      </c>
      <c r="E712" s="244">
        <v>0.03</v>
      </c>
      <c r="F712" s="244"/>
      <c r="G712" s="171"/>
      <c r="H712" s="244">
        <v>0.01</v>
      </c>
      <c r="I712" s="244">
        <v>0.01</v>
      </c>
      <c r="J712" s="244"/>
      <c r="K712" s="245"/>
      <c r="L712" s="141"/>
    </row>
    <row r="713" spans="1:12" ht="20.100000000000001" customHeight="1" x14ac:dyDescent="0.25">
      <c r="B713" s="71"/>
      <c r="C713" s="245"/>
      <c r="D713" s="244">
        <v>0.01</v>
      </c>
      <c r="E713" s="244">
        <v>0.05</v>
      </c>
      <c r="F713" s="244"/>
      <c r="G713" s="171"/>
      <c r="H713" s="72" t="s">
        <v>20</v>
      </c>
      <c r="I713" s="72" t="s">
        <v>20</v>
      </c>
      <c r="J713" s="244"/>
      <c r="K713" s="245" t="s">
        <v>298</v>
      </c>
      <c r="L713" s="141"/>
    </row>
    <row r="714" spans="1:12" ht="20.100000000000001" customHeight="1" x14ac:dyDescent="0.25">
      <c r="B714" s="71"/>
      <c r="C714" s="245"/>
      <c r="D714" s="250"/>
      <c r="E714" s="251"/>
      <c r="F714" s="244"/>
      <c r="G714" s="171"/>
      <c r="H714" s="244">
        <v>0.01</v>
      </c>
      <c r="I714" s="72" t="s">
        <v>20</v>
      </c>
      <c r="J714" s="244"/>
      <c r="K714" s="245"/>
      <c r="L714" s="141"/>
    </row>
    <row r="715" spans="1:12" ht="20.100000000000001" customHeight="1" x14ac:dyDescent="0.25">
      <c r="B715" s="71"/>
      <c r="C715" s="245"/>
      <c r="D715" s="244">
        <v>0.01</v>
      </c>
      <c r="E715" s="244">
        <v>0.34</v>
      </c>
      <c r="F715" s="244"/>
      <c r="G715" s="171"/>
      <c r="H715" s="72"/>
      <c r="I715" s="72"/>
      <c r="J715" s="244"/>
      <c r="K715" s="245"/>
      <c r="L715" s="141"/>
    </row>
    <row r="716" spans="1:12" ht="20.100000000000001" customHeight="1" x14ac:dyDescent="0.25">
      <c r="B716" s="71"/>
      <c r="C716" s="245"/>
      <c r="D716" s="244">
        <v>0.16</v>
      </c>
      <c r="E716" s="244">
        <v>0.34</v>
      </c>
      <c r="F716" s="244"/>
      <c r="G716" s="171"/>
      <c r="H716" s="244">
        <v>0.01</v>
      </c>
      <c r="I716" s="244">
        <v>0.03</v>
      </c>
      <c r="J716" s="244"/>
      <c r="K716" s="245" t="s">
        <v>298</v>
      </c>
      <c r="L716" s="141"/>
    </row>
    <row r="717" spans="1:12" ht="20.100000000000001" customHeight="1" x14ac:dyDescent="0.25">
      <c r="B717" s="71"/>
      <c r="C717" s="245"/>
      <c r="D717" s="244">
        <v>0.04</v>
      </c>
      <c r="E717" s="244">
        <v>0.31</v>
      </c>
      <c r="F717" s="244"/>
      <c r="G717" s="171"/>
      <c r="H717" s="244">
        <v>0.01</v>
      </c>
      <c r="I717" s="244">
        <v>0.02</v>
      </c>
      <c r="J717" s="244"/>
      <c r="K717" s="245"/>
      <c r="L717" s="141"/>
    </row>
    <row r="718" spans="1:12" ht="20.100000000000001" customHeight="1" x14ac:dyDescent="0.25">
      <c r="B718" s="71"/>
      <c r="C718" s="245"/>
      <c r="D718" s="244">
        <v>0.12</v>
      </c>
      <c r="E718" s="244">
        <v>0.32</v>
      </c>
      <c r="F718" s="244"/>
      <c r="G718" s="171"/>
      <c r="H718" s="72" t="s">
        <v>20</v>
      </c>
      <c r="I718" s="244">
        <v>0.05</v>
      </c>
      <c r="J718" s="244"/>
      <c r="K718" s="245" t="s">
        <v>298</v>
      </c>
      <c r="L718" s="141"/>
    </row>
    <row r="719" spans="1:12" ht="20.100000000000001" customHeight="1" x14ac:dyDescent="0.25">
      <c r="B719" s="71"/>
      <c r="C719" s="245"/>
      <c r="D719" s="244">
        <v>0.17</v>
      </c>
      <c r="E719" s="244">
        <v>0.3</v>
      </c>
      <c r="F719" s="244"/>
      <c r="G719" s="171"/>
      <c r="H719" s="244">
        <v>0.01</v>
      </c>
      <c r="I719" s="244">
        <v>0.04</v>
      </c>
      <c r="J719" s="244"/>
      <c r="K719" s="245"/>
      <c r="L719" s="141"/>
    </row>
    <row r="720" spans="1:12" ht="20.100000000000001" customHeight="1" x14ac:dyDescent="0.25">
      <c r="B720" s="71"/>
      <c r="C720" s="245"/>
      <c r="D720" s="244">
        <v>0.25</v>
      </c>
      <c r="E720" s="244">
        <v>0.35</v>
      </c>
      <c r="F720" s="244"/>
      <c r="G720" s="171"/>
      <c r="H720" s="244">
        <v>0.03</v>
      </c>
      <c r="I720" s="244">
        <v>0.04</v>
      </c>
      <c r="J720" s="244"/>
      <c r="K720" s="245" t="s">
        <v>298</v>
      </c>
      <c r="L720" s="141"/>
    </row>
    <row r="721" spans="2:12" ht="20.100000000000001" customHeight="1" x14ac:dyDescent="0.25">
      <c r="B721" s="71"/>
      <c r="C721" s="245"/>
      <c r="D721" s="244">
        <v>0.22</v>
      </c>
      <c r="E721" s="244">
        <v>0.32</v>
      </c>
      <c r="F721" s="244"/>
      <c r="G721" s="171"/>
      <c r="H721" s="244">
        <v>0.01</v>
      </c>
      <c r="I721" s="244">
        <v>0.05</v>
      </c>
      <c r="J721" s="244"/>
      <c r="K721" s="245"/>
      <c r="L721" s="141"/>
    </row>
    <row r="722" spans="2:12" ht="20.100000000000001" customHeight="1" x14ac:dyDescent="0.25">
      <c r="B722" s="71"/>
      <c r="C722" s="245"/>
      <c r="D722" s="244">
        <v>0.22</v>
      </c>
      <c r="E722" s="244">
        <v>0.28999999999999998</v>
      </c>
      <c r="F722" s="244"/>
      <c r="G722" s="171"/>
      <c r="H722" s="244">
        <v>0.01</v>
      </c>
      <c r="I722" s="244">
        <v>0.05</v>
      </c>
      <c r="J722" s="244"/>
      <c r="K722" s="245" t="s">
        <v>298</v>
      </c>
      <c r="L722" s="141"/>
    </row>
    <row r="723" spans="2:12" ht="20.100000000000001" customHeight="1" x14ac:dyDescent="0.25">
      <c r="B723" s="71"/>
      <c r="C723" s="245"/>
      <c r="D723" s="244">
        <v>0.05</v>
      </c>
      <c r="E723" s="244">
        <v>0.34</v>
      </c>
      <c r="F723" s="244"/>
      <c r="G723" s="171"/>
      <c r="H723" s="244">
        <v>0.01</v>
      </c>
      <c r="I723" s="244">
        <v>7.0000000000000007E-2</v>
      </c>
      <c r="J723" s="244"/>
      <c r="K723" s="245"/>
      <c r="L723" s="141"/>
    </row>
    <row r="724" spans="2:12" ht="20.100000000000001" customHeight="1" x14ac:dyDescent="0.25">
      <c r="B724" s="71"/>
      <c r="C724" s="245"/>
      <c r="D724" s="244">
        <v>0.03</v>
      </c>
      <c r="E724" s="244">
        <v>0.25</v>
      </c>
      <c r="F724" s="244"/>
      <c r="G724" s="171"/>
      <c r="H724" s="244">
        <v>0.01</v>
      </c>
      <c r="I724" s="244">
        <v>0.01</v>
      </c>
      <c r="J724" s="244"/>
      <c r="K724" s="245" t="s">
        <v>298</v>
      </c>
      <c r="L724" s="141"/>
    </row>
    <row r="725" spans="2:12" ht="20.100000000000001" customHeight="1" x14ac:dyDescent="0.25">
      <c r="B725" s="71"/>
      <c r="C725" s="245"/>
      <c r="D725" s="244">
        <v>0.05</v>
      </c>
      <c r="E725" s="244">
        <v>0.26</v>
      </c>
      <c r="F725" s="244"/>
      <c r="G725" s="171"/>
      <c r="H725" s="244">
        <v>0.02</v>
      </c>
      <c r="I725" s="244">
        <v>0.03</v>
      </c>
      <c r="J725" s="244"/>
      <c r="K725" s="245"/>
      <c r="L725" s="141"/>
    </row>
    <row r="726" spans="2:12" ht="20.100000000000001" customHeight="1" x14ac:dyDescent="0.25">
      <c r="B726" s="71"/>
      <c r="C726" s="245"/>
      <c r="D726" s="244">
        <v>0.17</v>
      </c>
      <c r="E726" s="244">
        <v>0.23</v>
      </c>
      <c r="F726" s="244"/>
      <c r="G726" s="171"/>
      <c r="H726" s="244">
        <v>0.01</v>
      </c>
      <c r="I726" s="244">
        <v>0.02</v>
      </c>
      <c r="J726" s="244"/>
      <c r="K726" s="245" t="s">
        <v>298</v>
      </c>
      <c r="L726" s="141"/>
    </row>
    <row r="727" spans="2:12" ht="20.100000000000001" customHeight="1" x14ac:dyDescent="0.25">
      <c r="B727" s="71"/>
      <c r="C727" s="245"/>
      <c r="D727" s="244">
        <v>0.05</v>
      </c>
      <c r="E727" s="244">
        <v>0.23</v>
      </c>
      <c r="F727" s="244"/>
      <c r="G727" s="171"/>
      <c r="H727" s="244">
        <v>0.01</v>
      </c>
      <c r="I727" s="244">
        <v>0.01</v>
      </c>
      <c r="J727" s="244"/>
      <c r="K727" s="245"/>
      <c r="L727" s="141"/>
    </row>
    <row r="728" spans="2:12" ht="20.100000000000001" customHeight="1" x14ac:dyDescent="0.25">
      <c r="B728" s="71"/>
      <c r="C728" s="245"/>
      <c r="D728" s="244">
        <v>0.18</v>
      </c>
      <c r="E728" s="244">
        <v>0.21</v>
      </c>
      <c r="F728" s="244"/>
      <c r="G728" s="171"/>
      <c r="H728" s="244">
        <v>0.01</v>
      </c>
      <c r="I728" s="244">
        <v>0.03</v>
      </c>
      <c r="J728" s="244"/>
      <c r="K728" s="245" t="s">
        <v>298</v>
      </c>
      <c r="L728" s="141">
        <v>10756.1</v>
      </c>
    </row>
    <row r="729" spans="2:12" ht="20.100000000000001" customHeight="1" x14ac:dyDescent="0.25">
      <c r="B729" s="71"/>
      <c r="C729" s="245"/>
      <c r="D729" s="244">
        <v>0.04</v>
      </c>
      <c r="E729" s="244">
        <v>0.13</v>
      </c>
      <c r="F729" s="244"/>
      <c r="G729" s="171"/>
      <c r="H729" s="244">
        <v>0.01</v>
      </c>
      <c r="I729" s="244">
        <v>0.02</v>
      </c>
      <c r="J729" s="244"/>
      <c r="K729" s="245"/>
      <c r="L729" s="141"/>
    </row>
    <row r="730" spans="2:12" ht="20.100000000000001" customHeight="1" x14ac:dyDescent="0.25">
      <c r="B730" s="71"/>
      <c r="C730" s="245"/>
      <c r="D730" s="244">
        <v>0.04</v>
      </c>
      <c r="E730" s="244">
        <v>0.06</v>
      </c>
      <c r="F730" s="244"/>
      <c r="G730" s="171"/>
      <c r="H730" s="244">
        <v>0.01</v>
      </c>
      <c r="I730" s="244">
        <v>0.02</v>
      </c>
      <c r="J730" s="244"/>
      <c r="K730" s="245" t="s">
        <v>298</v>
      </c>
      <c r="L730" s="141">
        <v>10767.4</v>
      </c>
    </row>
    <row r="731" spans="2:12" ht="20.100000000000001" customHeight="1" x14ac:dyDescent="0.25">
      <c r="B731" s="71"/>
      <c r="C731" s="245"/>
      <c r="D731" s="244">
        <v>0.02</v>
      </c>
      <c r="E731" s="244">
        <v>0.04</v>
      </c>
      <c r="F731" s="244"/>
      <c r="G731" s="171"/>
      <c r="H731" s="244">
        <v>0.01</v>
      </c>
      <c r="I731" s="244">
        <v>0.02</v>
      </c>
      <c r="J731" s="244"/>
      <c r="K731" s="245"/>
      <c r="L731" s="141"/>
    </row>
    <row r="732" spans="2:12" ht="20.100000000000001" customHeight="1" x14ac:dyDescent="0.25">
      <c r="B732" s="71"/>
      <c r="C732" s="245"/>
      <c r="D732" s="250"/>
      <c r="E732" s="251"/>
      <c r="F732" s="244"/>
      <c r="G732" s="171"/>
      <c r="H732" s="244"/>
      <c r="I732" s="244"/>
      <c r="J732" s="244"/>
      <c r="K732" s="245"/>
      <c r="L732" s="141"/>
    </row>
    <row r="733" spans="2:12" ht="20.100000000000001" customHeight="1" x14ac:dyDescent="0.25">
      <c r="B733" s="71"/>
      <c r="C733" s="245"/>
      <c r="D733" s="244">
        <v>0.04</v>
      </c>
      <c r="E733" s="244">
        <v>0.36</v>
      </c>
      <c r="F733" s="244"/>
      <c r="G733" s="171"/>
      <c r="H733" s="72" t="s">
        <v>20</v>
      </c>
      <c r="I733" s="244">
        <v>0.02</v>
      </c>
      <c r="J733" s="244"/>
      <c r="K733" s="245" t="s">
        <v>298</v>
      </c>
      <c r="L733" s="141">
        <v>10767.4</v>
      </c>
    </row>
    <row r="734" spans="2:12" ht="20.100000000000001" customHeight="1" x14ac:dyDescent="0.25">
      <c r="B734" s="73"/>
      <c r="C734" s="243"/>
      <c r="D734" s="129">
        <v>0.03</v>
      </c>
      <c r="E734" s="244">
        <v>0.35</v>
      </c>
      <c r="F734" s="244"/>
      <c r="G734" s="171"/>
      <c r="H734" s="244">
        <v>0.05</v>
      </c>
      <c r="I734" s="244">
        <v>0.02</v>
      </c>
      <c r="J734" s="244"/>
      <c r="K734" s="245"/>
      <c r="L734" s="141"/>
    </row>
    <row r="735" spans="2:12" ht="20.100000000000001" customHeight="1" x14ac:dyDescent="0.25">
      <c r="B735" s="71"/>
      <c r="C735" s="245"/>
      <c r="D735" s="244">
        <v>0.3</v>
      </c>
      <c r="E735" s="244">
        <v>0.34</v>
      </c>
      <c r="F735" s="244"/>
      <c r="G735" s="171"/>
      <c r="H735" s="244">
        <v>0.02</v>
      </c>
      <c r="I735" s="244">
        <v>0.03</v>
      </c>
      <c r="J735" s="244"/>
      <c r="K735" s="245" t="s">
        <v>298</v>
      </c>
      <c r="L735" s="141">
        <v>10784.8</v>
      </c>
    </row>
    <row r="736" spans="2:12" ht="20.100000000000001" customHeight="1" x14ac:dyDescent="0.25">
      <c r="B736" s="71"/>
      <c r="C736" s="245"/>
      <c r="D736" s="244">
        <v>0.21</v>
      </c>
      <c r="E736" s="244">
        <v>0.32</v>
      </c>
      <c r="F736" s="244"/>
      <c r="G736" s="171"/>
      <c r="H736" s="72" t="s">
        <v>20</v>
      </c>
      <c r="I736" s="244">
        <v>0.01</v>
      </c>
      <c r="J736" s="244"/>
      <c r="K736" s="245"/>
      <c r="L736" s="141"/>
    </row>
    <row r="737" spans="2:12" ht="20.100000000000001" customHeight="1" x14ac:dyDescent="0.25">
      <c r="B737" s="71"/>
      <c r="C737" s="245"/>
      <c r="D737" s="244">
        <v>0.19</v>
      </c>
      <c r="E737" s="244">
        <v>0.34</v>
      </c>
      <c r="F737" s="244"/>
      <c r="G737" s="171"/>
      <c r="H737" s="244">
        <v>0.02</v>
      </c>
      <c r="I737" s="244">
        <v>0.02</v>
      </c>
      <c r="J737" s="244"/>
      <c r="K737" s="245" t="s">
        <v>298</v>
      </c>
      <c r="L737" s="141">
        <v>10790.4</v>
      </c>
    </row>
    <row r="738" spans="2:12" ht="20.100000000000001" customHeight="1" x14ac:dyDescent="0.25">
      <c r="B738" s="71"/>
      <c r="C738" s="245"/>
      <c r="D738" s="244">
        <v>0.22</v>
      </c>
      <c r="E738" s="244">
        <v>0.26</v>
      </c>
      <c r="F738" s="244"/>
      <c r="G738" s="171"/>
      <c r="H738" s="244">
        <v>0.01</v>
      </c>
      <c r="I738" s="244">
        <v>0.01</v>
      </c>
      <c r="J738" s="244"/>
      <c r="K738" s="245"/>
      <c r="L738" s="141"/>
    </row>
    <row r="739" spans="2:12" ht="20.100000000000001" customHeight="1" x14ac:dyDescent="0.25">
      <c r="B739" s="71"/>
      <c r="C739" s="252"/>
      <c r="D739" s="253"/>
      <c r="E739" s="253"/>
      <c r="F739" s="254"/>
      <c r="G739" s="171"/>
      <c r="H739" s="244"/>
      <c r="I739" s="244"/>
      <c r="J739" s="244"/>
      <c r="K739" s="245"/>
      <c r="L739" s="141"/>
    </row>
    <row r="740" spans="2:12" ht="20.100000000000001" customHeight="1" x14ac:dyDescent="0.25">
      <c r="B740" s="71"/>
      <c r="C740" s="245"/>
      <c r="D740" s="244">
        <v>0.2</v>
      </c>
      <c r="E740" s="244">
        <v>0.37</v>
      </c>
      <c r="F740" s="244"/>
      <c r="G740" s="171"/>
      <c r="H740" s="244">
        <v>0.03</v>
      </c>
      <c r="I740" s="244">
        <v>0.25</v>
      </c>
      <c r="J740" s="244"/>
      <c r="K740" s="245" t="s">
        <v>298</v>
      </c>
      <c r="L740" s="141">
        <v>10803.9</v>
      </c>
    </row>
    <row r="741" spans="2:12" ht="20.100000000000001" customHeight="1" x14ac:dyDescent="0.25">
      <c r="B741" s="71"/>
      <c r="C741" s="245"/>
      <c r="D741" s="244">
        <v>0.28999999999999998</v>
      </c>
      <c r="E741" s="244">
        <v>0.37</v>
      </c>
      <c r="F741" s="244"/>
      <c r="G741" s="171"/>
      <c r="H741" s="244">
        <v>0.05</v>
      </c>
      <c r="I741" s="244">
        <v>0.28999999999999998</v>
      </c>
      <c r="J741" s="244"/>
      <c r="K741" s="245" t="s">
        <v>298</v>
      </c>
      <c r="L741" s="141">
        <v>10816.6</v>
      </c>
    </row>
    <row r="742" spans="2:12" ht="20.100000000000001" customHeight="1" x14ac:dyDescent="0.25">
      <c r="B742" s="71"/>
      <c r="C742" s="245"/>
      <c r="D742" s="244">
        <v>0.28999999999999998</v>
      </c>
      <c r="E742" s="244">
        <v>0.36</v>
      </c>
      <c r="F742" s="244"/>
      <c r="G742" s="171"/>
      <c r="H742" s="244">
        <v>0.01</v>
      </c>
      <c r="I742" s="244">
        <v>0.28999999999999998</v>
      </c>
      <c r="J742" s="244"/>
      <c r="K742" s="245"/>
      <c r="L742" s="141"/>
    </row>
    <row r="743" spans="2:12" ht="20.100000000000001" customHeight="1" x14ac:dyDescent="0.25">
      <c r="B743" s="71"/>
      <c r="C743" s="245"/>
      <c r="D743" s="244">
        <v>0.33</v>
      </c>
      <c r="E743" s="244">
        <v>0.35</v>
      </c>
      <c r="F743" s="244"/>
      <c r="G743" s="171"/>
      <c r="H743" s="244">
        <v>0.01</v>
      </c>
      <c r="I743" s="244">
        <v>0.28000000000000003</v>
      </c>
      <c r="J743" s="244"/>
      <c r="K743" s="245" t="s">
        <v>298</v>
      </c>
      <c r="L743" s="141">
        <v>10829.4</v>
      </c>
    </row>
    <row r="744" spans="2:12" ht="20.100000000000001" customHeight="1" x14ac:dyDescent="0.25">
      <c r="B744" s="71"/>
      <c r="C744" s="245"/>
      <c r="D744" s="244">
        <v>0.03</v>
      </c>
      <c r="E744" s="244">
        <v>0.28999999999999998</v>
      </c>
      <c r="F744" s="244"/>
      <c r="G744" s="171"/>
      <c r="H744" s="244">
        <v>0.03</v>
      </c>
      <c r="I744" s="244">
        <v>0.28999999999999998</v>
      </c>
      <c r="J744" s="244"/>
      <c r="K744" s="245"/>
      <c r="L744" s="141">
        <v>10832.2</v>
      </c>
    </row>
    <row r="745" spans="2:12" ht="20.100000000000001" customHeight="1" x14ac:dyDescent="0.25">
      <c r="B745" s="71"/>
      <c r="C745" s="245"/>
      <c r="D745" s="244">
        <v>0.02</v>
      </c>
      <c r="E745" s="244">
        <v>0.31</v>
      </c>
      <c r="F745" s="244"/>
      <c r="G745" s="171"/>
      <c r="H745" s="244">
        <v>0.01</v>
      </c>
      <c r="I745" s="244">
        <v>0.02</v>
      </c>
      <c r="J745" s="244"/>
      <c r="K745" s="245" t="s">
        <v>298</v>
      </c>
      <c r="L745" s="141">
        <v>10839.7</v>
      </c>
    </row>
    <row r="746" spans="2:12" ht="20.100000000000001" customHeight="1" x14ac:dyDescent="0.25">
      <c r="B746" s="71"/>
      <c r="C746" s="245"/>
      <c r="D746" s="244">
        <v>0.03</v>
      </c>
      <c r="E746" s="244">
        <v>0.28000000000000003</v>
      </c>
      <c r="F746" s="244"/>
      <c r="G746" s="171"/>
      <c r="H746" s="244">
        <v>0.02</v>
      </c>
      <c r="I746" s="244">
        <v>0.02</v>
      </c>
      <c r="J746" s="244"/>
      <c r="K746" s="245"/>
      <c r="L746" s="141">
        <v>10845.5</v>
      </c>
    </row>
    <row r="747" spans="2:12" ht="20.100000000000001" customHeight="1" x14ac:dyDescent="0.25">
      <c r="B747" s="71"/>
      <c r="C747" s="245"/>
      <c r="D747" s="244">
        <v>0.02</v>
      </c>
      <c r="E747" s="244">
        <v>0.27</v>
      </c>
      <c r="F747" s="244"/>
      <c r="G747" s="171"/>
      <c r="H747" s="244">
        <v>0.01</v>
      </c>
      <c r="I747" s="244">
        <v>0.02</v>
      </c>
      <c r="J747" s="244"/>
      <c r="K747" s="245" t="s">
        <v>298</v>
      </c>
      <c r="L747" s="141">
        <v>10850.8</v>
      </c>
    </row>
    <row r="748" spans="2:12" ht="20.100000000000001" customHeight="1" x14ac:dyDescent="0.25">
      <c r="B748" s="71"/>
      <c r="C748" s="245"/>
      <c r="D748" s="244">
        <v>0.02</v>
      </c>
      <c r="E748" s="244">
        <v>0.32</v>
      </c>
      <c r="F748" s="244"/>
      <c r="G748" s="171"/>
      <c r="H748" s="244">
        <v>0.01</v>
      </c>
      <c r="I748" s="244">
        <v>0.02</v>
      </c>
      <c r="J748" s="244"/>
      <c r="K748" s="245"/>
      <c r="L748" s="141"/>
    </row>
    <row r="749" spans="2:12" ht="20.100000000000001" customHeight="1" x14ac:dyDescent="0.25">
      <c r="B749" s="71"/>
      <c r="C749" s="245"/>
      <c r="D749" s="250"/>
      <c r="E749" s="255"/>
      <c r="F749" s="251"/>
      <c r="G749" s="171"/>
      <c r="H749" s="244"/>
      <c r="I749" s="244"/>
      <c r="J749" s="244"/>
      <c r="K749" s="245"/>
      <c r="L749" s="141"/>
    </row>
    <row r="750" spans="2:12" ht="20.100000000000001" customHeight="1" x14ac:dyDescent="0.25">
      <c r="B750" s="71"/>
      <c r="C750" s="245"/>
      <c r="D750" s="244">
        <v>0.01</v>
      </c>
      <c r="E750" s="244">
        <v>0.28000000000000003</v>
      </c>
      <c r="F750" s="244"/>
      <c r="G750" s="171"/>
      <c r="H750" s="244">
        <v>0.03</v>
      </c>
      <c r="I750" s="244">
        <v>0.04</v>
      </c>
      <c r="J750" s="244"/>
      <c r="K750" s="245" t="s">
        <v>298</v>
      </c>
      <c r="L750" s="141">
        <v>10865</v>
      </c>
    </row>
    <row r="751" spans="2:12" ht="20.100000000000001" customHeight="1" x14ac:dyDescent="0.25">
      <c r="B751" s="71"/>
      <c r="C751" s="245"/>
      <c r="D751" s="244">
        <v>0.05</v>
      </c>
      <c r="E751" s="244">
        <v>0.26</v>
      </c>
      <c r="F751" s="244"/>
      <c r="G751" s="171"/>
      <c r="H751" s="244">
        <v>0.02</v>
      </c>
      <c r="I751" s="244">
        <v>0.04</v>
      </c>
      <c r="J751" s="244"/>
      <c r="K751" s="245"/>
      <c r="L751" s="141"/>
    </row>
    <row r="752" spans="2:12" ht="20.100000000000001" customHeight="1" x14ac:dyDescent="0.25">
      <c r="B752" s="71"/>
      <c r="C752" s="245"/>
      <c r="D752" s="244">
        <v>0.23</v>
      </c>
      <c r="E752" s="244">
        <v>0.24</v>
      </c>
      <c r="F752" s="244"/>
      <c r="G752" s="171"/>
      <c r="H752" s="244">
        <v>0</v>
      </c>
      <c r="I752" s="244">
        <v>0.04</v>
      </c>
      <c r="J752" s="244"/>
      <c r="K752" s="245" t="s">
        <v>298</v>
      </c>
      <c r="L752" s="141">
        <v>10869.8</v>
      </c>
    </row>
    <row r="753" spans="2:12" ht="20.100000000000001" customHeight="1" x14ac:dyDescent="0.25">
      <c r="B753" s="71"/>
      <c r="C753" s="245"/>
      <c r="D753" s="244">
        <v>0.21</v>
      </c>
      <c r="E753" s="244">
        <v>0.23</v>
      </c>
      <c r="F753" s="244"/>
      <c r="G753" s="171"/>
      <c r="H753" s="244">
        <v>0.02</v>
      </c>
      <c r="I753" s="244">
        <v>0.02</v>
      </c>
      <c r="J753" s="244"/>
      <c r="K753" s="245"/>
      <c r="L753" s="141"/>
    </row>
    <row r="754" spans="2:12" ht="20.100000000000001" customHeight="1" x14ac:dyDescent="0.25">
      <c r="B754" s="71"/>
      <c r="C754" s="245"/>
      <c r="D754" s="244">
        <v>0.2</v>
      </c>
      <c r="E754" s="244">
        <v>0.23</v>
      </c>
      <c r="F754" s="244"/>
      <c r="G754" s="171"/>
      <c r="H754" s="244">
        <v>0.03</v>
      </c>
      <c r="I754" s="244">
        <v>0.02</v>
      </c>
      <c r="J754" s="244"/>
      <c r="K754" s="245" t="s">
        <v>298</v>
      </c>
      <c r="L754" s="141">
        <v>10875.6</v>
      </c>
    </row>
    <row r="755" spans="2:12" ht="20.100000000000001" customHeight="1" x14ac:dyDescent="0.25">
      <c r="B755" s="256"/>
      <c r="C755" s="257"/>
      <c r="D755" s="244"/>
      <c r="E755" s="244"/>
      <c r="F755" s="244"/>
      <c r="G755" s="171"/>
      <c r="H755" s="244"/>
      <c r="I755" s="244"/>
      <c r="J755" s="244"/>
      <c r="K755" s="245"/>
      <c r="L755" s="141"/>
    </row>
    <row r="756" spans="2:12" ht="20.100000000000001" customHeight="1" x14ac:dyDescent="0.25">
      <c r="B756" s="71"/>
      <c r="C756" s="245"/>
      <c r="D756" s="244">
        <v>0.01</v>
      </c>
      <c r="E756" s="244">
        <v>0.03</v>
      </c>
      <c r="F756" s="244"/>
      <c r="G756" s="171"/>
      <c r="H756" s="244">
        <v>0.01</v>
      </c>
      <c r="I756" s="244">
        <v>0.01</v>
      </c>
      <c r="J756" s="244"/>
      <c r="K756" s="245"/>
      <c r="L756" s="141"/>
    </row>
    <row r="757" spans="2:12" ht="20.100000000000001" customHeight="1" x14ac:dyDescent="0.25">
      <c r="B757" s="71"/>
      <c r="C757" s="245"/>
      <c r="D757" s="244">
        <v>0.36</v>
      </c>
      <c r="E757" s="244">
        <v>0.4</v>
      </c>
      <c r="F757" s="244"/>
      <c r="G757" s="171"/>
      <c r="H757" s="244"/>
      <c r="I757" s="244"/>
      <c r="J757" s="244"/>
      <c r="K757" s="245"/>
      <c r="L757" s="141"/>
    </row>
    <row r="758" spans="2:12" ht="20.100000000000001" customHeight="1" x14ac:dyDescent="0.25">
      <c r="B758" s="71"/>
      <c r="C758" s="245"/>
      <c r="D758" s="244">
        <v>0.32</v>
      </c>
      <c r="E758" s="244">
        <v>0.32</v>
      </c>
      <c r="F758" s="244"/>
      <c r="G758" s="171"/>
      <c r="H758" s="244">
        <v>0.22</v>
      </c>
      <c r="I758" s="244">
        <v>0.26</v>
      </c>
      <c r="J758" s="244">
        <v>1.18</v>
      </c>
      <c r="K758" s="245" t="s">
        <v>298</v>
      </c>
      <c r="L758" s="141">
        <v>10884.3</v>
      </c>
    </row>
    <row r="759" spans="2:12" ht="20.100000000000001" customHeight="1" x14ac:dyDescent="0.25">
      <c r="B759" s="71"/>
      <c r="C759" s="245"/>
      <c r="D759" s="244">
        <v>0.28000000000000003</v>
      </c>
      <c r="E759" s="244">
        <v>0.33</v>
      </c>
      <c r="F759" s="244"/>
      <c r="G759" s="171"/>
      <c r="H759" s="244">
        <v>0.04</v>
      </c>
      <c r="I759" s="244">
        <v>0.14000000000000001</v>
      </c>
      <c r="J759" s="244">
        <v>0.38</v>
      </c>
      <c r="K759" s="245"/>
      <c r="L759" s="141"/>
    </row>
    <row r="760" spans="2:12" ht="20.100000000000001" customHeight="1" x14ac:dyDescent="0.25">
      <c r="B760" s="71"/>
      <c r="C760" s="245"/>
      <c r="D760" s="244">
        <v>0.06</v>
      </c>
      <c r="E760" s="244">
        <v>0.32</v>
      </c>
      <c r="F760" s="244">
        <v>0.57999999999999996</v>
      </c>
      <c r="G760" s="171"/>
      <c r="H760" s="244">
        <v>0.03</v>
      </c>
      <c r="I760" s="244">
        <v>0.13</v>
      </c>
      <c r="J760" s="244">
        <v>0.28000000000000003</v>
      </c>
      <c r="K760" s="245" t="s">
        <v>298</v>
      </c>
      <c r="L760" s="141">
        <v>10893.9</v>
      </c>
    </row>
    <row r="761" spans="2:12" ht="20.100000000000001" customHeight="1" x14ac:dyDescent="0.25">
      <c r="B761" s="71"/>
      <c r="C761" s="245"/>
      <c r="D761" s="244">
        <v>0.05</v>
      </c>
      <c r="E761" s="244">
        <v>0.28000000000000003</v>
      </c>
      <c r="F761" s="244">
        <v>0.27</v>
      </c>
      <c r="G761" s="171"/>
      <c r="H761" s="244">
        <v>0.04</v>
      </c>
      <c r="I761" s="244">
        <v>0.02</v>
      </c>
      <c r="J761" s="244">
        <v>0.06</v>
      </c>
      <c r="K761" s="245"/>
      <c r="L761" s="141"/>
    </row>
    <row r="762" spans="2:12" ht="20.100000000000001" customHeight="1" x14ac:dyDescent="0.25">
      <c r="B762" s="71"/>
      <c r="C762" s="245"/>
      <c r="D762" s="244">
        <v>0.04</v>
      </c>
      <c r="E762" s="244">
        <v>0.3</v>
      </c>
      <c r="F762" s="244">
        <v>0.53</v>
      </c>
      <c r="G762" s="171"/>
      <c r="H762" s="244">
        <v>0</v>
      </c>
      <c r="I762" s="244">
        <v>0.03</v>
      </c>
      <c r="J762" s="244">
        <v>0.18</v>
      </c>
      <c r="K762" s="245" t="s">
        <v>298</v>
      </c>
      <c r="L762" s="141">
        <v>10906.8</v>
      </c>
    </row>
    <row r="763" spans="2:12" ht="20.100000000000001" customHeight="1" x14ac:dyDescent="0.25">
      <c r="B763" s="71"/>
      <c r="C763" s="245"/>
      <c r="D763" s="244">
        <v>0</v>
      </c>
      <c r="E763" s="244">
        <v>0.26</v>
      </c>
      <c r="F763" s="244">
        <v>0.23</v>
      </c>
      <c r="G763" s="171"/>
      <c r="H763" s="244">
        <v>0</v>
      </c>
      <c r="I763" s="244">
        <v>0.04</v>
      </c>
      <c r="J763" s="244">
        <v>0.02</v>
      </c>
      <c r="K763" s="245"/>
      <c r="L763" s="141"/>
    </row>
    <row r="764" spans="2:12" ht="20.100000000000001" customHeight="1" x14ac:dyDescent="0.25">
      <c r="B764" s="71"/>
      <c r="C764" s="245"/>
      <c r="D764" s="244">
        <v>0.04</v>
      </c>
      <c r="E764" s="244">
        <v>0.32</v>
      </c>
      <c r="F764" s="244">
        <v>0.5</v>
      </c>
      <c r="G764" s="171"/>
      <c r="H764" s="244">
        <v>0</v>
      </c>
      <c r="I764" s="244">
        <v>0.03</v>
      </c>
      <c r="J764" s="244">
        <v>0.28999999999999998</v>
      </c>
      <c r="K764" s="245" t="s">
        <v>298</v>
      </c>
      <c r="L764" s="141">
        <v>10922.3</v>
      </c>
    </row>
    <row r="765" spans="2:12" ht="20.100000000000001" customHeight="1" x14ac:dyDescent="0.25">
      <c r="B765" s="71"/>
      <c r="C765" s="245"/>
      <c r="D765" s="244">
        <v>0.03</v>
      </c>
      <c r="E765" s="244">
        <v>0.22</v>
      </c>
      <c r="F765" s="244">
        <v>0.21</v>
      </c>
      <c r="G765" s="171"/>
      <c r="H765" s="244">
        <v>0.04</v>
      </c>
      <c r="I765" s="244">
        <v>0.03</v>
      </c>
      <c r="J765" s="244">
        <v>0.03</v>
      </c>
      <c r="K765" s="245"/>
      <c r="L765" s="141"/>
    </row>
    <row r="766" spans="2:12" ht="20.100000000000001" customHeight="1" x14ac:dyDescent="0.25">
      <c r="B766" s="71"/>
      <c r="C766" s="245"/>
      <c r="D766" s="244">
        <v>0.03</v>
      </c>
      <c r="E766" s="244">
        <v>0.24</v>
      </c>
      <c r="F766" s="244">
        <v>0.19</v>
      </c>
      <c r="G766" s="171"/>
      <c r="H766" s="244">
        <v>0.03</v>
      </c>
      <c r="I766" s="244">
        <v>0.03</v>
      </c>
      <c r="J766" s="244">
        <v>0</v>
      </c>
      <c r="K766" s="245" t="s">
        <v>298</v>
      </c>
      <c r="L766" s="141">
        <v>10934.2</v>
      </c>
    </row>
    <row r="767" spans="2:12" ht="20.100000000000001" customHeight="1" x14ac:dyDescent="0.25">
      <c r="B767" s="71"/>
      <c r="C767" s="245"/>
      <c r="D767" s="244">
        <v>0</v>
      </c>
      <c r="E767" s="244">
        <v>0.15</v>
      </c>
      <c r="F767" s="244">
        <v>0.14000000000000001</v>
      </c>
      <c r="G767" s="171"/>
      <c r="H767" s="244">
        <v>0</v>
      </c>
      <c r="I767" s="244">
        <v>0.11</v>
      </c>
      <c r="J767" s="244">
        <v>0.03</v>
      </c>
      <c r="K767" s="245"/>
      <c r="L767" s="141"/>
    </row>
    <row r="768" spans="2:12" ht="20.100000000000001" customHeight="1" x14ac:dyDescent="0.25">
      <c r="B768" s="71"/>
      <c r="C768" s="245"/>
      <c r="D768" s="244">
        <v>0.02</v>
      </c>
      <c r="E768" s="244">
        <v>0.12</v>
      </c>
      <c r="F768" s="244">
        <v>0.12</v>
      </c>
      <c r="G768" s="171"/>
      <c r="H768" s="244">
        <v>0</v>
      </c>
      <c r="I768" s="244">
        <v>0.01</v>
      </c>
      <c r="J768" s="244">
        <v>0</v>
      </c>
      <c r="K768" s="245" t="s">
        <v>298</v>
      </c>
      <c r="L768" s="141">
        <v>10944.8</v>
      </c>
    </row>
    <row r="769" spans="2:12" ht="20.100000000000001" customHeight="1" x14ac:dyDescent="0.25">
      <c r="B769" s="71"/>
      <c r="C769" s="245"/>
      <c r="D769" s="244">
        <v>0.04</v>
      </c>
      <c r="E769" s="244">
        <v>0.3</v>
      </c>
      <c r="F769" s="244">
        <v>0.26</v>
      </c>
      <c r="G769" s="171"/>
      <c r="H769" s="244">
        <v>0</v>
      </c>
      <c r="I769" s="244">
        <v>0.01</v>
      </c>
      <c r="J769" s="244">
        <v>0.04</v>
      </c>
      <c r="K769" s="245"/>
      <c r="L769" s="141"/>
    </row>
    <row r="770" spans="2:12" ht="20.100000000000001" customHeight="1" x14ac:dyDescent="0.25">
      <c r="B770" s="71"/>
      <c r="C770" s="245"/>
      <c r="D770" s="250"/>
      <c r="E770" s="255"/>
      <c r="F770" s="251"/>
      <c r="G770" s="171"/>
      <c r="H770" s="244"/>
      <c r="I770" s="244"/>
      <c r="J770" s="244"/>
      <c r="K770" s="245"/>
      <c r="L770" s="141"/>
    </row>
    <row r="771" spans="2:12" ht="20.100000000000001" customHeight="1" x14ac:dyDescent="0.25">
      <c r="B771" s="71"/>
      <c r="C771" s="245"/>
      <c r="D771" s="244">
        <v>0.04</v>
      </c>
      <c r="E771" s="244">
        <v>0.3</v>
      </c>
      <c r="F771" s="244"/>
      <c r="G771" s="171"/>
      <c r="H771" s="244"/>
      <c r="I771" s="244"/>
      <c r="J771" s="244"/>
      <c r="K771" s="245"/>
      <c r="L771" s="141"/>
    </row>
    <row r="772" spans="2:12" ht="20.100000000000001" customHeight="1" x14ac:dyDescent="0.25">
      <c r="B772" s="71"/>
      <c r="C772" s="245"/>
      <c r="D772" s="244">
        <v>0.2</v>
      </c>
      <c r="E772" s="244">
        <v>0.25</v>
      </c>
      <c r="F772" s="244">
        <v>0.24</v>
      </c>
      <c r="G772" s="171"/>
      <c r="H772" s="244">
        <v>0.01</v>
      </c>
      <c r="I772" s="244">
        <v>0.01</v>
      </c>
      <c r="J772" s="244">
        <v>0.03</v>
      </c>
      <c r="K772" s="245" t="s">
        <v>298</v>
      </c>
      <c r="L772" s="141">
        <v>10954.5</v>
      </c>
    </row>
    <row r="773" spans="2:12" ht="20.100000000000001" customHeight="1" x14ac:dyDescent="0.25">
      <c r="B773" s="71"/>
      <c r="C773" s="245"/>
      <c r="D773" s="244">
        <v>0.09</v>
      </c>
      <c r="E773" s="244">
        <v>0.22</v>
      </c>
      <c r="F773" s="244">
        <v>0.21</v>
      </c>
      <c r="G773" s="171"/>
      <c r="H773" s="244">
        <v>0.08</v>
      </c>
      <c r="I773" s="244">
        <v>0.01</v>
      </c>
      <c r="J773" s="244">
        <v>0.02</v>
      </c>
      <c r="K773" s="245"/>
      <c r="L773" s="141"/>
    </row>
    <row r="774" spans="2:12" ht="20.100000000000001" customHeight="1" x14ac:dyDescent="0.25">
      <c r="B774" s="71"/>
      <c r="C774" s="245"/>
      <c r="D774" s="244">
        <v>0.03</v>
      </c>
      <c r="E774" s="244">
        <v>0.19</v>
      </c>
      <c r="F774" s="244">
        <v>0.17</v>
      </c>
      <c r="G774" s="171"/>
      <c r="H774" s="244">
        <v>0</v>
      </c>
      <c r="I774" s="244">
        <v>0.08</v>
      </c>
      <c r="J774" s="244">
        <v>0</v>
      </c>
      <c r="K774" s="245" t="s">
        <v>298</v>
      </c>
      <c r="L774" s="141">
        <v>10962.2</v>
      </c>
    </row>
    <row r="775" spans="2:12" ht="20.100000000000001" customHeight="1" x14ac:dyDescent="0.25">
      <c r="B775" s="71"/>
      <c r="C775" s="245"/>
      <c r="D775" s="244">
        <v>0.03</v>
      </c>
      <c r="E775" s="244">
        <v>0.16</v>
      </c>
      <c r="F775" s="244">
        <v>0.13</v>
      </c>
      <c r="G775" s="171"/>
      <c r="H775" s="244">
        <v>0.08</v>
      </c>
      <c r="I775" s="244">
        <v>0.04</v>
      </c>
      <c r="J775" s="244">
        <v>0.02</v>
      </c>
      <c r="K775" s="245"/>
      <c r="L775" s="141"/>
    </row>
    <row r="776" spans="2:12" ht="20.100000000000001" customHeight="1" x14ac:dyDescent="0.25">
      <c r="B776" s="71"/>
      <c r="C776" s="245"/>
      <c r="D776" s="244">
        <v>0.03</v>
      </c>
      <c r="E776" s="244">
        <v>0.13</v>
      </c>
      <c r="F776" s="244">
        <v>0.31</v>
      </c>
      <c r="G776" s="171"/>
      <c r="H776" s="244">
        <v>0.06</v>
      </c>
      <c r="I776" s="244">
        <v>0.02</v>
      </c>
      <c r="J776" s="244">
        <v>0.04</v>
      </c>
      <c r="K776" s="245" t="s">
        <v>298</v>
      </c>
      <c r="L776" s="141">
        <v>10969.8</v>
      </c>
    </row>
    <row r="777" spans="2:12" ht="20.100000000000001" customHeight="1" x14ac:dyDescent="0.25">
      <c r="B777" s="71"/>
      <c r="C777" s="245"/>
      <c r="D777" s="244">
        <v>0.04</v>
      </c>
      <c r="E777" s="244">
        <v>0.05</v>
      </c>
      <c r="F777" s="244">
        <v>0.02</v>
      </c>
      <c r="G777" s="171"/>
      <c r="H777" s="244">
        <v>0.04</v>
      </c>
      <c r="I777" s="244">
        <v>0.04</v>
      </c>
      <c r="J777" s="244">
        <v>0.02</v>
      </c>
      <c r="K777" s="245"/>
      <c r="L777" s="141"/>
    </row>
    <row r="778" spans="2:12" ht="20.100000000000001" customHeight="1" x14ac:dyDescent="0.25">
      <c r="B778" s="71"/>
      <c r="C778" s="245"/>
      <c r="D778" s="244">
        <v>0.03</v>
      </c>
      <c r="E778" s="244">
        <v>0.05</v>
      </c>
      <c r="F778" s="244">
        <v>0.11</v>
      </c>
      <c r="G778" s="171"/>
      <c r="H778" s="244">
        <v>0.01</v>
      </c>
      <c r="I778" s="244">
        <v>0</v>
      </c>
      <c r="J778" s="244">
        <v>0.05</v>
      </c>
      <c r="K778" s="245" t="s">
        <v>298</v>
      </c>
      <c r="L778" s="141">
        <v>10987.9</v>
      </c>
    </row>
    <row r="779" spans="2:12" ht="20.100000000000001" customHeight="1" x14ac:dyDescent="0.25">
      <c r="B779" s="71"/>
      <c r="C779" s="245"/>
      <c r="D779" s="244">
        <v>0.02</v>
      </c>
      <c r="E779" s="244">
        <v>0.02</v>
      </c>
      <c r="F779" s="244">
        <v>0.06</v>
      </c>
      <c r="G779" s="171"/>
      <c r="H779" s="244">
        <v>0.02</v>
      </c>
      <c r="I779" s="244">
        <v>0.03</v>
      </c>
      <c r="J779" s="244">
        <v>0.03</v>
      </c>
      <c r="K779" s="245"/>
      <c r="L779" s="141"/>
    </row>
    <row r="780" spans="2:12" ht="20.100000000000001" customHeight="1" x14ac:dyDescent="0.25">
      <c r="B780" s="71"/>
      <c r="C780" s="245"/>
      <c r="D780" s="250"/>
      <c r="E780" s="255"/>
      <c r="F780" s="251"/>
      <c r="G780" s="171"/>
      <c r="H780" s="244"/>
      <c r="I780" s="244"/>
      <c r="J780" s="244"/>
      <c r="K780" s="245"/>
      <c r="L780" s="141"/>
    </row>
    <row r="781" spans="2:12" ht="20.100000000000001" customHeight="1" x14ac:dyDescent="0.25">
      <c r="B781" s="71"/>
      <c r="C781" s="245"/>
      <c r="D781" s="244">
        <v>0.03</v>
      </c>
      <c r="E781" s="244">
        <v>0.4</v>
      </c>
      <c r="F781" s="244">
        <v>0.3</v>
      </c>
      <c r="G781" s="171"/>
      <c r="H781" s="244">
        <v>0.01</v>
      </c>
      <c r="I781" s="244">
        <v>0.02</v>
      </c>
      <c r="J781" s="244">
        <v>0.08</v>
      </c>
      <c r="K781" s="245" t="s">
        <v>298</v>
      </c>
      <c r="L781" s="141">
        <v>10999.5</v>
      </c>
    </row>
    <row r="782" spans="2:12" ht="20.100000000000001" customHeight="1" x14ac:dyDescent="0.25">
      <c r="B782" s="71"/>
      <c r="C782" s="245"/>
      <c r="D782" s="244">
        <v>0.06</v>
      </c>
      <c r="E782" s="244">
        <v>0.31</v>
      </c>
      <c r="F782" s="244">
        <v>0.24</v>
      </c>
      <c r="G782" s="171"/>
      <c r="H782" s="244">
        <v>0.01</v>
      </c>
      <c r="I782" s="244">
        <v>0.06</v>
      </c>
      <c r="J782" s="244">
        <v>0.03</v>
      </c>
      <c r="K782" s="245"/>
      <c r="L782" s="141"/>
    </row>
    <row r="783" spans="2:12" ht="20.100000000000001" customHeight="1" x14ac:dyDescent="0.25">
      <c r="B783" s="71"/>
      <c r="C783" s="245"/>
      <c r="D783" s="244">
        <v>0.05</v>
      </c>
      <c r="E783" s="244">
        <v>0.26</v>
      </c>
      <c r="F783" s="244">
        <v>0.21</v>
      </c>
      <c r="G783" s="171"/>
      <c r="H783" s="244">
        <v>0.03</v>
      </c>
      <c r="I783" s="244">
        <v>0.02</v>
      </c>
      <c r="J783" s="244">
        <v>0.12</v>
      </c>
      <c r="K783" s="245" t="s">
        <v>298</v>
      </c>
      <c r="L783" s="141">
        <v>11010.2</v>
      </c>
    </row>
    <row r="784" spans="2:12" ht="20.100000000000001" customHeight="1" x14ac:dyDescent="0.25">
      <c r="B784" s="71"/>
      <c r="C784" s="245"/>
      <c r="D784" s="244">
        <v>0.03</v>
      </c>
      <c r="E784" s="244">
        <v>0.21</v>
      </c>
      <c r="F784" s="244">
        <v>0.18</v>
      </c>
      <c r="G784" s="171"/>
      <c r="H784" s="244">
        <v>0.02</v>
      </c>
      <c r="I784" s="244">
        <v>0.03</v>
      </c>
      <c r="J784" s="244">
        <v>0.06</v>
      </c>
      <c r="K784" s="245"/>
      <c r="L784" s="141"/>
    </row>
    <row r="785" spans="2:12" ht="20.100000000000001" customHeight="1" x14ac:dyDescent="0.25">
      <c r="B785" s="71"/>
      <c r="C785" s="245"/>
      <c r="D785" s="244">
        <v>0.04</v>
      </c>
      <c r="E785" s="244">
        <v>0.2</v>
      </c>
      <c r="F785" s="244">
        <v>0.17</v>
      </c>
      <c r="G785" s="171"/>
      <c r="H785" s="244">
        <v>0.01</v>
      </c>
      <c r="I785" s="244">
        <v>0.01</v>
      </c>
      <c r="J785" s="244">
        <v>0</v>
      </c>
      <c r="K785" s="245" t="s">
        <v>298</v>
      </c>
      <c r="L785" s="141">
        <v>11018.5</v>
      </c>
    </row>
    <row r="786" spans="2:12" ht="20.100000000000001" customHeight="1" x14ac:dyDescent="0.25">
      <c r="B786" s="71"/>
      <c r="C786" s="245"/>
      <c r="D786" s="244">
        <v>0.05</v>
      </c>
      <c r="E786" s="244">
        <v>0.16</v>
      </c>
      <c r="F786" s="244">
        <v>0.15</v>
      </c>
      <c r="G786" s="171"/>
      <c r="H786" s="244">
        <v>0.02</v>
      </c>
      <c r="I786" s="244">
        <v>0.02</v>
      </c>
      <c r="J786" s="244">
        <v>0.04</v>
      </c>
      <c r="K786" s="245"/>
      <c r="L786" s="141"/>
    </row>
    <row r="787" spans="2:12" ht="20.100000000000001" customHeight="1" x14ac:dyDescent="0.25">
      <c r="B787" s="71"/>
      <c r="C787" s="245"/>
      <c r="D787" s="244">
        <v>0.03</v>
      </c>
      <c r="E787" s="244">
        <v>0.14000000000000001</v>
      </c>
      <c r="F787" s="244">
        <v>0.15</v>
      </c>
      <c r="G787" s="171"/>
      <c r="H787" s="244">
        <v>0</v>
      </c>
      <c r="I787" s="244">
        <v>0.01</v>
      </c>
      <c r="J787" s="244">
        <v>0.04</v>
      </c>
      <c r="K787" s="245" t="s">
        <v>298</v>
      </c>
      <c r="L787" s="141">
        <v>11030.2</v>
      </c>
    </row>
    <row r="788" spans="2:12" ht="20.100000000000001" customHeight="1" x14ac:dyDescent="0.25">
      <c r="B788" s="71"/>
      <c r="C788" s="245"/>
      <c r="D788" s="244">
        <v>0.04</v>
      </c>
      <c r="E788" s="244">
        <v>0.03</v>
      </c>
      <c r="F788" s="244">
        <v>0.05</v>
      </c>
      <c r="G788" s="171"/>
      <c r="H788" s="244">
        <v>0</v>
      </c>
      <c r="I788" s="244">
        <v>0.05</v>
      </c>
      <c r="J788" s="244">
        <v>0.04</v>
      </c>
      <c r="K788" s="245"/>
      <c r="L788" s="141"/>
    </row>
    <row r="789" spans="2:12" ht="20.100000000000001" customHeight="1" x14ac:dyDescent="0.25">
      <c r="B789" s="71"/>
      <c r="C789" s="245"/>
      <c r="D789" s="244">
        <v>0.03</v>
      </c>
      <c r="E789" s="244">
        <v>0.05</v>
      </c>
      <c r="F789" s="244">
        <v>0.23</v>
      </c>
      <c r="G789" s="171"/>
      <c r="H789" s="244">
        <v>0</v>
      </c>
      <c r="I789" s="244">
        <v>0</v>
      </c>
      <c r="J789" s="244">
        <v>0.09</v>
      </c>
      <c r="K789" s="245" t="s">
        <v>298</v>
      </c>
      <c r="L789" s="141">
        <v>11040.1</v>
      </c>
    </row>
    <row r="790" spans="2:12" ht="20.100000000000001" customHeight="1" x14ac:dyDescent="0.25">
      <c r="B790" s="71"/>
      <c r="C790" s="245"/>
      <c r="D790" s="244">
        <v>0.03</v>
      </c>
      <c r="E790" s="244">
        <v>0.04</v>
      </c>
      <c r="F790" s="244">
        <v>0.04</v>
      </c>
      <c r="G790" s="171"/>
      <c r="H790" s="244">
        <v>0</v>
      </c>
      <c r="I790" s="244">
        <v>0.03</v>
      </c>
      <c r="J790" s="244">
        <v>0.04</v>
      </c>
      <c r="K790" s="245"/>
      <c r="L790" s="141"/>
    </row>
    <row r="791" spans="2:12" ht="20.100000000000001" customHeight="1" x14ac:dyDescent="0.25">
      <c r="B791" s="71"/>
      <c r="C791" s="245"/>
      <c r="D791" s="244">
        <v>0.04</v>
      </c>
      <c r="E791" s="244">
        <v>0.06</v>
      </c>
      <c r="F791" s="244">
        <v>0.09</v>
      </c>
      <c r="G791" s="171"/>
      <c r="H791" s="244">
        <v>0</v>
      </c>
      <c r="I791" s="244">
        <v>0</v>
      </c>
      <c r="J791" s="244">
        <v>0.11</v>
      </c>
      <c r="K791" s="245" t="s">
        <v>298</v>
      </c>
      <c r="L791" s="141">
        <v>11055.8</v>
      </c>
    </row>
    <row r="792" spans="2:12" ht="20.100000000000001" customHeight="1" x14ac:dyDescent="0.25">
      <c r="B792" s="71"/>
      <c r="C792" s="245"/>
      <c r="D792" s="244">
        <v>0.03</v>
      </c>
      <c r="E792" s="244">
        <v>0.04</v>
      </c>
      <c r="F792" s="244">
        <v>0.06</v>
      </c>
      <c r="G792" s="171"/>
      <c r="H792" s="244">
        <v>0.02</v>
      </c>
      <c r="I792" s="244">
        <v>0.03</v>
      </c>
      <c r="J792" s="244">
        <v>0.04</v>
      </c>
      <c r="K792" s="245"/>
      <c r="L792" s="141"/>
    </row>
    <row r="793" spans="2:12" ht="20.100000000000001" customHeight="1" x14ac:dyDescent="0.25">
      <c r="B793" s="71"/>
      <c r="C793" s="245"/>
      <c r="D793" s="244">
        <v>0.02</v>
      </c>
      <c r="E793" s="244">
        <v>0.04</v>
      </c>
      <c r="F793" s="244">
        <v>0.16</v>
      </c>
      <c r="G793" s="171"/>
      <c r="H793" s="244">
        <v>0</v>
      </c>
      <c r="I793" s="244">
        <v>0.01</v>
      </c>
      <c r="J793" s="244">
        <v>0.14000000000000001</v>
      </c>
      <c r="K793" s="245" t="s">
        <v>298</v>
      </c>
      <c r="L793" s="141">
        <v>11067</v>
      </c>
    </row>
    <row r="794" spans="2:12" ht="20.100000000000001" customHeight="1" x14ac:dyDescent="0.25">
      <c r="B794" s="71"/>
      <c r="C794" s="245"/>
      <c r="D794" s="244">
        <v>0.01</v>
      </c>
      <c r="E794" s="244">
        <v>0.03</v>
      </c>
      <c r="F794" s="244">
        <v>0.03</v>
      </c>
      <c r="G794" s="171"/>
      <c r="H794" s="244">
        <v>0</v>
      </c>
      <c r="I794" s="244">
        <v>0.03</v>
      </c>
      <c r="J794" s="244">
        <v>0.02</v>
      </c>
      <c r="K794" s="245"/>
      <c r="L794" s="141"/>
    </row>
    <row r="795" spans="2:12" ht="20.100000000000001" customHeight="1" x14ac:dyDescent="0.25">
      <c r="B795" s="71"/>
      <c r="C795" s="245"/>
      <c r="D795" s="244">
        <v>0.05</v>
      </c>
      <c r="E795" s="244">
        <v>0.04</v>
      </c>
      <c r="F795" s="244">
        <v>0.24</v>
      </c>
      <c r="G795" s="171"/>
      <c r="H795" s="244">
        <v>0.02</v>
      </c>
      <c r="I795" s="244">
        <v>0.02</v>
      </c>
      <c r="J795" s="244">
        <v>0.21</v>
      </c>
      <c r="K795" s="245" t="s">
        <v>298</v>
      </c>
      <c r="L795" s="141">
        <v>11073.2</v>
      </c>
    </row>
    <row r="796" spans="2:12" ht="20.100000000000001" customHeight="1" x14ac:dyDescent="0.25">
      <c r="B796" s="71"/>
      <c r="C796" s="245"/>
      <c r="D796" s="244">
        <v>0.05</v>
      </c>
      <c r="E796" s="244">
        <v>0.14000000000000001</v>
      </c>
      <c r="F796" s="244">
        <v>0.1</v>
      </c>
      <c r="G796" s="171"/>
      <c r="H796" s="244">
        <v>0.01</v>
      </c>
      <c r="I796" s="244">
        <v>0</v>
      </c>
      <c r="J796" s="244">
        <v>0.02</v>
      </c>
      <c r="K796" s="245"/>
      <c r="L796" s="141"/>
    </row>
    <row r="797" spans="2:12" ht="20.100000000000001" customHeight="1" x14ac:dyDescent="0.25">
      <c r="B797" s="71"/>
      <c r="C797" s="245"/>
      <c r="D797" s="250"/>
      <c r="E797" s="255"/>
      <c r="F797" s="251"/>
      <c r="G797" s="171"/>
      <c r="H797" s="244"/>
      <c r="I797" s="244"/>
      <c r="J797" s="244"/>
      <c r="K797" s="245"/>
      <c r="L797" s="141"/>
    </row>
    <row r="798" spans="2:12" ht="20.100000000000001" customHeight="1" x14ac:dyDescent="0.25">
      <c r="B798" s="71"/>
      <c r="C798" s="245"/>
      <c r="D798" s="244">
        <v>0.06</v>
      </c>
      <c r="E798" s="244">
        <v>0.03</v>
      </c>
      <c r="F798" s="244">
        <v>7.0000000000000007E-2</v>
      </c>
      <c r="G798" s="171"/>
      <c r="H798" s="244">
        <v>0.02</v>
      </c>
      <c r="I798" s="244">
        <v>0.1</v>
      </c>
      <c r="J798" s="244">
        <v>0.04</v>
      </c>
      <c r="K798" s="245" t="s">
        <v>298</v>
      </c>
      <c r="L798" s="141">
        <v>11078.8</v>
      </c>
    </row>
    <row r="799" spans="2:12" ht="20.100000000000001" customHeight="1" x14ac:dyDescent="0.25">
      <c r="B799" s="71"/>
      <c r="C799" s="245"/>
      <c r="D799" s="244">
        <v>0.02</v>
      </c>
      <c r="E799" s="244">
        <v>0.05</v>
      </c>
      <c r="F799" s="244">
        <v>0.2</v>
      </c>
      <c r="G799" s="171"/>
      <c r="H799" s="244">
        <v>0</v>
      </c>
      <c r="I799" s="244">
        <v>0.01</v>
      </c>
      <c r="J799" s="244">
        <v>0.1</v>
      </c>
      <c r="K799" s="245"/>
      <c r="L799" s="141"/>
    </row>
    <row r="800" spans="2:12" ht="20.100000000000001" customHeight="1" x14ac:dyDescent="0.25">
      <c r="B800" s="71"/>
      <c r="C800" s="245"/>
      <c r="D800" s="250"/>
      <c r="E800" s="255"/>
      <c r="F800" s="251"/>
      <c r="G800" s="171"/>
      <c r="H800" s="244"/>
      <c r="I800" s="244"/>
      <c r="J800" s="244"/>
      <c r="K800" s="245"/>
      <c r="L800" s="141"/>
    </row>
    <row r="801" spans="2:12" ht="20.100000000000001" customHeight="1" x14ac:dyDescent="0.25">
      <c r="B801" s="71"/>
      <c r="C801" s="245"/>
      <c r="D801" s="244">
        <v>0.09</v>
      </c>
      <c r="E801" s="244">
        <v>0.45</v>
      </c>
      <c r="F801" s="244">
        <v>0.4</v>
      </c>
      <c r="G801" s="171"/>
      <c r="H801" s="244">
        <v>0.01</v>
      </c>
      <c r="I801" s="244">
        <v>0.03</v>
      </c>
      <c r="J801" s="244">
        <v>0.2</v>
      </c>
      <c r="K801" s="245" t="s">
        <v>298</v>
      </c>
      <c r="L801" s="141">
        <v>11084.2</v>
      </c>
    </row>
    <row r="802" spans="2:12" ht="20.100000000000001" customHeight="1" x14ac:dyDescent="0.25">
      <c r="B802" s="71"/>
      <c r="C802" s="245"/>
      <c r="D802" s="244">
        <v>0.04</v>
      </c>
      <c r="E802" s="244">
        <v>0.41</v>
      </c>
      <c r="F802" s="244">
        <v>0.4</v>
      </c>
      <c r="G802" s="171"/>
      <c r="H802" s="244">
        <v>0.04</v>
      </c>
      <c r="I802" s="244">
        <v>0.01</v>
      </c>
      <c r="J802" s="244">
        <v>0.12</v>
      </c>
      <c r="K802" s="245"/>
      <c r="L802" s="141"/>
    </row>
    <row r="803" spans="2:12" ht="20.100000000000001" customHeight="1" x14ac:dyDescent="0.25">
      <c r="B803" s="258"/>
      <c r="C803" s="259"/>
      <c r="D803" s="259"/>
      <c r="E803" s="259"/>
      <c r="F803" s="260"/>
      <c r="G803" s="171"/>
      <c r="H803" s="244"/>
      <c r="I803" s="244"/>
      <c r="J803" s="244"/>
      <c r="K803" s="245"/>
      <c r="L803" s="141"/>
    </row>
    <row r="804" spans="2:12" ht="20.100000000000001" customHeight="1" x14ac:dyDescent="0.25">
      <c r="B804" s="71"/>
      <c r="C804" s="245"/>
      <c r="D804" s="244">
        <v>7.0000000000000007E-2</v>
      </c>
      <c r="E804" s="244">
        <v>0.17</v>
      </c>
      <c r="F804" s="244">
        <v>0.23</v>
      </c>
      <c r="G804" s="171"/>
      <c r="H804" s="244">
        <v>0.06</v>
      </c>
      <c r="I804" s="244">
        <v>0.19</v>
      </c>
      <c r="J804" s="244">
        <v>0.23</v>
      </c>
      <c r="K804" s="245"/>
      <c r="L804" s="141"/>
    </row>
    <row r="805" spans="2:12" ht="20.100000000000001" customHeight="1" x14ac:dyDescent="0.25">
      <c r="B805" s="71"/>
      <c r="C805" s="245"/>
      <c r="D805" s="244">
        <v>0.02</v>
      </c>
      <c r="E805" s="244">
        <v>0.18</v>
      </c>
      <c r="F805" s="244">
        <v>0.19</v>
      </c>
      <c r="G805" s="171"/>
      <c r="H805" s="244">
        <v>0.02</v>
      </c>
      <c r="I805" s="244">
        <v>0.18</v>
      </c>
      <c r="J805" s="244">
        <v>0.26</v>
      </c>
      <c r="K805" s="245"/>
      <c r="L805" s="141">
        <v>11100.1</v>
      </c>
    </row>
    <row r="806" spans="2:12" ht="20.100000000000001" customHeight="1" x14ac:dyDescent="0.25">
      <c r="B806" s="71"/>
      <c r="C806" s="245"/>
      <c r="D806" s="244">
        <v>0.01</v>
      </c>
      <c r="E806" s="244">
        <v>0.08</v>
      </c>
      <c r="F806" s="244">
        <v>0.24</v>
      </c>
      <c r="G806" s="171"/>
      <c r="H806" s="244">
        <v>0.05</v>
      </c>
      <c r="I806" s="244">
        <v>7.0000000000000007E-2</v>
      </c>
      <c r="J806" s="244">
        <v>0.12</v>
      </c>
      <c r="K806" s="245"/>
      <c r="L806" s="141"/>
    </row>
    <row r="807" spans="2:12" ht="20.100000000000001" customHeight="1" x14ac:dyDescent="0.25">
      <c r="B807" s="71"/>
      <c r="C807" s="245"/>
      <c r="D807" s="244">
        <v>0.03</v>
      </c>
      <c r="E807" s="244">
        <v>0.05</v>
      </c>
      <c r="F807" s="244">
        <v>0.11</v>
      </c>
      <c r="G807" s="171"/>
      <c r="H807" s="244">
        <v>0.02</v>
      </c>
      <c r="I807" s="244">
        <v>0.04</v>
      </c>
      <c r="J807" s="244">
        <v>0.17</v>
      </c>
      <c r="K807" s="245"/>
      <c r="L807" s="141">
        <v>11111.2</v>
      </c>
    </row>
    <row r="808" spans="2:12" ht="20.100000000000001" customHeight="1" x14ac:dyDescent="0.25">
      <c r="B808" s="71"/>
      <c r="C808" s="245"/>
      <c r="D808" s="244">
        <v>0.04</v>
      </c>
      <c r="E808" s="244">
        <v>0.01</v>
      </c>
      <c r="F808" s="244">
        <v>0.08</v>
      </c>
      <c r="G808" s="171"/>
      <c r="H808" s="244">
        <v>0.05</v>
      </c>
      <c r="I808" s="244">
        <v>0.03</v>
      </c>
      <c r="J808" s="244">
        <v>0.11</v>
      </c>
      <c r="K808" s="245" t="s">
        <v>298</v>
      </c>
      <c r="L808" s="141"/>
    </row>
    <row r="809" spans="2:12" ht="20.100000000000001" customHeight="1" x14ac:dyDescent="0.25">
      <c r="B809" s="258"/>
      <c r="C809" s="259"/>
      <c r="D809" s="259"/>
      <c r="E809" s="259"/>
      <c r="F809" s="260"/>
      <c r="G809" s="171"/>
      <c r="H809" s="250"/>
      <c r="I809" s="255"/>
      <c r="J809" s="255"/>
      <c r="K809" s="255"/>
      <c r="L809" s="251"/>
    </row>
    <row r="810" spans="2:12" ht="20.100000000000001" customHeight="1" x14ac:dyDescent="0.25">
      <c r="B810" s="71"/>
      <c r="C810" s="245"/>
      <c r="D810" s="244">
        <v>0.03</v>
      </c>
      <c r="E810" s="244">
        <v>0.35</v>
      </c>
      <c r="F810" s="244">
        <v>0.42</v>
      </c>
      <c r="G810" s="171"/>
      <c r="H810" s="244">
        <v>0.03</v>
      </c>
      <c r="I810" s="244">
        <v>0.32</v>
      </c>
      <c r="J810" s="244">
        <v>0.28999999999999998</v>
      </c>
      <c r="K810" s="245"/>
      <c r="L810" s="141"/>
    </row>
    <row r="811" spans="2:12" ht="20.100000000000001" customHeight="1" x14ac:dyDescent="0.25">
      <c r="B811" s="71"/>
      <c r="C811" s="245"/>
      <c r="D811" s="71"/>
      <c r="E811" s="71"/>
      <c r="F811" s="71"/>
      <c r="G811" s="171"/>
      <c r="H811" s="244">
        <v>0.06</v>
      </c>
      <c r="I811" s="244">
        <v>0.4</v>
      </c>
      <c r="J811" s="244">
        <v>0.56000000000000005</v>
      </c>
      <c r="K811" s="245" t="s">
        <v>298</v>
      </c>
      <c r="L811" s="141">
        <v>11146.5</v>
      </c>
    </row>
    <row r="812" spans="2:12" ht="20.100000000000001" customHeight="1" x14ac:dyDescent="0.25">
      <c r="B812" s="134"/>
      <c r="C812" s="135"/>
      <c r="D812" s="261"/>
      <c r="E812" s="262"/>
      <c r="F812" s="263"/>
      <c r="G812" s="171"/>
      <c r="H812" s="250"/>
      <c r="I812" s="255"/>
      <c r="J812" s="251"/>
      <c r="K812" s="245"/>
      <c r="L812" s="141"/>
    </row>
    <row r="813" spans="2:12" ht="20.100000000000001" customHeight="1" x14ac:dyDescent="0.25">
      <c r="B813" s="134"/>
      <c r="C813" s="135"/>
      <c r="D813" s="261"/>
      <c r="E813" s="262"/>
      <c r="F813" s="263"/>
      <c r="G813" s="171"/>
      <c r="H813" s="250"/>
      <c r="I813" s="255"/>
      <c r="J813" s="251"/>
      <c r="K813" s="245"/>
      <c r="L813" s="141"/>
    </row>
    <row r="814" spans="2:12" ht="20.100000000000001" customHeight="1" x14ac:dyDescent="0.25">
      <c r="B814" s="71"/>
      <c r="C814" s="245"/>
      <c r="D814" s="244">
        <v>0.01</v>
      </c>
      <c r="E814" s="244">
        <v>0.31</v>
      </c>
      <c r="F814" s="244">
        <v>0.3</v>
      </c>
      <c r="G814" s="171"/>
      <c r="H814" s="244">
        <v>0.03</v>
      </c>
      <c r="I814" s="244">
        <v>0.18</v>
      </c>
      <c r="J814" s="244">
        <v>0.17</v>
      </c>
      <c r="K814" s="245"/>
      <c r="L814" s="141"/>
    </row>
    <row r="815" spans="2:12" ht="20.100000000000001" customHeight="1" x14ac:dyDescent="0.25">
      <c r="B815" s="258"/>
      <c r="C815" s="259"/>
      <c r="D815" s="259"/>
      <c r="E815" s="259"/>
      <c r="F815" s="260"/>
      <c r="G815" s="171"/>
      <c r="H815" s="250"/>
      <c r="I815" s="255"/>
      <c r="J815" s="251"/>
      <c r="K815" s="245"/>
      <c r="L815" s="141"/>
    </row>
    <row r="816" spans="2:12" ht="20.100000000000001" customHeight="1" x14ac:dyDescent="0.25">
      <c r="B816" s="71"/>
      <c r="C816" s="245"/>
      <c r="D816" s="244">
        <v>0.02</v>
      </c>
      <c r="E816" s="244">
        <v>0.28999999999999998</v>
      </c>
      <c r="F816" s="244">
        <v>0.25</v>
      </c>
      <c r="G816" s="171"/>
      <c r="H816" s="244">
        <v>0</v>
      </c>
      <c r="I816" s="244">
        <v>0.04</v>
      </c>
      <c r="J816" s="244">
        <v>7.0000000000000007E-2</v>
      </c>
      <c r="K816" s="245"/>
      <c r="L816" s="141"/>
    </row>
    <row r="817" spans="2:12" ht="20.100000000000001" customHeight="1" x14ac:dyDescent="0.25">
      <c r="B817" s="71"/>
      <c r="C817" s="245"/>
      <c r="D817" s="244">
        <v>0.03</v>
      </c>
      <c r="E817" s="244">
        <v>0.57999999999999996</v>
      </c>
      <c r="F817" s="244">
        <v>0.57999999999999996</v>
      </c>
      <c r="G817" s="171"/>
      <c r="H817" s="244">
        <v>0.02</v>
      </c>
      <c r="I817" s="244">
        <v>0.09</v>
      </c>
      <c r="J817" s="244">
        <v>0.33</v>
      </c>
      <c r="K817" s="245" t="s">
        <v>298</v>
      </c>
      <c r="L817" s="141">
        <v>11158.8</v>
      </c>
    </row>
    <row r="818" spans="2:12" ht="20.100000000000001" customHeight="1" x14ac:dyDescent="0.25">
      <c r="B818" s="71"/>
      <c r="C818" s="136"/>
      <c r="D818" s="245">
        <v>0.05</v>
      </c>
      <c r="E818" s="244">
        <v>0.56999999999999995</v>
      </c>
      <c r="F818" s="244">
        <v>0.48</v>
      </c>
      <c r="G818" s="171"/>
      <c r="H818" s="244">
        <v>0.03</v>
      </c>
      <c r="I818" s="244">
        <v>0.09</v>
      </c>
      <c r="J818" s="244">
        <v>0.02</v>
      </c>
      <c r="K818" s="245"/>
      <c r="L818" s="141"/>
    </row>
    <row r="819" spans="2:12" ht="20.100000000000001" customHeight="1" x14ac:dyDescent="0.25">
      <c r="B819" s="71"/>
      <c r="C819" s="245"/>
      <c r="D819" s="244">
        <v>0.03</v>
      </c>
      <c r="E819" s="244">
        <v>0.56000000000000005</v>
      </c>
      <c r="F819" s="244">
        <v>0.62</v>
      </c>
      <c r="G819" s="171"/>
      <c r="H819" s="244">
        <v>0.01</v>
      </c>
      <c r="I819" s="244">
        <v>0.03</v>
      </c>
      <c r="J819" s="244">
        <v>0.05</v>
      </c>
      <c r="K819" s="245" t="s">
        <v>298</v>
      </c>
      <c r="L819" s="141">
        <v>11167.8</v>
      </c>
    </row>
    <row r="820" spans="2:12" ht="20.100000000000001" customHeight="1" x14ac:dyDescent="0.25">
      <c r="B820" s="71"/>
      <c r="C820" s="245"/>
      <c r="D820" s="244">
        <v>0.04</v>
      </c>
      <c r="E820" s="244">
        <v>0.54</v>
      </c>
      <c r="F820" s="244">
        <v>0.45</v>
      </c>
      <c r="G820" s="171"/>
      <c r="H820" s="244">
        <v>0.03</v>
      </c>
      <c r="I820" s="244">
        <v>0.03</v>
      </c>
      <c r="J820" s="244">
        <v>0.01</v>
      </c>
      <c r="K820" s="245"/>
      <c r="L820" s="141"/>
    </row>
    <row r="821" spans="2:12" ht="20.100000000000001" customHeight="1" x14ac:dyDescent="0.25">
      <c r="B821" s="71"/>
      <c r="C821" s="245"/>
      <c r="D821" s="244">
        <v>0.08</v>
      </c>
      <c r="E821" s="244">
        <v>0.52</v>
      </c>
      <c r="F821" s="244">
        <v>0.61</v>
      </c>
      <c r="G821" s="171"/>
      <c r="H821" s="244">
        <v>0.04</v>
      </c>
      <c r="I821" s="244">
        <v>0.04</v>
      </c>
      <c r="J821" s="244">
        <v>0.15</v>
      </c>
      <c r="K821" s="245" t="s">
        <v>298</v>
      </c>
      <c r="L821" s="141">
        <v>11174.2</v>
      </c>
    </row>
    <row r="822" spans="2:12" ht="20.100000000000001" customHeight="1" x14ac:dyDescent="0.25">
      <c r="B822" s="71"/>
      <c r="C822" s="245"/>
      <c r="D822" s="137">
        <v>0.03</v>
      </c>
      <c r="E822" s="244">
        <v>0.48</v>
      </c>
      <c r="F822" s="244">
        <v>0.44</v>
      </c>
      <c r="G822" s="171"/>
      <c r="H822" s="244">
        <v>0</v>
      </c>
      <c r="I822" s="244">
        <v>0.01</v>
      </c>
      <c r="J822" s="244">
        <v>0.03</v>
      </c>
      <c r="K822" s="245"/>
      <c r="L822" s="141"/>
    </row>
    <row r="823" spans="2:12" ht="20.100000000000001" customHeight="1" x14ac:dyDescent="0.25">
      <c r="B823" s="71"/>
      <c r="C823" s="245"/>
      <c r="D823" s="244">
        <v>0.02</v>
      </c>
      <c r="E823" s="244">
        <v>0.49</v>
      </c>
      <c r="F823" s="244">
        <v>0.56999999999999995</v>
      </c>
      <c r="G823" s="171"/>
      <c r="H823" s="244">
        <v>0.02</v>
      </c>
      <c r="I823" s="244">
        <v>0.03</v>
      </c>
      <c r="J823" s="244">
        <v>0.12</v>
      </c>
      <c r="K823" s="245" t="s">
        <v>298</v>
      </c>
      <c r="L823" s="141">
        <v>11179.3</v>
      </c>
    </row>
    <row r="824" spans="2:12" ht="20.100000000000001" customHeight="1" x14ac:dyDescent="0.25">
      <c r="B824" s="134"/>
      <c r="C824" s="135"/>
      <c r="D824" s="261"/>
      <c r="E824" s="262"/>
      <c r="F824" s="263"/>
      <c r="G824" s="171"/>
      <c r="H824" s="250"/>
      <c r="I824" s="255"/>
      <c r="J824" s="251"/>
      <c r="K824" s="245"/>
      <c r="L824" s="141"/>
    </row>
    <row r="825" spans="2:12" ht="20.100000000000001" customHeight="1" x14ac:dyDescent="0.25">
      <c r="B825" s="134"/>
      <c r="C825" s="135"/>
      <c r="D825" s="261"/>
      <c r="E825" s="262"/>
      <c r="F825" s="263"/>
      <c r="G825" s="171"/>
      <c r="H825" s="250"/>
      <c r="I825" s="255"/>
      <c r="J825" s="251"/>
      <c r="K825" s="245"/>
      <c r="L825" s="141"/>
    </row>
    <row r="826" spans="2:12" ht="20.100000000000001" customHeight="1" x14ac:dyDescent="0.25">
      <c r="C826" s="71"/>
      <c r="D826" s="245">
        <v>0.01</v>
      </c>
      <c r="E826" s="244">
        <v>0.44</v>
      </c>
      <c r="F826" s="244">
        <v>0.39</v>
      </c>
      <c r="G826" s="171"/>
      <c r="H826" s="244">
        <v>0.03</v>
      </c>
      <c r="I826" s="244">
        <v>0.04</v>
      </c>
      <c r="J826" s="244">
        <v>0.04</v>
      </c>
      <c r="K826" s="245"/>
      <c r="L826" s="141"/>
    </row>
    <row r="827" spans="2:12" ht="20.100000000000001" customHeight="1" x14ac:dyDescent="0.25">
      <c r="B827" s="71"/>
      <c r="C827" s="245"/>
      <c r="D827" s="244">
        <v>0.03</v>
      </c>
      <c r="E827" s="244">
        <v>0.42</v>
      </c>
      <c r="F827" s="244">
        <v>0.45</v>
      </c>
      <c r="G827" s="171"/>
      <c r="H827" s="244">
        <v>0.01</v>
      </c>
      <c r="I827" s="244">
        <v>0</v>
      </c>
      <c r="J827" s="244">
        <v>0.17</v>
      </c>
      <c r="K827" s="245" t="s">
        <v>298</v>
      </c>
      <c r="L827" s="141">
        <v>11183.8</v>
      </c>
    </row>
    <row r="828" spans="2:12" ht="20.100000000000001" customHeight="1" x14ac:dyDescent="0.25">
      <c r="B828" s="71"/>
      <c r="C828" s="245"/>
      <c r="D828" s="244">
        <v>0.04</v>
      </c>
      <c r="E828" s="244">
        <v>0.41</v>
      </c>
      <c r="F828" s="244">
        <v>0.38</v>
      </c>
      <c r="G828" s="171"/>
      <c r="H828" s="244">
        <v>0.01</v>
      </c>
      <c r="I828" s="244">
        <v>0.01</v>
      </c>
      <c r="J828" s="244">
        <v>0.03</v>
      </c>
      <c r="K828" s="245"/>
      <c r="L828" s="141"/>
    </row>
    <row r="829" spans="2:12" ht="20.100000000000001" customHeight="1" x14ac:dyDescent="0.25">
      <c r="B829" s="71"/>
      <c r="C829" s="245"/>
      <c r="D829" s="245">
        <v>0.03</v>
      </c>
      <c r="E829" s="245">
        <v>0.39</v>
      </c>
      <c r="F829" s="245">
        <v>0.12</v>
      </c>
      <c r="G829" s="171"/>
      <c r="H829" s="244">
        <v>0.01</v>
      </c>
      <c r="I829" s="244">
        <v>0.02</v>
      </c>
      <c r="J829" s="245">
        <v>0.13</v>
      </c>
      <c r="K829" s="245" t="s">
        <v>298</v>
      </c>
      <c r="L829" s="141">
        <v>11188.7</v>
      </c>
    </row>
    <row r="830" spans="2:12" ht="20.100000000000001" customHeight="1" x14ac:dyDescent="0.25">
      <c r="B830" s="71"/>
      <c r="C830" s="245"/>
      <c r="D830" s="245">
        <v>0.02</v>
      </c>
      <c r="E830" s="245">
        <v>0.41</v>
      </c>
      <c r="F830" s="245">
        <v>0.39</v>
      </c>
      <c r="G830" s="171"/>
      <c r="H830" s="244">
        <v>0.01</v>
      </c>
      <c r="I830" s="244">
        <v>0.04</v>
      </c>
      <c r="J830" s="245">
        <v>0.04</v>
      </c>
      <c r="K830" s="245"/>
      <c r="L830" s="141"/>
    </row>
    <row r="831" spans="2:12" ht="20.100000000000001" customHeight="1" x14ac:dyDescent="0.25">
      <c r="B831" s="71"/>
      <c r="C831" s="245"/>
      <c r="D831" s="245">
        <v>0.04</v>
      </c>
      <c r="E831" s="245">
        <v>0.36</v>
      </c>
      <c r="F831" s="245">
        <v>0.48</v>
      </c>
      <c r="G831" s="171"/>
      <c r="H831" s="244">
        <v>0.02</v>
      </c>
      <c r="I831" s="244">
        <v>0.03</v>
      </c>
      <c r="J831" s="245">
        <v>0.09</v>
      </c>
      <c r="K831" s="245" t="s">
        <v>298</v>
      </c>
      <c r="L831" s="141">
        <v>11194.3</v>
      </c>
    </row>
    <row r="832" spans="2:12" ht="20.100000000000001" customHeight="1" x14ac:dyDescent="0.25">
      <c r="B832" s="71"/>
      <c r="C832" s="245"/>
      <c r="D832" s="245">
        <v>0.04</v>
      </c>
      <c r="E832" s="245">
        <v>0.35</v>
      </c>
      <c r="F832" s="245">
        <v>0.36</v>
      </c>
      <c r="G832" s="171"/>
      <c r="H832" s="244">
        <v>0.01</v>
      </c>
      <c r="I832" s="244">
        <v>7.0000000000000007E-2</v>
      </c>
      <c r="J832" s="245">
        <v>0.08</v>
      </c>
      <c r="K832" s="245"/>
      <c r="L832" s="141"/>
    </row>
    <row r="833" spans="2:12" ht="20.100000000000001" customHeight="1" x14ac:dyDescent="0.25">
      <c r="B833" s="71"/>
      <c r="C833" s="245"/>
      <c r="D833" s="245">
        <v>0.03</v>
      </c>
      <c r="E833" s="245">
        <v>0.34</v>
      </c>
      <c r="F833" s="245">
        <v>0.36</v>
      </c>
      <c r="G833" s="171"/>
      <c r="H833" s="244">
        <v>0</v>
      </c>
      <c r="I833" s="244">
        <v>0</v>
      </c>
      <c r="J833" s="245">
        <v>0.04</v>
      </c>
      <c r="K833" s="245" t="s">
        <v>298</v>
      </c>
      <c r="L833" s="141">
        <v>11201.2</v>
      </c>
    </row>
    <row r="834" spans="2:12" ht="20.100000000000001" customHeight="1" x14ac:dyDescent="0.25">
      <c r="B834" s="71"/>
      <c r="C834" s="245"/>
      <c r="D834" s="245">
        <v>0.02</v>
      </c>
      <c r="E834" s="245">
        <v>0.35</v>
      </c>
      <c r="F834" s="245">
        <v>0.56000000000000005</v>
      </c>
      <c r="G834" s="171"/>
      <c r="H834" s="244">
        <v>0</v>
      </c>
      <c r="I834" s="244">
        <v>0</v>
      </c>
      <c r="J834" s="245">
        <v>0.12</v>
      </c>
      <c r="K834" s="245"/>
      <c r="L834" s="141"/>
    </row>
    <row r="835" spans="2:12" ht="20.100000000000001" customHeight="1" x14ac:dyDescent="0.25">
      <c r="B835" s="71"/>
      <c r="C835" s="245"/>
      <c r="D835" s="245">
        <v>0.05</v>
      </c>
      <c r="E835" s="245">
        <v>0.33</v>
      </c>
      <c r="F835" s="245">
        <v>0.39</v>
      </c>
      <c r="G835" s="171"/>
      <c r="H835" s="244">
        <v>0.02</v>
      </c>
      <c r="I835" s="244">
        <v>0.01</v>
      </c>
      <c r="J835" s="245">
        <v>0.11</v>
      </c>
      <c r="K835" s="245" t="s">
        <v>298</v>
      </c>
      <c r="L835" s="141">
        <v>11208.5</v>
      </c>
    </row>
    <row r="836" spans="2:12" ht="20.100000000000001" customHeight="1" x14ac:dyDescent="0.25">
      <c r="B836" s="134"/>
      <c r="C836" s="135"/>
      <c r="D836" s="261"/>
      <c r="E836" s="262"/>
      <c r="F836" s="263"/>
      <c r="G836" s="171"/>
      <c r="H836" s="250"/>
      <c r="I836" s="255"/>
      <c r="J836" s="251"/>
      <c r="K836" s="245"/>
      <c r="L836" s="141"/>
    </row>
    <row r="837" spans="2:12" ht="20.100000000000001" customHeight="1" x14ac:dyDescent="0.25">
      <c r="B837" s="134"/>
      <c r="C837" s="135"/>
      <c r="D837" s="261"/>
      <c r="E837" s="262"/>
      <c r="F837" s="263"/>
      <c r="G837" s="171"/>
      <c r="H837" s="250"/>
      <c r="I837" s="255"/>
      <c r="J837" s="251"/>
      <c r="K837" s="245"/>
      <c r="L837" s="141"/>
    </row>
    <row r="838" spans="2:12" ht="20.100000000000001" customHeight="1" x14ac:dyDescent="0.25">
      <c r="B838" s="71"/>
      <c r="C838" s="245"/>
      <c r="D838" s="245">
        <v>0.01</v>
      </c>
      <c r="E838" s="245">
        <v>0.27</v>
      </c>
      <c r="F838" s="245">
        <v>0.28999999999999998</v>
      </c>
      <c r="G838" s="171"/>
      <c r="H838" s="244">
        <v>0</v>
      </c>
      <c r="I838" s="244">
        <v>0.01</v>
      </c>
      <c r="J838" s="245">
        <v>0.04</v>
      </c>
      <c r="K838" s="245"/>
      <c r="L838" s="141"/>
    </row>
    <row r="839" spans="2:12" ht="20.100000000000001" customHeight="1" x14ac:dyDescent="0.25">
      <c r="B839" s="71"/>
      <c r="C839" s="245"/>
      <c r="D839" s="245">
        <v>0.04</v>
      </c>
      <c r="E839" s="245">
        <v>0.28999999999999998</v>
      </c>
      <c r="F839" s="245">
        <v>0.45</v>
      </c>
      <c r="G839" s="171"/>
      <c r="H839" s="244">
        <v>0</v>
      </c>
      <c r="I839" s="244">
        <v>0.02</v>
      </c>
      <c r="J839" s="245"/>
      <c r="K839" s="245" t="s">
        <v>298</v>
      </c>
      <c r="L839" s="141">
        <v>11213.9</v>
      </c>
    </row>
    <row r="840" spans="2:12" ht="20.100000000000001" customHeight="1" x14ac:dyDescent="0.25">
      <c r="B840" s="71"/>
      <c r="C840" s="245"/>
      <c r="D840" s="245">
        <v>0.02</v>
      </c>
      <c r="E840" s="245">
        <v>0.26</v>
      </c>
      <c r="G840" s="171"/>
      <c r="H840" s="244">
        <v>0.01</v>
      </c>
      <c r="I840" s="244">
        <v>0.02</v>
      </c>
      <c r="K840" s="245"/>
      <c r="L840" s="141"/>
    </row>
    <row r="841" spans="2:12" ht="20.100000000000001" customHeight="1" x14ac:dyDescent="0.25">
      <c r="B841" s="71"/>
      <c r="C841" s="245"/>
      <c r="D841" s="245"/>
      <c r="E841" s="245"/>
      <c r="F841" s="244">
        <v>0.3</v>
      </c>
      <c r="G841" s="171"/>
      <c r="H841" s="245"/>
      <c r="I841" s="245"/>
      <c r="J841" s="245">
        <v>0.06</v>
      </c>
      <c r="K841" s="245"/>
      <c r="L841" s="141"/>
    </row>
    <row r="842" spans="2:12" ht="20.100000000000001" customHeight="1" x14ac:dyDescent="0.25">
      <c r="B842" s="71"/>
      <c r="C842" s="245"/>
      <c r="D842" s="245">
        <v>0.02</v>
      </c>
      <c r="E842" s="245">
        <v>0.24</v>
      </c>
      <c r="F842" s="244">
        <v>0.42</v>
      </c>
      <c r="G842" s="171"/>
      <c r="H842" s="244">
        <v>0.04</v>
      </c>
      <c r="I842" s="244">
        <v>0.02</v>
      </c>
      <c r="J842" s="245">
        <v>0.26</v>
      </c>
      <c r="K842" s="245" t="s">
        <v>298</v>
      </c>
      <c r="L842" s="141">
        <v>11223</v>
      </c>
    </row>
    <row r="843" spans="2:12" ht="20.100000000000001" customHeight="1" x14ac:dyDescent="0.25">
      <c r="B843" s="71"/>
      <c r="C843" s="245"/>
      <c r="D843" s="245">
        <v>0.02</v>
      </c>
      <c r="E843" s="245">
        <v>0.18</v>
      </c>
      <c r="F843" s="244">
        <v>0.18</v>
      </c>
      <c r="G843" s="171"/>
      <c r="H843" s="244">
        <v>0</v>
      </c>
      <c r="I843" s="244">
        <v>0</v>
      </c>
      <c r="J843" s="245">
        <v>0.01</v>
      </c>
      <c r="K843" s="245"/>
      <c r="L843" s="141"/>
    </row>
    <row r="844" spans="2:12" ht="20.100000000000001" customHeight="1" x14ac:dyDescent="0.25">
      <c r="B844" s="71"/>
      <c r="C844" s="245"/>
      <c r="D844" s="245">
        <v>0.02</v>
      </c>
      <c r="E844" s="245">
        <v>0.19</v>
      </c>
      <c r="F844" s="244">
        <v>0.24</v>
      </c>
      <c r="G844" s="171"/>
      <c r="H844" s="244">
        <v>0.01</v>
      </c>
      <c r="I844" s="244">
        <v>0.01</v>
      </c>
      <c r="J844" s="245">
        <v>0.18</v>
      </c>
      <c r="K844" s="245" t="s">
        <v>298</v>
      </c>
      <c r="L844" s="141">
        <v>11235.5</v>
      </c>
    </row>
    <row r="845" spans="2:12" ht="20.100000000000001" customHeight="1" x14ac:dyDescent="0.25">
      <c r="B845" s="71"/>
      <c r="C845" s="245"/>
      <c r="D845" s="245">
        <v>0.03</v>
      </c>
      <c r="E845" s="245">
        <v>0.12</v>
      </c>
      <c r="F845" s="244">
        <v>0.12</v>
      </c>
      <c r="G845" s="171"/>
      <c r="H845" s="244">
        <v>0.02</v>
      </c>
      <c r="I845" s="244">
        <v>0.02</v>
      </c>
      <c r="J845" s="245">
        <v>0.03</v>
      </c>
      <c r="K845" s="245"/>
      <c r="L845" s="141"/>
    </row>
    <row r="846" spans="2:12" ht="20.100000000000001" customHeight="1" x14ac:dyDescent="0.25">
      <c r="B846" s="258"/>
      <c r="C846" s="259"/>
      <c r="D846" s="259"/>
      <c r="E846" s="259"/>
      <c r="F846" s="260"/>
      <c r="G846" s="171"/>
      <c r="H846" s="244"/>
      <c r="I846" s="244"/>
      <c r="J846" s="245"/>
      <c r="K846" s="245"/>
      <c r="L846" s="141"/>
    </row>
    <row r="847" spans="2:12" ht="20.100000000000001" customHeight="1" x14ac:dyDescent="0.25">
      <c r="B847" s="71"/>
      <c r="C847" s="245"/>
      <c r="D847" s="245">
        <v>0.04</v>
      </c>
      <c r="E847" s="245">
        <v>0.36</v>
      </c>
      <c r="F847" s="244">
        <v>0.36</v>
      </c>
      <c r="G847" s="171"/>
      <c r="H847" s="244">
        <v>7.0000000000000007E-2</v>
      </c>
      <c r="I847" s="244">
        <v>0.01</v>
      </c>
      <c r="J847" s="245">
        <v>0.13</v>
      </c>
      <c r="K847" s="245" t="s">
        <v>298</v>
      </c>
      <c r="L847" s="141">
        <v>11244.9</v>
      </c>
    </row>
    <row r="848" spans="2:12" ht="20.100000000000001" customHeight="1" x14ac:dyDescent="0.25">
      <c r="B848" s="71"/>
      <c r="C848" s="245"/>
      <c r="D848" s="245">
        <v>0.02</v>
      </c>
      <c r="E848" s="245">
        <v>0.28999999999999998</v>
      </c>
      <c r="F848" s="244">
        <v>0.28000000000000003</v>
      </c>
      <c r="G848" s="171"/>
      <c r="H848" s="244">
        <v>0.01</v>
      </c>
      <c r="I848" s="244">
        <v>0.02</v>
      </c>
      <c r="J848" s="245">
        <v>0.04</v>
      </c>
      <c r="K848" s="245"/>
      <c r="L848" s="141"/>
    </row>
    <row r="849" spans="2:12" ht="20.100000000000001" customHeight="1" x14ac:dyDescent="0.25">
      <c r="B849" s="71"/>
      <c r="C849" s="245"/>
      <c r="D849" s="245">
        <v>0.01</v>
      </c>
      <c r="E849" s="245">
        <v>0.27</v>
      </c>
      <c r="F849" s="244">
        <v>0.31</v>
      </c>
      <c r="G849" s="171"/>
      <c r="H849" s="244">
        <v>0.01</v>
      </c>
      <c r="I849" s="244">
        <v>0.01</v>
      </c>
      <c r="J849" s="245">
        <v>0.03</v>
      </c>
      <c r="K849" s="245" t="s">
        <v>298</v>
      </c>
      <c r="L849" s="141">
        <v>11261.7</v>
      </c>
    </row>
    <row r="850" spans="2:12" ht="20.100000000000001" customHeight="1" x14ac:dyDescent="0.25">
      <c r="B850" s="71"/>
      <c r="C850" s="252"/>
      <c r="D850" s="253"/>
      <c r="E850" s="253"/>
      <c r="F850" s="254"/>
      <c r="G850" s="171"/>
      <c r="H850" s="250"/>
      <c r="I850" s="255"/>
      <c r="J850" s="251"/>
      <c r="K850" s="245"/>
      <c r="L850" s="141"/>
    </row>
    <row r="851" spans="2:12" ht="20.100000000000001" customHeight="1" x14ac:dyDescent="0.25">
      <c r="B851" s="71"/>
      <c r="C851" s="252"/>
      <c r="D851" s="253"/>
      <c r="E851" s="253"/>
      <c r="F851" s="254"/>
      <c r="G851" s="171"/>
      <c r="H851" s="250"/>
      <c r="I851" s="255"/>
      <c r="J851" s="251"/>
      <c r="K851" s="245"/>
      <c r="L851" s="141"/>
    </row>
    <row r="852" spans="2:12" ht="20.100000000000001" customHeight="1" x14ac:dyDescent="0.25">
      <c r="B852" s="71"/>
      <c r="C852" s="245"/>
      <c r="D852" s="245">
        <v>0.03</v>
      </c>
      <c r="E852" s="245">
        <v>0.05</v>
      </c>
      <c r="F852" s="244">
        <v>7.0000000000000007E-2</v>
      </c>
      <c r="G852" s="171"/>
      <c r="H852" s="244">
        <v>0.03</v>
      </c>
      <c r="I852" s="244">
        <v>0.01</v>
      </c>
      <c r="J852" s="245">
        <v>0.04</v>
      </c>
      <c r="K852" s="245"/>
      <c r="L852" s="141"/>
    </row>
    <row r="853" spans="2:12" ht="20.100000000000001" customHeight="1" x14ac:dyDescent="0.25">
      <c r="B853" s="258"/>
      <c r="C853" s="259"/>
      <c r="D853" s="259"/>
      <c r="E853" s="259"/>
      <c r="F853" s="260"/>
      <c r="G853" s="171"/>
      <c r="H853" s="250"/>
      <c r="I853" s="255"/>
      <c r="J853" s="255"/>
      <c r="K853" s="251"/>
      <c r="L853" s="141"/>
    </row>
    <row r="854" spans="2:12" ht="20.100000000000001" customHeight="1" x14ac:dyDescent="0.25">
      <c r="B854" s="71"/>
      <c r="C854" s="245"/>
      <c r="D854" s="245">
        <v>0.01</v>
      </c>
      <c r="E854" s="245">
        <v>0.02</v>
      </c>
      <c r="F854" s="244">
        <v>0.05</v>
      </c>
      <c r="G854" s="171"/>
      <c r="H854" s="244">
        <v>0.05</v>
      </c>
      <c r="I854" s="244">
        <v>0.02</v>
      </c>
      <c r="J854" s="245">
        <v>0.04</v>
      </c>
      <c r="K854" s="245"/>
      <c r="L854" s="141"/>
    </row>
    <row r="855" spans="2:12" ht="20.100000000000001" customHeight="1" x14ac:dyDescent="0.25">
      <c r="B855" s="71"/>
      <c r="C855" s="245"/>
      <c r="D855" s="252"/>
      <c r="E855" s="253"/>
      <c r="F855" s="254"/>
      <c r="G855" s="171"/>
      <c r="H855" s="250"/>
      <c r="I855" s="255"/>
      <c r="J855" s="251"/>
      <c r="K855" s="245" t="s">
        <v>298</v>
      </c>
      <c r="L855" s="141">
        <v>11271.9</v>
      </c>
    </row>
    <row r="856" spans="2:12" ht="20.100000000000001" customHeight="1" x14ac:dyDescent="0.25">
      <c r="B856" s="71"/>
      <c r="C856" s="245"/>
      <c r="D856" s="245">
        <v>0.03</v>
      </c>
      <c r="E856" s="245">
        <v>0.02</v>
      </c>
      <c r="F856" s="244">
        <v>0.02</v>
      </c>
      <c r="G856" s="171"/>
      <c r="H856" s="244">
        <v>0</v>
      </c>
      <c r="I856" s="244">
        <v>0.03</v>
      </c>
      <c r="J856" s="245">
        <v>0.05</v>
      </c>
      <c r="K856" s="245"/>
      <c r="L856" s="141"/>
    </row>
    <row r="857" spans="2:12" ht="20.100000000000001" customHeight="1" x14ac:dyDescent="0.25">
      <c r="B857" s="71"/>
      <c r="C857" s="245"/>
      <c r="D857" s="245">
        <v>0.1</v>
      </c>
      <c r="E857" s="245">
        <v>0.12</v>
      </c>
      <c r="F857" s="244">
        <v>0.06</v>
      </c>
      <c r="G857" s="171"/>
      <c r="H857" s="244">
        <v>0</v>
      </c>
      <c r="I857" s="244">
        <v>0.04</v>
      </c>
      <c r="J857" s="245">
        <v>0.05</v>
      </c>
      <c r="K857" s="245" t="s">
        <v>298</v>
      </c>
      <c r="L857" s="141">
        <v>11286.5</v>
      </c>
    </row>
    <row r="858" spans="2:12" ht="20.100000000000001" customHeight="1" x14ac:dyDescent="0.25">
      <c r="B858" s="71"/>
      <c r="C858" s="245"/>
      <c r="D858" s="245">
        <v>0.01</v>
      </c>
      <c r="E858" s="245">
        <v>0.02</v>
      </c>
      <c r="F858" s="245">
        <v>0.06</v>
      </c>
      <c r="G858" s="171"/>
      <c r="H858" s="244">
        <v>0</v>
      </c>
      <c r="I858" s="244">
        <v>0.01</v>
      </c>
      <c r="J858" s="245">
        <v>7.0000000000000007E-2</v>
      </c>
      <c r="K858" s="245"/>
      <c r="L858" s="141"/>
    </row>
    <row r="859" spans="2:12" ht="20.100000000000001" customHeight="1" x14ac:dyDescent="0.25">
      <c r="B859" s="258"/>
      <c r="C859" s="259"/>
      <c r="D859" s="259"/>
      <c r="E859" s="259"/>
      <c r="F859" s="260"/>
      <c r="G859" s="171"/>
      <c r="H859" s="244"/>
      <c r="I859" s="244"/>
      <c r="J859" s="245"/>
      <c r="K859" s="245"/>
      <c r="L859" s="141"/>
    </row>
    <row r="860" spans="2:12" ht="20.100000000000001" customHeight="1" x14ac:dyDescent="0.25">
      <c r="B860" s="71"/>
      <c r="C860" s="245"/>
      <c r="D860" s="245">
        <v>0.13</v>
      </c>
      <c r="E860" s="245">
        <v>0.28000000000000003</v>
      </c>
      <c r="F860" s="245">
        <v>0.28000000000000003</v>
      </c>
      <c r="G860" s="171"/>
      <c r="H860" s="250"/>
      <c r="I860" s="255"/>
      <c r="J860" s="255"/>
      <c r="K860" s="251"/>
      <c r="L860" s="141"/>
    </row>
    <row r="861" spans="2:12" ht="20.100000000000001" customHeight="1" x14ac:dyDescent="0.25">
      <c r="B861" s="71"/>
      <c r="C861" s="245"/>
      <c r="D861" s="245">
        <v>0.02</v>
      </c>
      <c r="E861" s="245">
        <v>0.28000000000000003</v>
      </c>
      <c r="F861" s="245">
        <v>0.28000000000000003</v>
      </c>
      <c r="G861" s="171"/>
      <c r="H861" s="244">
        <v>0.01</v>
      </c>
      <c r="I861" s="244">
        <v>0.04</v>
      </c>
      <c r="J861" s="245">
        <v>7.0000000000000007E-2</v>
      </c>
      <c r="K861" s="245" t="s">
        <v>298</v>
      </c>
      <c r="L861" s="141">
        <v>11292.4</v>
      </c>
    </row>
    <row r="862" spans="2:12" ht="20.100000000000001" customHeight="1" x14ac:dyDescent="0.25">
      <c r="B862" s="71"/>
      <c r="C862" s="245"/>
      <c r="D862" s="235"/>
      <c r="E862" s="236"/>
      <c r="F862" s="237"/>
      <c r="G862" s="171"/>
      <c r="H862" s="245"/>
      <c r="I862" s="245"/>
      <c r="J862" s="245"/>
      <c r="K862" s="245" t="s">
        <v>81</v>
      </c>
      <c r="L862" s="141"/>
    </row>
    <row r="863" spans="2:12" ht="20.100000000000001" customHeight="1" x14ac:dyDescent="0.25">
      <c r="B863" s="71"/>
      <c r="C863" s="245"/>
      <c r="D863" s="252"/>
      <c r="E863" s="253"/>
      <c r="F863" s="254"/>
      <c r="G863" s="171"/>
      <c r="H863" s="244">
        <v>0</v>
      </c>
      <c r="I863" s="244">
        <v>0</v>
      </c>
      <c r="J863" s="244">
        <v>0</v>
      </c>
      <c r="K863" s="245" t="s">
        <v>297</v>
      </c>
      <c r="L863" s="141"/>
    </row>
    <row r="864" spans="2:12" ht="20.100000000000001" customHeight="1" x14ac:dyDescent="0.25">
      <c r="B864" s="71"/>
      <c r="C864" s="245"/>
      <c r="D864" s="252"/>
      <c r="E864" s="253"/>
      <c r="F864" s="254"/>
      <c r="G864" s="171"/>
      <c r="H864" s="244">
        <v>0</v>
      </c>
      <c r="I864" s="244">
        <v>0</v>
      </c>
      <c r="J864" s="245"/>
      <c r="K864" s="245" t="s">
        <v>297</v>
      </c>
      <c r="L864" s="141">
        <v>11300</v>
      </c>
    </row>
    <row r="865" spans="2:12" ht="20.100000000000001" customHeight="1" x14ac:dyDescent="0.25">
      <c r="B865" s="71"/>
      <c r="C865" s="264"/>
      <c r="D865" s="265"/>
      <c r="E865" s="265"/>
      <c r="F865" s="266"/>
      <c r="G865" s="171"/>
      <c r="H865" s="244"/>
      <c r="I865" s="244"/>
      <c r="J865" s="245"/>
      <c r="K865" s="245"/>
      <c r="L865" s="141"/>
    </row>
    <row r="866" spans="2:12" ht="20.100000000000001" customHeight="1" x14ac:dyDescent="0.25">
      <c r="B866" s="71"/>
      <c r="C866" s="138"/>
      <c r="D866" s="138"/>
      <c r="E866" s="138"/>
      <c r="F866" s="138"/>
      <c r="G866" s="172"/>
      <c r="H866" s="139">
        <v>0</v>
      </c>
      <c r="I866" s="139">
        <v>0</v>
      </c>
      <c r="J866" s="138"/>
      <c r="K866" s="138" t="s">
        <v>297</v>
      </c>
      <c r="L866" s="173">
        <v>11300.1</v>
      </c>
    </row>
    <row r="867" spans="2:12" ht="20.100000000000001" customHeight="1" x14ac:dyDescent="0.25">
      <c r="B867" s="134"/>
      <c r="C867" s="135"/>
      <c r="D867" s="261"/>
      <c r="E867" s="262"/>
      <c r="F867" s="263"/>
      <c r="G867" s="171"/>
      <c r="H867" s="250"/>
      <c r="I867" s="255"/>
      <c r="J867" s="251"/>
      <c r="K867" s="245"/>
      <c r="L867" s="141"/>
    </row>
    <row r="868" spans="2:12" ht="20.100000000000001" customHeight="1" x14ac:dyDescent="0.25">
      <c r="B868" s="134"/>
      <c r="C868" s="135"/>
      <c r="D868" s="261"/>
      <c r="E868" s="262"/>
      <c r="F868" s="263"/>
      <c r="G868" s="171"/>
      <c r="H868" s="250"/>
      <c r="I868" s="255"/>
      <c r="J868" s="251"/>
      <c r="K868" s="245"/>
      <c r="L868" s="141"/>
    </row>
    <row r="869" spans="2:12" ht="20.100000000000001" customHeight="1" x14ac:dyDescent="0.25">
      <c r="B869" s="71"/>
      <c r="C869" s="252"/>
      <c r="D869" s="253"/>
      <c r="E869" s="253"/>
      <c r="F869" s="254"/>
      <c r="G869" s="171"/>
      <c r="H869" s="244">
        <v>0</v>
      </c>
      <c r="I869" s="244"/>
      <c r="J869" s="245"/>
      <c r="K869" s="245"/>
      <c r="L869" s="141"/>
    </row>
    <row r="870" spans="2:12" ht="20.100000000000001" customHeight="1" x14ac:dyDescent="0.25">
      <c r="B870" s="71"/>
      <c r="C870" s="245"/>
      <c r="D870" s="245"/>
      <c r="E870" s="244">
        <v>0</v>
      </c>
      <c r="F870" s="245"/>
      <c r="G870" s="171"/>
      <c r="H870" s="252"/>
      <c r="I870" s="253"/>
      <c r="J870" s="253"/>
      <c r="K870" s="254"/>
      <c r="L870" s="141"/>
    </row>
    <row r="871" spans="2:12" ht="20.100000000000001" customHeight="1" x14ac:dyDescent="0.25">
      <c r="B871" s="71"/>
      <c r="C871" s="245"/>
      <c r="D871" s="244">
        <v>0</v>
      </c>
      <c r="E871" s="244">
        <v>0.01</v>
      </c>
      <c r="F871" s="245"/>
      <c r="G871" s="171"/>
      <c r="H871" s="244">
        <v>0</v>
      </c>
      <c r="I871" s="244">
        <v>0.02</v>
      </c>
      <c r="J871" s="245"/>
      <c r="K871" s="245"/>
      <c r="L871" s="141"/>
    </row>
    <row r="872" spans="2:12" ht="20.100000000000001" customHeight="1" x14ac:dyDescent="0.25">
      <c r="B872" s="71"/>
      <c r="C872" s="252"/>
      <c r="D872" s="253"/>
      <c r="E872" s="253"/>
      <c r="F872" s="254"/>
      <c r="G872" s="171"/>
      <c r="H872" s="250"/>
      <c r="I872" s="255"/>
      <c r="J872" s="251"/>
      <c r="K872" s="245"/>
      <c r="L872" s="141"/>
    </row>
    <row r="873" spans="2:12" ht="20.100000000000001" customHeight="1" x14ac:dyDescent="0.25">
      <c r="B873" s="71"/>
      <c r="C873" s="245"/>
      <c r="D873" s="244">
        <v>0</v>
      </c>
      <c r="E873" s="244">
        <v>0.01</v>
      </c>
      <c r="F873" s="245"/>
      <c r="G873" s="171"/>
      <c r="H873" s="244">
        <v>0</v>
      </c>
      <c r="I873" s="244">
        <v>0.01</v>
      </c>
      <c r="J873" s="245"/>
      <c r="K873" s="245" t="s">
        <v>298</v>
      </c>
      <c r="L873" s="141">
        <v>11350.1</v>
      </c>
    </row>
    <row r="874" spans="2:12" ht="20.100000000000001" customHeight="1" x14ac:dyDescent="0.25">
      <c r="B874" s="71"/>
      <c r="C874" s="245"/>
      <c r="D874" s="245"/>
      <c r="E874" s="245"/>
      <c r="F874" s="245"/>
      <c r="G874" s="171"/>
      <c r="H874" s="244"/>
      <c r="I874" s="244"/>
      <c r="J874" s="245"/>
      <c r="K874" s="245"/>
      <c r="L874" s="141"/>
    </row>
    <row r="875" spans="2:12" ht="20.100000000000001" customHeight="1" x14ac:dyDescent="0.25">
      <c r="B875" s="134"/>
      <c r="C875" s="135"/>
      <c r="D875" s="261"/>
      <c r="E875" s="262"/>
      <c r="F875" s="263"/>
      <c r="G875" s="171"/>
      <c r="H875" s="244"/>
      <c r="I875" s="244"/>
      <c r="J875" s="245"/>
      <c r="K875" s="245"/>
      <c r="L875" s="141"/>
    </row>
    <row r="876" spans="2:12" ht="20.100000000000001" customHeight="1" x14ac:dyDescent="0.25">
      <c r="B876" s="134"/>
      <c r="C876" s="135"/>
      <c r="D876" s="261"/>
      <c r="E876" s="262"/>
      <c r="F876" s="263"/>
      <c r="G876" s="174"/>
      <c r="H876" s="244"/>
      <c r="I876" s="244"/>
      <c r="J876" s="245"/>
      <c r="K876" s="245"/>
      <c r="L876" s="141"/>
    </row>
    <row r="877" spans="2:12" ht="20.100000000000001" customHeight="1" x14ac:dyDescent="0.25">
      <c r="B877" s="71"/>
      <c r="C877" s="245"/>
      <c r="D877" s="244">
        <v>0</v>
      </c>
      <c r="E877" s="244">
        <v>0.01</v>
      </c>
      <c r="F877" s="245"/>
      <c r="G877" s="174"/>
      <c r="H877" s="250"/>
      <c r="I877" s="255"/>
      <c r="J877" s="251"/>
      <c r="K877" s="245" t="s">
        <v>297</v>
      </c>
      <c r="L877" s="141"/>
    </row>
    <row r="878" spans="2:12" ht="20.100000000000001" customHeight="1" x14ac:dyDescent="0.25">
      <c r="B878" s="71"/>
      <c r="C878" s="245"/>
      <c r="D878" s="244">
        <v>0</v>
      </c>
      <c r="E878" s="244">
        <v>0</v>
      </c>
      <c r="F878" s="245"/>
      <c r="G878" s="174"/>
      <c r="H878" s="250"/>
      <c r="I878" s="255"/>
      <c r="J878" s="251"/>
      <c r="K878" s="245" t="s">
        <v>298</v>
      </c>
      <c r="L878" s="141">
        <v>11375.9</v>
      </c>
    </row>
    <row r="879" spans="2:12" ht="20.100000000000001" customHeight="1" x14ac:dyDescent="0.25">
      <c r="B879" s="71"/>
      <c r="C879" s="245"/>
      <c r="D879" s="252"/>
      <c r="E879" s="253"/>
      <c r="F879" s="254"/>
      <c r="G879" s="174"/>
      <c r="H879" s="250"/>
      <c r="I879" s="255"/>
      <c r="J879" s="251"/>
      <c r="K879" s="245" t="s">
        <v>298</v>
      </c>
      <c r="L879" s="141">
        <v>11385.3</v>
      </c>
    </row>
    <row r="880" spans="2:12" ht="20.100000000000001" customHeight="1" x14ac:dyDescent="0.25">
      <c r="B880" s="71"/>
      <c r="C880" s="245"/>
      <c r="D880" s="252"/>
      <c r="E880" s="253"/>
      <c r="F880" s="254"/>
      <c r="G880" s="174"/>
      <c r="H880" s="250"/>
      <c r="I880" s="255"/>
      <c r="J880" s="251"/>
      <c r="K880" s="245" t="s">
        <v>298</v>
      </c>
      <c r="L880" s="141">
        <v>11394.1</v>
      </c>
    </row>
    <row r="881" spans="2:12" ht="20.100000000000001" customHeight="1" x14ac:dyDescent="0.25">
      <c r="B881" s="73"/>
      <c r="C881" s="243"/>
      <c r="D881" s="267"/>
      <c r="E881" s="268"/>
      <c r="F881" s="269"/>
      <c r="G881" s="174"/>
      <c r="H881" s="250"/>
      <c r="I881" s="255"/>
      <c r="J881" s="251"/>
      <c r="K881" s="245"/>
      <c r="L881" s="141"/>
    </row>
    <row r="882" spans="2:12" ht="20.100000000000001" customHeight="1" x14ac:dyDescent="0.25">
      <c r="B882" s="134"/>
      <c r="C882" s="135"/>
      <c r="D882" s="261"/>
      <c r="E882" s="262"/>
      <c r="F882" s="263"/>
      <c r="G882" s="174"/>
      <c r="H882" s="250"/>
      <c r="I882" s="255"/>
      <c r="J882" s="251"/>
      <c r="K882" s="245"/>
      <c r="L882" s="141"/>
    </row>
    <row r="883" spans="2:12" ht="20.100000000000001" customHeight="1" x14ac:dyDescent="0.25">
      <c r="B883" s="134"/>
      <c r="C883" s="135"/>
      <c r="D883" s="261"/>
      <c r="E883" s="262"/>
      <c r="F883" s="263"/>
      <c r="G883" s="174"/>
      <c r="H883" s="250"/>
      <c r="I883" s="255"/>
      <c r="J883" s="251"/>
      <c r="K883" s="245"/>
      <c r="L883" s="141"/>
    </row>
    <row r="884" spans="2:12" ht="20.100000000000001" customHeight="1" x14ac:dyDescent="0.25">
      <c r="B884" s="71"/>
      <c r="C884" s="245"/>
      <c r="D884" s="252"/>
      <c r="E884" s="253"/>
      <c r="F884" s="254"/>
      <c r="G884" s="174"/>
      <c r="H884" s="250"/>
      <c r="I884" s="255"/>
      <c r="J884" s="251"/>
      <c r="K884" s="245" t="s">
        <v>298</v>
      </c>
      <c r="L884" s="141">
        <v>11402.5</v>
      </c>
    </row>
    <row r="885" spans="2:12" ht="20.100000000000001" customHeight="1" x14ac:dyDescent="0.25">
      <c r="B885" s="71"/>
      <c r="C885" s="245"/>
      <c r="D885" s="252"/>
      <c r="E885" s="253"/>
      <c r="F885" s="254"/>
      <c r="G885" s="174"/>
      <c r="H885" s="250"/>
      <c r="I885" s="255"/>
      <c r="J885" s="251"/>
      <c r="K885" s="245" t="s">
        <v>298</v>
      </c>
      <c r="L885" s="141">
        <v>11410.1</v>
      </c>
    </row>
    <row r="886" spans="2:12" ht="20.100000000000001" customHeight="1" x14ac:dyDescent="0.25">
      <c r="B886" s="71"/>
      <c r="C886" s="245"/>
      <c r="D886" s="252"/>
      <c r="E886" s="253"/>
      <c r="F886" s="254"/>
      <c r="G886" s="174"/>
      <c r="H886" s="250"/>
      <c r="I886" s="255"/>
      <c r="J886" s="251"/>
      <c r="K886" s="245" t="s">
        <v>298</v>
      </c>
      <c r="L886" s="141">
        <v>11413.8</v>
      </c>
    </row>
    <row r="887" spans="2:12" ht="20.100000000000001" customHeight="1" x14ac:dyDescent="0.25">
      <c r="B887" s="71"/>
      <c r="C887" s="245"/>
      <c r="D887" s="245"/>
      <c r="E887" s="245"/>
      <c r="F887" s="245"/>
      <c r="G887" s="174"/>
      <c r="H887" s="250"/>
      <c r="I887" s="255"/>
      <c r="J887" s="251"/>
      <c r="K887" s="245"/>
      <c r="L887" s="141"/>
    </row>
    <row r="888" spans="2:12" ht="20.100000000000001" customHeight="1" x14ac:dyDescent="0.25">
      <c r="B888" s="71"/>
      <c r="C888" s="245"/>
      <c r="D888" s="245"/>
      <c r="E888" s="245"/>
      <c r="F888" s="245"/>
      <c r="G888" s="174"/>
      <c r="H888" s="250"/>
      <c r="I888" s="255"/>
      <c r="J888" s="251"/>
      <c r="K888" s="245"/>
      <c r="L888" s="141"/>
    </row>
    <row r="889" spans="2:12" ht="20.100000000000001" customHeight="1" x14ac:dyDescent="0.25">
      <c r="B889" s="134"/>
      <c r="C889" s="135"/>
      <c r="D889" s="261"/>
      <c r="E889" s="262"/>
      <c r="F889" s="263"/>
      <c r="G889" s="174"/>
      <c r="H889" s="250"/>
      <c r="I889" s="255"/>
      <c r="J889" s="251"/>
      <c r="K889" s="245"/>
      <c r="L889" s="141"/>
    </row>
    <row r="890" spans="2:12" ht="20.100000000000001" customHeight="1" x14ac:dyDescent="0.25">
      <c r="B890" s="134"/>
      <c r="C890" s="135"/>
      <c r="D890" s="261"/>
      <c r="E890" s="262"/>
      <c r="F890" s="263"/>
      <c r="G890" s="174"/>
      <c r="H890" s="250"/>
      <c r="I890" s="255"/>
      <c r="J890" s="251"/>
      <c r="K890" s="245"/>
      <c r="L890" s="141"/>
    </row>
    <row r="891" spans="2:12" ht="20.100000000000001" customHeight="1" x14ac:dyDescent="0.25">
      <c r="B891" s="71"/>
      <c r="C891" s="245"/>
      <c r="D891" s="244">
        <v>0</v>
      </c>
      <c r="E891" s="244">
        <v>0</v>
      </c>
      <c r="F891" s="245"/>
      <c r="G891" s="174"/>
      <c r="H891" s="250"/>
      <c r="I891" s="255"/>
      <c r="J891" s="251"/>
      <c r="K891" s="245" t="s">
        <v>298</v>
      </c>
      <c r="L891" s="141">
        <v>11430.5</v>
      </c>
    </row>
    <row r="892" spans="2:12" ht="20.100000000000001" customHeight="1" x14ac:dyDescent="0.25">
      <c r="B892" s="71"/>
      <c r="C892" s="245"/>
      <c r="D892" s="252"/>
      <c r="E892" s="253"/>
      <c r="F892" s="254"/>
      <c r="G892" s="174"/>
      <c r="H892" s="250"/>
      <c r="I892" s="255"/>
      <c r="J892" s="251"/>
      <c r="K892" s="245" t="s">
        <v>298</v>
      </c>
      <c r="L892" s="141">
        <v>11449.7</v>
      </c>
    </row>
    <row r="893" spans="2:12" ht="20.100000000000001" customHeight="1" x14ac:dyDescent="0.25">
      <c r="B893" s="258"/>
      <c r="C893" s="259"/>
      <c r="D893" s="259"/>
      <c r="E893" s="259"/>
      <c r="F893" s="260"/>
      <c r="G893" s="174"/>
      <c r="H893" s="250"/>
      <c r="I893" s="255"/>
      <c r="J893" s="251"/>
      <c r="K893" s="245" t="s">
        <v>297</v>
      </c>
      <c r="L893" s="141"/>
    </row>
    <row r="894" spans="2:12" ht="20.100000000000001" customHeight="1" x14ac:dyDescent="0.25">
      <c r="B894" s="258"/>
      <c r="C894" s="259"/>
      <c r="D894" s="259"/>
      <c r="E894" s="259"/>
      <c r="F894" s="260"/>
      <c r="G894" s="174"/>
      <c r="H894" s="250"/>
      <c r="I894" s="255"/>
      <c r="J894" s="251"/>
      <c r="K894" s="245" t="s">
        <v>297</v>
      </c>
      <c r="L894" s="141"/>
    </row>
    <row r="895" spans="2:12" ht="20.100000000000001" customHeight="1" x14ac:dyDescent="0.25">
      <c r="B895" s="71"/>
      <c r="D895" s="245">
        <v>0.08</v>
      </c>
      <c r="E895" s="245">
        <v>0.48</v>
      </c>
      <c r="F895" s="245">
        <v>0.56000000000000005</v>
      </c>
      <c r="G895" s="174"/>
      <c r="H895" s="250"/>
      <c r="I895" s="255"/>
      <c r="J895" s="251"/>
      <c r="K895" s="245"/>
      <c r="L895" s="141"/>
    </row>
    <row r="896" spans="2:12" ht="20.100000000000001" customHeight="1" x14ac:dyDescent="0.25">
      <c r="B896" s="71"/>
      <c r="C896" s="245"/>
      <c r="D896" s="244">
        <v>0</v>
      </c>
      <c r="E896" s="245">
        <v>0.48</v>
      </c>
      <c r="F896" s="245">
        <v>0.56000000000000005</v>
      </c>
      <c r="G896" s="174"/>
      <c r="H896" s="244">
        <v>0</v>
      </c>
      <c r="I896" s="244">
        <v>0.37</v>
      </c>
      <c r="J896" s="245">
        <v>0.59</v>
      </c>
      <c r="K896" s="245" t="s">
        <v>298</v>
      </c>
      <c r="L896" s="141">
        <v>11476</v>
      </c>
    </row>
    <row r="897" spans="2:12" ht="20.100000000000001" customHeight="1" x14ac:dyDescent="0.25">
      <c r="B897" s="134"/>
      <c r="C897" s="135"/>
      <c r="D897" s="261"/>
      <c r="E897" s="262"/>
      <c r="F897" s="263"/>
      <c r="G897" s="174"/>
      <c r="H897" s="250"/>
      <c r="I897" s="255"/>
      <c r="J897" s="251"/>
      <c r="K897" s="245"/>
      <c r="L897" s="141"/>
    </row>
    <row r="898" spans="2:12" ht="20.100000000000001" customHeight="1" x14ac:dyDescent="0.25">
      <c r="B898" s="134"/>
      <c r="C898" s="135"/>
      <c r="D898" s="261"/>
      <c r="E898" s="262"/>
      <c r="F898" s="263"/>
      <c r="G898" s="174"/>
      <c r="H898" s="250"/>
      <c r="I898" s="255"/>
      <c r="J898" s="251"/>
      <c r="K898" s="245"/>
      <c r="L898" s="141"/>
    </row>
    <row r="899" spans="2:12" ht="20.100000000000001" customHeight="1" x14ac:dyDescent="0.25">
      <c r="B899" s="71"/>
      <c r="C899" s="245"/>
      <c r="D899" s="244">
        <v>0.05</v>
      </c>
      <c r="E899" s="245">
        <v>0.42</v>
      </c>
      <c r="F899" s="245">
        <v>0.39</v>
      </c>
      <c r="G899" s="174"/>
      <c r="H899" s="244">
        <v>0.02</v>
      </c>
      <c r="I899" s="244">
        <v>0.32</v>
      </c>
      <c r="J899" s="245">
        <v>0.39</v>
      </c>
      <c r="K899" s="245" t="s">
        <v>297</v>
      </c>
      <c r="L899" s="141"/>
    </row>
    <row r="900" spans="2:12" ht="20.100000000000001" customHeight="1" x14ac:dyDescent="0.25">
      <c r="B900" s="71"/>
      <c r="C900" s="245"/>
      <c r="D900" s="244">
        <v>0.04</v>
      </c>
      <c r="E900" s="245">
        <v>0.41</v>
      </c>
      <c r="F900" s="245">
        <v>0.44</v>
      </c>
      <c r="G900" s="174"/>
      <c r="H900" s="244">
        <v>0.03</v>
      </c>
      <c r="I900" s="244">
        <v>0.31</v>
      </c>
      <c r="J900" s="245">
        <v>0.36</v>
      </c>
      <c r="K900" s="245"/>
      <c r="L900" s="141"/>
    </row>
    <row r="901" spans="2:12" ht="20.100000000000001" customHeight="1" x14ac:dyDescent="0.25">
      <c r="B901" s="71"/>
      <c r="C901" s="245"/>
      <c r="D901" s="244">
        <v>0.05</v>
      </c>
      <c r="E901" s="245">
        <v>0.41</v>
      </c>
      <c r="F901" s="245">
        <v>0.59</v>
      </c>
      <c r="G901" s="174"/>
      <c r="H901" s="244">
        <v>0.01</v>
      </c>
      <c r="I901" s="244">
        <v>0.26</v>
      </c>
      <c r="J901" s="245">
        <v>0.45</v>
      </c>
      <c r="K901" s="245" t="s">
        <v>298</v>
      </c>
      <c r="L901" s="141">
        <v>11508</v>
      </c>
    </row>
    <row r="902" spans="2:12" ht="20.100000000000001" customHeight="1" x14ac:dyDescent="0.25">
      <c r="B902" s="71"/>
      <c r="C902" s="245"/>
      <c r="D902" s="244">
        <v>0.08</v>
      </c>
      <c r="E902" s="245">
        <v>0.38</v>
      </c>
      <c r="F902" s="245">
        <v>0.36</v>
      </c>
      <c r="G902" s="174"/>
      <c r="H902" s="244">
        <v>0.01</v>
      </c>
      <c r="I902" s="244">
        <v>0.28999999999999998</v>
      </c>
      <c r="J902" s="245">
        <v>0.26</v>
      </c>
      <c r="K902" s="245"/>
      <c r="L902" s="141"/>
    </row>
    <row r="903" spans="2:12" ht="20.100000000000001" customHeight="1" x14ac:dyDescent="0.25">
      <c r="B903" s="71"/>
      <c r="C903" s="245"/>
      <c r="D903" s="252"/>
      <c r="E903" s="253"/>
      <c r="F903" s="254"/>
      <c r="G903" s="174"/>
      <c r="H903" s="244"/>
      <c r="I903" s="244"/>
      <c r="J903" s="245"/>
      <c r="K903" s="245"/>
      <c r="L903" s="141"/>
    </row>
    <row r="904" spans="2:12" ht="20.100000000000001" customHeight="1" x14ac:dyDescent="0.25">
      <c r="B904" s="71"/>
      <c r="C904" s="245"/>
      <c r="D904" s="244">
        <v>0.02</v>
      </c>
      <c r="E904" s="245">
        <v>0.36</v>
      </c>
      <c r="F904" s="245">
        <v>0.34</v>
      </c>
      <c r="G904" s="174"/>
      <c r="H904" s="244">
        <v>0.01</v>
      </c>
      <c r="I904" s="244">
        <v>0.23</v>
      </c>
      <c r="J904" s="245">
        <v>0.2</v>
      </c>
      <c r="K904" s="245" t="s">
        <v>297</v>
      </c>
      <c r="L904" s="141"/>
    </row>
    <row r="905" spans="2:12" ht="20.100000000000001" customHeight="1" x14ac:dyDescent="0.25">
      <c r="B905" s="71"/>
      <c r="C905" s="245"/>
      <c r="D905" s="244">
        <v>0.01</v>
      </c>
      <c r="E905" s="245">
        <v>0.34</v>
      </c>
      <c r="F905" s="245">
        <v>0.37</v>
      </c>
      <c r="G905" s="174"/>
      <c r="H905" s="244">
        <v>0.01</v>
      </c>
      <c r="I905" s="244">
        <v>0.16</v>
      </c>
      <c r="J905" s="245">
        <v>0.2</v>
      </c>
      <c r="K905" s="245" t="s">
        <v>298</v>
      </c>
      <c r="L905" s="141">
        <v>11548.2</v>
      </c>
    </row>
    <row r="906" spans="2:12" ht="20.100000000000001" customHeight="1" x14ac:dyDescent="0.25">
      <c r="B906" s="71"/>
      <c r="C906" s="245"/>
      <c r="D906" s="244">
        <v>0.02</v>
      </c>
      <c r="E906" s="245">
        <v>0.38</v>
      </c>
      <c r="F906" s="245">
        <v>0.4</v>
      </c>
      <c r="G906" s="174"/>
      <c r="H906" s="244">
        <v>0.02</v>
      </c>
      <c r="I906" s="244">
        <v>0.24</v>
      </c>
      <c r="J906" s="245">
        <v>0.3</v>
      </c>
      <c r="K906" s="245" t="s">
        <v>297</v>
      </c>
      <c r="L906" s="141"/>
    </row>
    <row r="907" spans="2:12" ht="20.100000000000001" customHeight="1" x14ac:dyDescent="0.25">
      <c r="B907" s="71"/>
      <c r="C907" s="245"/>
      <c r="D907" s="244">
        <v>0.03</v>
      </c>
      <c r="E907" s="245">
        <v>0.37</v>
      </c>
      <c r="F907" s="245">
        <v>0.39</v>
      </c>
      <c r="G907" s="174"/>
      <c r="H907" s="244">
        <v>0.01</v>
      </c>
      <c r="I907" s="244">
        <v>0.22</v>
      </c>
      <c r="J907" s="245">
        <v>0.32</v>
      </c>
      <c r="K907" s="245" t="s">
        <v>298</v>
      </c>
      <c r="L907" s="141">
        <v>11555.6</v>
      </c>
    </row>
    <row r="908" spans="2:12" ht="20.100000000000001" customHeight="1" x14ac:dyDescent="0.25">
      <c r="B908" s="134"/>
      <c r="C908" s="135"/>
      <c r="D908" s="261"/>
      <c r="E908" s="262"/>
      <c r="F908" s="263"/>
      <c r="G908" s="174"/>
      <c r="H908" s="244"/>
      <c r="I908" s="244"/>
      <c r="J908" s="245"/>
      <c r="K908" s="245"/>
      <c r="L908" s="141"/>
    </row>
    <row r="909" spans="2:12" ht="20.100000000000001" customHeight="1" x14ac:dyDescent="0.25">
      <c r="B909" s="134"/>
      <c r="C909" s="135"/>
      <c r="D909" s="261"/>
      <c r="E909" s="262"/>
      <c r="F909" s="263"/>
      <c r="G909" s="174"/>
      <c r="H909" s="244"/>
      <c r="I909" s="244"/>
      <c r="J909" s="245"/>
      <c r="K909" s="245"/>
      <c r="L909" s="141"/>
    </row>
    <row r="910" spans="2:12" ht="20.100000000000001" customHeight="1" x14ac:dyDescent="0.25">
      <c r="B910" s="71"/>
      <c r="C910" s="245"/>
      <c r="D910" s="244">
        <v>0.02</v>
      </c>
      <c r="E910" s="245">
        <v>0.26</v>
      </c>
      <c r="F910" s="245">
        <v>0.33</v>
      </c>
      <c r="G910" s="174"/>
      <c r="H910" s="244">
        <v>0</v>
      </c>
      <c r="I910" s="244">
        <v>0</v>
      </c>
      <c r="J910" s="245">
        <v>0.11</v>
      </c>
      <c r="K910" s="245" t="s">
        <v>297</v>
      </c>
      <c r="L910" s="141"/>
    </row>
    <row r="911" spans="2:12" ht="20.100000000000001" customHeight="1" x14ac:dyDescent="0.25">
      <c r="B911" s="71"/>
      <c r="C911" s="245"/>
      <c r="D911" s="244">
        <v>0.01</v>
      </c>
      <c r="E911" s="245">
        <v>0.25</v>
      </c>
      <c r="F911" s="245">
        <v>0.37</v>
      </c>
      <c r="G911" s="174"/>
      <c r="H911" s="244">
        <v>0.01</v>
      </c>
      <c r="I911" s="244">
        <v>0</v>
      </c>
      <c r="J911" s="245">
        <v>0.12</v>
      </c>
      <c r="K911" s="245" t="s">
        <v>298</v>
      </c>
      <c r="L911" s="141">
        <v>11563.2</v>
      </c>
    </row>
    <row r="912" spans="2:12" ht="20.100000000000001" customHeight="1" x14ac:dyDescent="0.25">
      <c r="B912" s="71"/>
      <c r="C912" s="245"/>
      <c r="D912" s="244">
        <v>0.04</v>
      </c>
      <c r="E912" s="245">
        <v>0.06</v>
      </c>
      <c r="F912" s="245">
        <v>0.23</v>
      </c>
      <c r="G912" s="174"/>
      <c r="H912" s="244">
        <v>0</v>
      </c>
      <c r="I912" s="244">
        <v>0.01</v>
      </c>
      <c r="J912" s="245">
        <v>0.06</v>
      </c>
      <c r="K912" s="245"/>
      <c r="L912" s="141"/>
    </row>
    <row r="913" spans="2:12" ht="20.100000000000001" customHeight="1" x14ac:dyDescent="0.25">
      <c r="B913" s="71"/>
      <c r="C913" s="245"/>
      <c r="D913" s="244">
        <v>0</v>
      </c>
      <c r="E913" s="245">
        <v>0</v>
      </c>
      <c r="F913" s="245">
        <v>0.24</v>
      </c>
      <c r="G913" s="174"/>
      <c r="H913" s="244">
        <v>0</v>
      </c>
      <c r="I913" s="244">
        <v>0</v>
      </c>
      <c r="J913" s="245">
        <v>0.03</v>
      </c>
      <c r="K913" s="245" t="s">
        <v>297</v>
      </c>
      <c r="L913" s="141">
        <v>11569.3</v>
      </c>
    </row>
    <row r="914" spans="2:12" ht="20.100000000000001" customHeight="1" x14ac:dyDescent="0.25">
      <c r="B914" s="71"/>
      <c r="C914" s="245"/>
      <c r="D914" s="244">
        <v>0.04</v>
      </c>
      <c r="E914" s="245">
        <v>0.21</v>
      </c>
      <c r="F914" s="245">
        <v>0.21</v>
      </c>
      <c r="G914" s="174"/>
      <c r="H914" s="244">
        <v>0.01</v>
      </c>
      <c r="I914" s="244">
        <v>0.01</v>
      </c>
      <c r="J914" s="245">
        <v>0.04</v>
      </c>
      <c r="K914" s="245" t="s">
        <v>297</v>
      </c>
      <c r="L914" s="141"/>
    </row>
    <row r="915" spans="2:12" ht="20.100000000000001" customHeight="1" x14ac:dyDescent="0.25">
      <c r="B915" s="71"/>
      <c r="C915" s="245"/>
      <c r="D915" s="244">
        <v>0.05</v>
      </c>
      <c r="E915" s="245">
        <v>0.04</v>
      </c>
      <c r="F915" s="245">
        <v>0.04</v>
      </c>
      <c r="G915" s="174"/>
      <c r="H915" s="244">
        <v>0</v>
      </c>
      <c r="I915" s="244">
        <v>0.01</v>
      </c>
      <c r="J915" s="245">
        <v>0.04</v>
      </c>
      <c r="K915" s="245" t="s">
        <v>298</v>
      </c>
      <c r="L915" s="141">
        <v>11578.6</v>
      </c>
    </row>
    <row r="916" spans="2:12" ht="20.100000000000001" customHeight="1" x14ac:dyDescent="0.25">
      <c r="B916" s="71"/>
      <c r="C916" s="245"/>
      <c r="D916" s="244">
        <v>0.03</v>
      </c>
      <c r="E916" s="245">
        <v>0.46</v>
      </c>
      <c r="F916" s="245">
        <v>0.48</v>
      </c>
      <c r="G916" s="174"/>
      <c r="H916" s="250"/>
      <c r="I916" s="255"/>
      <c r="J916" s="255"/>
      <c r="K916" s="255"/>
      <c r="L916" s="251"/>
    </row>
    <row r="917" spans="2:12" ht="20.100000000000001" customHeight="1" x14ac:dyDescent="0.25">
      <c r="B917" s="71"/>
      <c r="C917" s="245"/>
      <c r="D917" s="250"/>
      <c r="E917" s="255"/>
      <c r="F917" s="251"/>
      <c r="G917" s="174"/>
      <c r="H917" s="250"/>
      <c r="I917" s="255"/>
      <c r="J917" s="255"/>
      <c r="K917" s="255"/>
      <c r="L917" s="140">
        <v>11581.2</v>
      </c>
    </row>
    <row r="918" spans="2:12" ht="20.100000000000001" customHeight="1" x14ac:dyDescent="0.25">
      <c r="B918" s="71"/>
      <c r="C918" s="245"/>
      <c r="D918" s="244">
        <v>0.02</v>
      </c>
      <c r="E918" s="245">
        <v>0.41</v>
      </c>
      <c r="F918" s="245">
        <v>0.44</v>
      </c>
      <c r="G918" s="174"/>
      <c r="H918" s="244">
        <v>0.02</v>
      </c>
      <c r="I918" s="244">
        <v>0.16</v>
      </c>
      <c r="J918" s="245">
        <v>0.22</v>
      </c>
      <c r="K918" s="245" t="s">
        <v>297</v>
      </c>
      <c r="L918" s="141"/>
    </row>
    <row r="919" spans="2:12" ht="20.100000000000001" customHeight="1" x14ac:dyDescent="0.25">
      <c r="B919" s="71"/>
      <c r="C919" s="245"/>
      <c r="D919" s="244">
        <v>0</v>
      </c>
      <c r="E919" s="245">
        <v>0.39</v>
      </c>
      <c r="F919" s="245">
        <v>0.46</v>
      </c>
      <c r="G919" s="174"/>
      <c r="H919" s="244">
        <v>0</v>
      </c>
      <c r="I919" s="244">
        <v>0.25</v>
      </c>
      <c r="J919" s="245">
        <v>0.3</v>
      </c>
      <c r="K919" s="245" t="s">
        <v>298</v>
      </c>
      <c r="L919" s="141">
        <v>11586</v>
      </c>
    </row>
    <row r="920" spans="2:12" ht="20.100000000000001" customHeight="1" x14ac:dyDescent="0.25">
      <c r="B920" s="134"/>
      <c r="C920" s="135"/>
      <c r="D920" s="261"/>
      <c r="E920" s="262"/>
      <c r="F920" s="263"/>
      <c r="G920" s="174"/>
      <c r="H920" s="244"/>
      <c r="I920" s="244"/>
      <c r="J920" s="245"/>
      <c r="K920" s="245"/>
      <c r="L920" s="141"/>
    </row>
    <row r="921" spans="2:12" ht="20.100000000000001" customHeight="1" x14ac:dyDescent="0.25">
      <c r="B921" s="134"/>
      <c r="C921" s="135"/>
      <c r="D921" s="261"/>
      <c r="E921" s="262"/>
      <c r="F921" s="263"/>
      <c r="G921" s="174"/>
      <c r="H921" s="244"/>
      <c r="I921" s="244"/>
      <c r="J921" s="245"/>
      <c r="K921" s="245"/>
      <c r="L921" s="141"/>
    </row>
    <row r="922" spans="2:12" ht="20.100000000000001" customHeight="1" x14ac:dyDescent="0.25">
      <c r="B922" s="71"/>
      <c r="C922" s="245"/>
      <c r="D922" s="244">
        <v>0</v>
      </c>
      <c r="E922" s="245">
        <v>0.32</v>
      </c>
      <c r="F922" s="245">
        <v>0.32</v>
      </c>
      <c r="G922" s="174"/>
      <c r="H922" s="244">
        <v>0</v>
      </c>
      <c r="I922" s="244">
        <v>0.05</v>
      </c>
      <c r="J922" s="245">
        <v>7.0000000000000007E-2</v>
      </c>
      <c r="K922" s="245"/>
      <c r="L922" s="141"/>
    </row>
    <row r="923" spans="2:12" ht="20.100000000000001" customHeight="1" x14ac:dyDescent="0.25">
      <c r="B923" s="71"/>
      <c r="C923" s="245"/>
      <c r="D923" s="244">
        <v>0.04</v>
      </c>
      <c r="E923" s="245">
        <v>0.33</v>
      </c>
      <c r="F923" s="245">
        <v>0.16</v>
      </c>
      <c r="G923" s="174"/>
      <c r="H923" s="244">
        <v>0.01</v>
      </c>
      <c r="I923" s="244">
        <v>0.04</v>
      </c>
      <c r="J923" s="245">
        <v>0.11</v>
      </c>
      <c r="K923" s="245" t="s">
        <v>298</v>
      </c>
      <c r="L923" s="141">
        <v>11590.6</v>
      </c>
    </row>
    <row r="924" spans="2:12" ht="20.100000000000001" customHeight="1" x14ac:dyDescent="0.25">
      <c r="B924" s="71"/>
      <c r="C924" s="245"/>
      <c r="D924" s="244">
        <v>0.01</v>
      </c>
      <c r="E924" s="245">
        <v>0.34</v>
      </c>
      <c r="F924" s="245">
        <v>0.32</v>
      </c>
      <c r="G924" s="174"/>
      <c r="H924" s="244">
        <v>0</v>
      </c>
      <c r="I924" s="244">
        <v>0.05</v>
      </c>
      <c r="J924" s="245">
        <v>0.06</v>
      </c>
      <c r="K924" s="245" t="s">
        <v>297</v>
      </c>
      <c r="L924" s="141">
        <v>11593.3</v>
      </c>
    </row>
    <row r="925" spans="2:12" ht="20.100000000000001" customHeight="1" x14ac:dyDescent="0.25">
      <c r="B925" s="71"/>
      <c r="C925" s="245"/>
      <c r="D925" s="244">
        <v>0</v>
      </c>
      <c r="E925" s="245">
        <v>0.31</v>
      </c>
      <c r="F925" s="245">
        <v>0.37</v>
      </c>
      <c r="G925" s="174"/>
      <c r="H925" s="244">
        <v>0</v>
      </c>
      <c r="I925" s="244">
        <v>0</v>
      </c>
      <c r="J925" s="245">
        <v>0.04</v>
      </c>
      <c r="K925" s="245" t="s">
        <v>298</v>
      </c>
      <c r="L925" s="141">
        <v>11598.9</v>
      </c>
    </row>
    <row r="926" spans="2:12" ht="20.100000000000001" customHeight="1" x14ac:dyDescent="0.25">
      <c r="B926" s="142"/>
      <c r="C926" s="143"/>
      <c r="D926" s="144">
        <v>0.01</v>
      </c>
      <c r="E926" s="143">
        <v>0.27</v>
      </c>
      <c r="F926" s="143">
        <v>0.37</v>
      </c>
      <c r="G926" s="174"/>
      <c r="H926" s="244">
        <v>0</v>
      </c>
      <c r="I926" s="244">
        <v>0</v>
      </c>
      <c r="J926" s="245">
        <v>7.0000000000000007E-2</v>
      </c>
      <c r="K926" s="245" t="s">
        <v>298</v>
      </c>
      <c r="L926" s="141">
        <v>11604.1</v>
      </c>
    </row>
    <row r="927" spans="2:12" ht="20.100000000000001" customHeight="1" x14ac:dyDescent="0.25">
      <c r="B927" s="145"/>
      <c r="C927" s="146"/>
      <c r="D927" s="147">
        <v>0</v>
      </c>
      <c r="E927" s="146">
        <v>0.25</v>
      </c>
      <c r="F927" s="146">
        <v>0.33</v>
      </c>
      <c r="G927" s="174"/>
      <c r="H927" s="244">
        <v>0</v>
      </c>
      <c r="I927" s="244">
        <v>0.02</v>
      </c>
      <c r="J927" s="245">
        <v>0.13</v>
      </c>
      <c r="K927" s="245" t="s">
        <v>298</v>
      </c>
      <c r="L927" s="141">
        <v>11609.3</v>
      </c>
    </row>
    <row r="928" spans="2:12" ht="20.100000000000001" customHeight="1" x14ac:dyDescent="0.25">
      <c r="B928" s="134"/>
      <c r="C928" s="135"/>
      <c r="D928" s="261"/>
      <c r="E928" s="262"/>
      <c r="F928" s="263"/>
      <c r="G928" s="174"/>
      <c r="H928" s="244"/>
      <c r="I928" s="244"/>
      <c r="J928" s="245"/>
      <c r="K928" s="245"/>
      <c r="L928" s="141"/>
    </row>
    <row r="929" spans="2:12" ht="20.100000000000001" customHeight="1" x14ac:dyDescent="0.25">
      <c r="B929" s="134"/>
      <c r="C929" s="135"/>
      <c r="D929" s="261"/>
      <c r="E929" s="262"/>
      <c r="F929" s="263"/>
      <c r="G929" s="174"/>
      <c r="H929" s="244"/>
      <c r="I929" s="244"/>
      <c r="J929" s="245"/>
      <c r="K929" s="245"/>
      <c r="L929" s="141"/>
    </row>
    <row r="930" spans="2:12" ht="20.100000000000001" customHeight="1" x14ac:dyDescent="0.25">
      <c r="B930" s="71"/>
      <c r="C930" s="245"/>
      <c r="D930" s="244">
        <v>0.02</v>
      </c>
      <c r="E930" s="245">
        <v>0.08</v>
      </c>
      <c r="F930" s="245">
        <v>0.08</v>
      </c>
      <c r="G930" s="174"/>
      <c r="H930" s="244">
        <v>0</v>
      </c>
      <c r="I930" s="244">
        <v>0</v>
      </c>
      <c r="J930" s="245">
        <v>0.1</v>
      </c>
      <c r="K930" s="245" t="s">
        <v>297</v>
      </c>
      <c r="L930" s="141"/>
    </row>
    <row r="931" spans="2:12" ht="20.100000000000001" customHeight="1" x14ac:dyDescent="0.25">
      <c r="B931" s="71"/>
      <c r="C931" s="245"/>
      <c r="D931" s="244">
        <v>0.01</v>
      </c>
      <c r="E931" s="245">
        <v>0.05</v>
      </c>
      <c r="F931" s="245">
        <v>0.17</v>
      </c>
      <c r="G931" s="174"/>
      <c r="H931" s="244">
        <v>0.01</v>
      </c>
      <c r="I931" s="244">
        <v>0.02</v>
      </c>
      <c r="J931" s="245">
        <v>0.06</v>
      </c>
      <c r="K931" s="245"/>
      <c r="L931" s="141"/>
    </row>
    <row r="932" spans="2:12" ht="20.100000000000001" customHeight="1" x14ac:dyDescent="0.25">
      <c r="B932" s="71"/>
      <c r="C932" s="245"/>
      <c r="D932" s="250"/>
      <c r="E932" s="255"/>
      <c r="F932" s="251"/>
      <c r="G932" s="174"/>
      <c r="H932" s="244"/>
      <c r="I932" s="244"/>
      <c r="J932" s="245"/>
      <c r="K932" s="245"/>
      <c r="L932" s="141"/>
    </row>
    <row r="933" spans="2:12" ht="20.100000000000001" customHeight="1" x14ac:dyDescent="0.25">
      <c r="B933" s="71"/>
      <c r="C933" s="245"/>
      <c r="D933" s="238">
        <v>0.01</v>
      </c>
      <c r="E933" s="239">
        <v>0.37</v>
      </c>
      <c r="F933" s="240">
        <v>0.37</v>
      </c>
      <c r="G933" s="174"/>
      <c r="H933" s="250"/>
      <c r="I933" s="255"/>
      <c r="J933" s="251"/>
      <c r="K933" s="245" t="s">
        <v>298</v>
      </c>
      <c r="L933" s="141">
        <v>11617.3</v>
      </c>
    </row>
    <row r="934" spans="2:12" ht="20.100000000000001" customHeight="1" x14ac:dyDescent="0.25">
      <c r="B934" s="71"/>
      <c r="C934" s="245"/>
      <c r="D934" s="244">
        <v>0.05</v>
      </c>
      <c r="E934" s="245">
        <v>0.28000000000000003</v>
      </c>
      <c r="F934" s="245">
        <v>0.28000000000000003</v>
      </c>
      <c r="G934" s="174"/>
      <c r="H934" s="244">
        <v>0</v>
      </c>
      <c r="I934" s="244">
        <v>0.01</v>
      </c>
      <c r="J934" s="245">
        <v>0.05</v>
      </c>
      <c r="K934" s="252" t="s">
        <v>217</v>
      </c>
      <c r="L934" s="254"/>
    </row>
    <row r="935" spans="2:12" ht="20.100000000000001" customHeight="1" x14ac:dyDescent="0.25">
      <c r="B935" s="71"/>
      <c r="C935" s="245"/>
      <c r="D935" s="250"/>
      <c r="E935" s="255"/>
      <c r="F935" s="251"/>
      <c r="G935" s="174"/>
      <c r="H935" s="244">
        <v>0</v>
      </c>
      <c r="I935" s="244">
        <v>0</v>
      </c>
      <c r="J935" s="245">
        <v>0.03</v>
      </c>
      <c r="K935" s="252" t="s">
        <v>218</v>
      </c>
      <c r="L935" s="254"/>
    </row>
    <row r="936" spans="2:12" ht="20.100000000000001" customHeight="1" x14ac:dyDescent="0.25">
      <c r="B936" s="71"/>
      <c r="C936" s="245"/>
      <c r="D936" s="250"/>
      <c r="E936" s="255"/>
      <c r="F936" s="251"/>
      <c r="G936" s="174"/>
      <c r="H936" s="250"/>
      <c r="I936" s="255"/>
      <c r="J936" s="251"/>
      <c r="K936" s="245"/>
      <c r="L936" s="245">
        <v>11623.8</v>
      </c>
    </row>
    <row r="937" spans="2:12" ht="20.100000000000001" customHeight="1" x14ac:dyDescent="0.25">
      <c r="B937" s="71"/>
      <c r="C937" s="245"/>
      <c r="D937" s="244">
        <v>0</v>
      </c>
      <c r="E937" s="245">
        <v>0.13</v>
      </c>
      <c r="F937" s="245">
        <v>0.26</v>
      </c>
      <c r="G937" s="174"/>
      <c r="H937" s="244">
        <v>0</v>
      </c>
      <c r="I937" s="244">
        <v>0.01</v>
      </c>
      <c r="J937" s="245">
        <v>0.15</v>
      </c>
      <c r="K937" s="252" t="s">
        <v>217</v>
      </c>
      <c r="L937" s="254"/>
    </row>
    <row r="938" spans="2:12" ht="20.100000000000001" customHeight="1" x14ac:dyDescent="0.25">
      <c r="B938" s="71"/>
      <c r="C938" s="245"/>
      <c r="D938" s="244">
        <v>0</v>
      </c>
      <c r="E938" s="245">
        <v>0.12</v>
      </c>
      <c r="F938" s="245">
        <v>0.18</v>
      </c>
      <c r="G938" s="174"/>
      <c r="H938" s="244">
        <v>0</v>
      </c>
      <c r="I938" s="244">
        <v>0.01</v>
      </c>
      <c r="J938" s="245">
        <v>0.09</v>
      </c>
      <c r="K938" s="245" t="s">
        <v>297</v>
      </c>
      <c r="L938" s="141">
        <v>11630.1</v>
      </c>
    </row>
    <row r="939" spans="2:12" ht="20.100000000000001" customHeight="1" x14ac:dyDescent="0.25">
      <c r="B939" s="71"/>
      <c r="C939" s="245"/>
      <c r="D939" s="244">
        <v>0.01</v>
      </c>
      <c r="E939" s="245">
        <v>0.14000000000000001</v>
      </c>
      <c r="F939" s="245">
        <v>0.17</v>
      </c>
      <c r="G939" s="174"/>
      <c r="H939" s="244">
        <v>0</v>
      </c>
      <c r="I939" s="244">
        <v>0.01</v>
      </c>
      <c r="J939" s="245">
        <v>0.15</v>
      </c>
      <c r="K939" s="245" t="s">
        <v>298</v>
      </c>
      <c r="L939" s="141">
        <v>11639</v>
      </c>
    </row>
    <row r="940" spans="2:12" ht="20.100000000000001" customHeight="1" x14ac:dyDescent="0.25">
      <c r="B940" s="71"/>
      <c r="C940" s="245"/>
      <c r="D940" s="244">
        <v>0</v>
      </c>
      <c r="E940" s="245">
        <v>7.0000000000000007E-2</v>
      </c>
      <c r="F940" s="245">
        <v>0.17</v>
      </c>
      <c r="G940" s="174"/>
      <c r="H940" s="244">
        <v>0</v>
      </c>
      <c r="I940" s="244">
        <v>0</v>
      </c>
      <c r="J940" s="245">
        <v>0.09</v>
      </c>
      <c r="K940" s="245" t="s">
        <v>297</v>
      </c>
      <c r="L940" s="141">
        <v>11640.2</v>
      </c>
    </row>
    <row r="941" spans="2:12" ht="20.100000000000001" customHeight="1" x14ac:dyDescent="0.25">
      <c r="B941" s="134"/>
      <c r="C941" s="135"/>
      <c r="D941" s="261"/>
      <c r="E941" s="262"/>
      <c r="F941" s="263"/>
      <c r="G941" s="174"/>
      <c r="H941" s="244"/>
      <c r="I941" s="244"/>
      <c r="J941" s="245"/>
      <c r="K941" s="245"/>
      <c r="L941" s="141"/>
    </row>
    <row r="942" spans="2:12" ht="20.100000000000001" customHeight="1" x14ac:dyDescent="0.25">
      <c r="B942" s="134"/>
      <c r="C942" s="135"/>
      <c r="D942" s="261"/>
      <c r="E942" s="262"/>
      <c r="F942" s="263"/>
      <c r="G942" s="174"/>
      <c r="H942" s="244"/>
      <c r="I942" s="244"/>
      <c r="J942" s="245"/>
      <c r="K942" s="245"/>
      <c r="L942" s="141"/>
    </row>
    <row r="943" spans="2:12" ht="20.100000000000001" customHeight="1" x14ac:dyDescent="0.25">
      <c r="B943" s="134"/>
      <c r="C943" s="135"/>
      <c r="D943" s="261"/>
      <c r="E943" s="262"/>
      <c r="F943" s="263"/>
      <c r="G943" s="174"/>
      <c r="H943" s="244"/>
      <c r="I943" s="244"/>
      <c r="J943" s="245"/>
      <c r="K943" s="245"/>
      <c r="L943" s="141"/>
    </row>
    <row r="944" spans="2:12" ht="20.100000000000001" customHeight="1" x14ac:dyDescent="0.25">
      <c r="B944" s="71"/>
      <c r="C944" s="245"/>
      <c r="D944" s="244">
        <v>0.01</v>
      </c>
      <c r="E944" s="245">
        <v>0.02</v>
      </c>
      <c r="F944" s="245">
        <v>0.02</v>
      </c>
      <c r="G944" s="174"/>
      <c r="H944" s="244">
        <v>0</v>
      </c>
      <c r="I944" s="244">
        <v>0.01</v>
      </c>
      <c r="J944" s="245">
        <v>0.04</v>
      </c>
      <c r="K944" s="252" t="s">
        <v>217</v>
      </c>
      <c r="L944" s="254"/>
    </row>
    <row r="945" spans="2:12" ht="20.100000000000001" customHeight="1" x14ac:dyDescent="0.25">
      <c r="B945" s="71"/>
      <c r="C945" s="245"/>
      <c r="D945" s="244">
        <v>0</v>
      </c>
      <c r="E945" s="245">
        <v>0.02</v>
      </c>
      <c r="F945" s="245">
        <v>0.16</v>
      </c>
      <c r="G945" s="174"/>
      <c r="H945" s="244">
        <v>0</v>
      </c>
      <c r="I945" s="244">
        <v>0.02</v>
      </c>
      <c r="J945" s="245">
        <v>0.12</v>
      </c>
      <c r="K945" s="245" t="s">
        <v>298</v>
      </c>
      <c r="L945" s="141">
        <v>11659.5</v>
      </c>
    </row>
    <row r="946" spans="2:12" ht="20.100000000000001" customHeight="1" x14ac:dyDescent="0.25">
      <c r="B946" s="71"/>
      <c r="C946" s="245"/>
      <c r="D946" s="244">
        <v>0</v>
      </c>
      <c r="E946" s="244">
        <v>0</v>
      </c>
      <c r="F946" s="245">
        <v>0.02</v>
      </c>
      <c r="G946" s="174"/>
      <c r="H946" s="244">
        <v>0</v>
      </c>
      <c r="I946" s="244">
        <v>0.02</v>
      </c>
      <c r="J946" s="245">
        <v>0.02</v>
      </c>
      <c r="K946" s="245" t="s">
        <v>297</v>
      </c>
      <c r="L946" s="141"/>
    </row>
    <row r="947" spans="2:12" ht="20.100000000000001" customHeight="1" x14ac:dyDescent="0.25">
      <c r="B947" s="71"/>
      <c r="C947" s="245"/>
      <c r="D947" s="244">
        <v>0</v>
      </c>
      <c r="E947" s="244">
        <v>0</v>
      </c>
      <c r="F947" s="245">
        <v>0.17</v>
      </c>
      <c r="G947" s="174"/>
      <c r="H947" s="244">
        <v>0</v>
      </c>
      <c r="I947" s="244">
        <v>0.02</v>
      </c>
      <c r="J947" s="245">
        <v>0.15</v>
      </c>
      <c r="K947" s="245" t="s">
        <v>298</v>
      </c>
      <c r="L947" s="141">
        <v>11665.2</v>
      </c>
    </row>
    <row r="948" spans="2:12" ht="20.100000000000001" customHeight="1" x14ac:dyDescent="0.25">
      <c r="B948" s="71"/>
      <c r="C948" s="245"/>
      <c r="D948" s="244">
        <v>0</v>
      </c>
      <c r="E948" s="244">
        <v>0</v>
      </c>
      <c r="F948" s="244">
        <v>0.1</v>
      </c>
      <c r="G948" s="174"/>
      <c r="H948" s="244">
        <v>0</v>
      </c>
      <c r="I948" s="244">
        <v>0</v>
      </c>
      <c r="J948" s="245">
        <v>0.13</v>
      </c>
      <c r="K948" s="245" t="s">
        <v>297</v>
      </c>
      <c r="L948" s="141"/>
    </row>
    <row r="949" spans="2:12" ht="20.100000000000001" customHeight="1" x14ac:dyDescent="0.25">
      <c r="B949" s="71"/>
      <c r="C949" s="245"/>
      <c r="D949" s="250"/>
      <c r="E949" s="255"/>
      <c r="F949" s="251"/>
      <c r="G949" s="171"/>
      <c r="H949" s="244"/>
      <c r="I949" s="244"/>
      <c r="J949" s="244"/>
      <c r="K949" s="245"/>
      <c r="L949" s="141"/>
    </row>
    <row r="950" spans="2:12" ht="20.100000000000001" customHeight="1" x14ac:dyDescent="0.25">
      <c r="B950" s="71"/>
      <c r="C950" s="245"/>
      <c r="D950" s="244">
        <v>0.01</v>
      </c>
      <c r="E950" s="244">
        <v>0.3</v>
      </c>
      <c r="F950" s="244">
        <v>0.31</v>
      </c>
      <c r="G950" s="171"/>
      <c r="H950" s="244">
        <v>0</v>
      </c>
      <c r="I950" s="244">
        <v>0.81</v>
      </c>
      <c r="J950" s="244">
        <v>0.05</v>
      </c>
      <c r="K950" s="245" t="s">
        <v>298</v>
      </c>
      <c r="L950" s="141">
        <v>11680</v>
      </c>
    </row>
    <row r="951" spans="2:12" ht="20.100000000000001" customHeight="1" x14ac:dyDescent="0.25">
      <c r="B951" s="71"/>
      <c r="C951" s="245"/>
      <c r="D951" s="244">
        <v>0.01</v>
      </c>
      <c r="E951" s="244">
        <v>0.23</v>
      </c>
      <c r="F951" s="244">
        <v>0.21</v>
      </c>
      <c r="G951" s="171"/>
      <c r="H951" s="244">
        <v>0.02</v>
      </c>
      <c r="I951" s="244">
        <v>0.02</v>
      </c>
      <c r="J951" s="244">
        <v>0.01</v>
      </c>
      <c r="K951" s="245" t="s">
        <v>297</v>
      </c>
      <c r="L951" s="141"/>
    </row>
    <row r="952" spans="2:12" ht="20.100000000000001" customHeight="1" x14ac:dyDescent="0.25">
      <c r="B952" s="71"/>
      <c r="D952" s="245">
        <v>0.03</v>
      </c>
      <c r="E952" s="244">
        <v>0.18</v>
      </c>
      <c r="F952" s="244">
        <v>0.2</v>
      </c>
      <c r="G952" s="171"/>
      <c r="H952" s="244">
        <v>0</v>
      </c>
      <c r="I952" s="244">
        <v>0.01</v>
      </c>
      <c r="J952" s="244">
        <v>0.05</v>
      </c>
      <c r="K952" s="245" t="s">
        <v>298</v>
      </c>
      <c r="L952" s="141">
        <v>11690</v>
      </c>
    </row>
    <row r="953" spans="2:12" ht="20.100000000000001" customHeight="1" x14ac:dyDescent="0.25">
      <c r="B953" s="71"/>
      <c r="C953" s="245"/>
      <c r="D953" s="244">
        <v>0.02</v>
      </c>
      <c r="E953" s="244">
        <v>0.15</v>
      </c>
      <c r="F953" s="244">
        <v>0.13</v>
      </c>
      <c r="G953" s="171"/>
      <c r="H953" s="244">
        <v>0.02</v>
      </c>
      <c r="I953" s="244">
        <v>0.02</v>
      </c>
      <c r="J953" s="244">
        <v>0.02</v>
      </c>
      <c r="K953" s="245" t="s">
        <v>297</v>
      </c>
      <c r="L953" s="141"/>
    </row>
    <row r="954" spans="2:12" ht="20.100000000000001" customHeight="1" x14ac:dyDescent="0.25">
      <c r="B954" s="71"/>
      <c r="C954" s="245"/>
      <c r="D954" s="244">
        <v>0.04</v>
      </c>
      <c r="E954" s="244">
        <v>0.11</v>
      </c>
      <c r="F954" s="244">
        <v>0.35</v>
      </c>
      <c r="G954" s="171"/>
      <c r="H954" s="244">
        <v>0.02</v>
      </c>
      <c r="I954" s="244">
        <v>0.02</v>
      </c>
      <c r="J954" s="244">
        <v>0.15</v>
      </c>
      <c r="K954" s="245" t="s">
        <v>298</v>
      </c>
      <c r="L954" s="141">
        <v>11697.2</v>
      </c>
    </row>
    <row r="955" spans="2:12" ht="20.100000000000001" customHeight="1" x14ac:dyDescent="0.25">
      <c r="B955" s="134"/>
      <c r="C955" s="135"/>
      <c r="D955" s="261"/>
      <c r="E955" s="262"/>
      <c r="F955" s="263"/>
      <c r="G955" s="171"/>
      <c r="H955" s="244"/>
      <c r="I955" s="244"/>
      <c r="J955" s="244"/>
      <c r="K955" s="245"/>
      <c r="L955" s="141"/>
    </row>
    <row r="956" spans="2:12" ht="20.100000000000001" customHeight="1" x14ac:dyDescent="0.25">
      <c r="B956" s="134"/>
      <c r="C956" s="135"/>
      <c r="D956" s="261"/>
      <c r="E956" s="262"/>
      <c r="F956" s="263"/>
      <c r="G956" s="171"/>
      <c r="H956" s="244"/>
      <c r="I956" s="244"/>
      <c r="J956" s="244"/>
      <c r="K956" s="245"/>
      <c r="L956" s="141"/>
    </row>
    <row r="957" spans="2:12" ht="20.100000000000001" customHeight="1" x14ac:dyDescent="0.25">
      <c r="B957" s="71"/>
      <c r="D957" s="245">
        <v>0.01</v>
      </c>
      <c r="E957" s="244">
        <v>0.03</v>
      </c>
      <c r="F957" s="244">
        <v>0.13</v>
      </c>
      <c r="G957" s="171"/>
      <c r="H957" s="244">
        <v>0</v>
      </c>
      <c r="I957" s="244">
        <v>0</v>
      </c>
      <c r="J957" s="244">
        <v>0.1</v>
      </c>
      <c r="K957" s="245" t="s">
        <v>297</v>
      </c>
      <c r="L957" s="141"/>
    </row>
    <row r="958" spans="2:12" ht="20.100000000000001" customHeight="1" x14ac:dyDescent="0.25">
      <c r="B958" s="71"/>
      <c r="C958" s="245"/>
      <c r="D958" s="244">
        <v>0</v>
      </c>
      <c r="E958" s="244">
        <v>0.02</v>
      </c>
      <c r="F958" s="244">
        <v>0.26</v>
      </c>
      <c r="G958" s="171"/>
      <c r="H958" s="244">
        <v>0</v>
      </c>
      <c r="I958" s="244">
        <v>0</v>
      </c>
      <c r="J958" s="244">
        <v>0.02</v>
      </c>
      <c r="K958" s="245" t="s">
        <v>298</v>
      </c>
      <c r="L958" s="141">
        <v>11702.1</v>
      </c>
    </row>
    <row r="959" spans="2:12" ht="20.100000000000001" customHeight="1" x14ac:dyDescent="0.25">
      <c r="B959" s="71"/>
      <c r="C959" s="245"/>
      <c r="D959" s="244">
        <v>0</v>
      </c>
      <c r="E959" s="244">
        <v>0.02</v>
      </c>
      <c r="F959" s="244">
        <v>0.13</v>
      </c>
      <c r="G959" s="171"/>
      <c r="H959" s="244">
        <v>0</v>
      </c>
      <c r="I959" s="244">
        <v>0.02</v>
      </c>
      <c r="J959" s="244">
        <v>0.08</v>
      </c>
      <c r="K959" s="245" t="s">
        <v>297</v>
      </c>
      <c r="L959" s="141"/>
    </row>
    <row r="960" spans="2:12" ht="20.100000000000001" customHeight="1" x14ac:dyDescent="0.25">
      <c r="B960" s="71"/>
      <c r="C960" s="245"/>
      <c r="D960" s="244">
        <v>0</v>
      </c>
      <c r="E960" s="244">
        <v>0.01</v>
      </c>
      <c r="F960" s="244">
        <v>7.0000000000000007E-2</v>
      </c>
      <c r="G960" s="171"/>
      <c r="H960" s="244">
        <v>0</v>
      </c>
      <c r="I960" s="244">
        <v>0</v>
      </c>
      <c r="J960" s="244">
        <v>0.09</v>
      </c>
      <c r="K960" s="245" t="s">
        <v>298</v>
      </c>
      <c r="L960" s="141">
        <v>11705.7</v>
      </c>
    </row>
    <row r="961" spans="2:12" ht="20.100000000000001" customHeight="1" x14ac:dyDescent="0.25">
      <c r="B961" s="71"/>
      <c r="C961" s="245"/>
      <c r="D961" s="244">
        <v>0.01</v>
      </c>
      <c r="E961" s="244">
        <v>0.01</v>
      </c>
      <c r="F961" s="244">
        <v>0.02</v>
      </c>
      <c r="G961" s="171"/>
      <c r="H961" s="244">
        <v>0.02</v>
      </c>
      <c r="I961" s="244">
        <v>0</v>
      </c>
      <c r="J961" s="244">
        <v>0</v>
      </c>
      <c r="K961" s="245" t="s">
        <v>297</v>
      </c>
      <c r="L961" s="141"/>
    </row>
    <row r="962" spans="2:12" ht="20.100000000000001" customHeight="1" x14ac:dyDescent="0.25">
      <c r="B962" s="71"/>
      <c r="C962" s="252"/>
      <c r="D962" s="253"/>
      <c r="E962" s="253"/>
      <c r="F962" s="254"/>
      <c r="G962" s="171"/>
      <c r="H962" s="244"/>
      <c r="I962" s="244"/>
      <c r="J962" s="244"/>
      <c r="K962" s="245"/>
      <c r="L962" s="141"/>
    </row>
    <row r="963" spans="2:12" ht="20.100000000000001" customHeight="1" x14ac:dyDescent="0.25">
      <c r="B963" s="71"/>
      <c r="C963" s="245"/>
      <c r="D963" s="244">
        <v>0.02</v>
      </c>
      <c r="E963" s="244">
        <v>0.3</v>
      </c>
      <c r="F963" s="244">
        <v>0.49</v>
      </c>
      <c r="G963" s="171"/>
      <c r="H963" s="250"/>
      <c r="I963" s="255"/>
      <c r="J963" s="251"/>
      <c r="K963" s="245" t="s">
        <v>298</v>
      </c>
      <c r="L963" s="141">
        <v>11727.9</v>
      </c>
    </row>
    <row r="964" spans="2:12" ht="20.100000000000001" customHeight="1" x14ac:dyDescent="0.25">
      <c r="B964" s="71"/>
      <c r="C964" s="245"/>
      <c r="D964" s="244">
        <v>0.01</v>
      </c>
      <c r="E964" s="244">
        <v>0.22</v>
      </c>
      <c r="F964" s="244">
        <v>0.21</v>
      </c>
      <c r="G964" s="171"/>
      <c r="H964" s="244">
        <v>0.02</v>
      </c>
      <c r="I964" s="244">
        <v>0</v>
      </c>
      <c r="J964" s="244">
        <v>0</v>
      </c>
      <c r="K964" s="245" t="s">
        <v>297</v>
      </c>
      <c r="L964" s="141"/>
    </row>
    <row r="965" spans="2:12" ht="20.100000000000001" customHeight="1" x14ac:dyDescent="0.25">
      <c r="B965" s="71"/>
      <c r="C965" s="245"/>
      <c r="D965" s="244">
        <v>0.01</v>
      </c>
      <c r="E965" s="244">
        <v>0.18</v>
      </c>
      <c r="F965" s="244">
        <v>0.2</v>
      </c>
      <c r="G965" s="171"/>
      <c r="H965" s="244">
        <v>0</v>
      </c>
      <c r="I965" s="244">
        <v>0.01</v>
      </c>
      <c r="J965" s="244">
        <v>0.16</v>
      </c>
      <c r="K965" s="245" t="s">
        <v>298</v>
      </c>
      <c r="L965" s="141">
        <v>11738.2</v>
      </c>
    </row>
    <row r="966" spans="2:12" ht="20.100000000000001" customHeight="1" x14ac:dyDescent="0.25">
      <c r="B966" s="71"/>
      <c r="C966" s="245"/>
      <c r="D966" s="244">
        <v>0</v>
      </c>
      <c r="E966" s="244">
        <v>0.09</v>
      </c>
      <c r="F966" s="244">
        <v>0.12</v>
      </c>
      <c r="G966" s="171"/>
      <c r="H966" s="244">
        <v>0</v>
      </c>
      <c r="I966" s="244">
        <v>0.01</v>
      </c>
      <c r="J966" s="244">
        <v>0.03</v>
      </c>
      <c r="K966" s="245" t="s">
        <v>298</v>
      </c>
      <c r="L966" s="141">
        <v>11750</v>
      </c>
    </row>
    <row r="967" spans="2:12" ht="20.100000000000001" customHeight="1" x14ac:dyDescent="0.25">
      <c r="B967" s="134"/>
      <c r="C967" s="135"/>
      <c r="D967" s="261"/>
      <c r="E967" s="262"/>
      <c r="F967" s="263"/>
      <c r="G967" s="171"/>
      <c r="H967" s="244"/>
      <c r="I967" s="244"/>
      <c r="J967" s="244"/>
      <c r="K967" s="245"/>
      <c r="L967" s="141"/>
    </row>
    <row r="968" spans="2:12" ht="20.100000000000001" customHeight="1" x14ac:dyDescent="0.25">
      <c r="B968" s="134"/>
      <c r="C968" s="135"/>
      <c r="D968" s="261"/>
      <c r="E968" s="262"/>
      <c r="F968" s="263"/>
      <c r="G968" s="171"/>
      <c r="H968" s="244"/>
      <c r="I968" s="244"/>
      <c r="J968" s="244"/>
      <c r="K968" s="245"/>
      <c r="L968" s="141"/>
    </row>
    <row r="969" spans="2:12" ht="20.100000000000001" customHeight="1" x14ac:dyDescent="0.25">
      <c r="B969" s="71"/>
      <c r="C969" s="245"/>
      <c r="D969" s="244">
        <v>0.01</v>
      </c>
      <c r="E969" s="244">
        <v>0.03</v>
      </c>
      <c r="F969" s="244">
        <v>0.21</v>
      </c>
      <c r="G969" s="171"/>
      <c r="H969" s="244">
        <v>0.01</v>
      </c>
      <c r="I969" s="244">
        <v>0.02</v>
      </c>
      <c r="J969" s="244">
        <v>0.28999999999999998</v>
      </c>
      <c r="K969" s="245" t="s">
        <v>298</v>
      </c>
      <c r="L969" s="141">
        <v>11754</v>
      </c>
    </row>
    <row r="970" spans="2:12" ht="20.100000000000001" customHeight="1" x14ac:dyDescent="0.25">
      <c r="B970" s="71"/>
      <c r="C970" s="245"/>
      <c r="D970" s="244">
        <v>0.02</v>
      </c>
      <c r="E970" s="244">
        <v>0.04</v>
      </c>
      <c r="F970" s="244">
        <v>0.02</v>
      </c>
      <c r="G970" s="171"/>
      <c r="H970" s="244">
        <v>0</v>
      </c>
      <c r="I970" s="244">
        <v>0.02</v>
      </c>
      <c r="J970" s="244">
        <v>0.02</v>
      </c>
      <c r="K970" s="245" t="s">
        <v>297</v>
      </c>
      <c r="L970" s="141"/>
    </row>
    <row r="971" spans="2:12" ht="20.100000000000001" customHeight="1" x14ac:dyDescent="0.25">
      <c r="B971" s="71"/>
      <c r="C971" s="245"/>
      <c r="D971" s="244">
        <v>0.03</v>
      </c>
      <c r="E971" s="244">
        <v>0.02</v>
      </c>
      <c r="F971" s="244">
        <v>0.01</v>
      </c>
      <c r="G971" s="171"/>
      <c r="H971" s="244">
        <v>0</v>
      </c>
      <c r="I971" s="244">
        <v>0</v>
      </c>
      <c r="J971" s="244">
        <v>0.02</v>
      </c>
      <c r="K971" s="245" t="s">
        <v>298</v>
      </c>
      <c r="L971" s="141">
        <v>11762.6</v>
      </c>
    </row>
    <row r="972" spans="2:12" ht="20.100000000000001" customHeight="1" x14ac:dyDescent="0.25">
      <c r="B972" s="71"/>
      <c r="C972" s="245"/>
      <c r="D972" s="244">
        <v>0.01</v>
      </c>
      <c r="E972" s="244">
        <v>0.02</v>
      </c>
      <c r="F972" s="244">
        <v>0.05</v>
      </c>
      <c r="G972" s="171"/>
      <c r="H972" s="244">
        <v>0</v>
      </c>
      <c r="I972" s="244">
        <v>0</v>
      </c>
      <c r="J972" s="244">
        <v>0.02</v>
      </c>
      <c r="K972" s="245" t="s">
        <v>297</v>
      </c>
      <c r="L972" s="141"/>
    </row>
    <row r="973" spans="2:12" ht="20.100000000000001" customHeight="1" x14ac:dyDescent="0.25">
      <c r="B973" s="71"/>
      <c r="C973" s="245"/>
      <c r="D973" s="244">
        <v>0</v>
      </c>
      <c r="E973" s="244">
        <v>0</v>
      </c>
      <c r="F973" s="244">
        <v>0.08</v>
      </c>
      <c r="G973" s="171"/>
      <c r="H973" s="244">
        <v>0</v>
      </c>
      <c r="I973" s="244">
        <v>0</v>
      </c>
      <c r="J973" s="244">
        <v>0.06</v>
      </c>
      <c r="K973" s="245" t="s">
        <v>298</v>
      </c>
      <c r="L973" s="141">
        <v>11771.6</v>
      </c>
    </row>
    <row r="974" spans="2:12" ht="20.100000000000001" customHeight="1" x14ac:dyDescent="0.25">
      <c r="B974" s="71"/>
      <c r="C974" s="245"/>
      <c r="D974" s="244">
        <v>0.02</v>
      </c>
      <c r="E974" s="244">
        <v>0.02</v>
      </c>
      <c r="F974" s="244">
        <v>0</v>
      </c>
      <c r="G974" s="171"/>
      <c r="H974" s="244">
        <v>0.02</v>
      </c>
      <c r="I974" s="244">
        <v>0.02</v>
      </c>
      <c r="J974" s="244">
        <v>0.02</v>
      </c>
      <c r="K974" s="245" t="s">
        <v>297</v>
      </c>
      <c r="L974" s="141"/>
    </row>
    <row r="975" spans="2:12" ht="20.100000000000001" customHeight="1" x14ac:dyDescent="0.25">
      <c r="B975" s="71"/>
      <c r="C975" s="245"/>
      <c r="D975" s="244">
        <v>0.01</v>
      </c>
      <c r="E975" s="244">
        <v>0.02</v>
      </c>
      <c r="F975" s="244">
        <v>0.01</v>
      </c>
      <c r="G975" s="171"/>
      <c r="H975" s="244">
        <v>0.01</v>
      </c>
      <c r="I975" s="244">
        <v>0.01</v>
      </c>
      <c r="J975" s="244">
        <v>0.04</v>
      </c>
      <c r="K975" s="245" t="s">
        <v>298</v>
      </c>
      <c r="L975" s="141">
        <v>11788.9</v>
      </c>
    </row>
    <row r="976" spans="2:12" ht="20.100000000000001" customHeight="1" x14ac:dyDescent="0.25">
      <c r="B976" s="134"/>
      <c r="C976" s="135"/>
      <c r="D976" s="261"/>
      <c r="E976" s="262"/>
      <c r="F976" s="263"/>
      <c r="G976" s="171"/>
      <c r="H976" s="244"/>
      <c r="I976" s="244"/>
      <c r="J976" s="244"/>
      <c r="K976" s="245"/>
      <c r="L976" s="141"/>
    </row>
    <row r="977" spans="2:12" ht="20.100000000000001" customHeight="1" x14ac:dyDescent="0.25">
      <c r="B977" s="134"/>
      <c r="C977" s="135"/>
      <c r="D977" s="261"/>
      <c r="E977" s="262"/>
      <c r="F977" s="263"/>
      <c r="G977" s="171"/>
      <c r="H977" s="244"/>
      <c r="I977" s="244"/>
      <c r="J977" s="244"/>
      <c r="K977" s="245"/>
      <c r="L977" s="141"/>
    </row>
    <row r="978" spans="2:12" ht="20.100000000000001" customHeight="1" x14ac:dyDescent="0.25">
      <c r="B978" s="71"/>
      <c r="C978" s="245"/>
      <c r="D978" s="244">
        <v>0.02</v>
      </c>
      <c r="E978" s="244">
        <v>0.05</v>
      </c>
      <c r="F978" s="244">
        <v>0.01</v>
      </c>
      <c r="G978" s="171"/>
      <c r="H978" s="244">
        <v>0</v>
      </c>
      <c r="I978" s="244">
        <v>0.03</v>
      </c>
      <c r="J978" s="244">
        <v>0.02</v>
      </c>
      <c r="K978" s="245" t="s">
        <v>297</v>
      </c>
      <c r="L978" s="141"/>
    </row>
    <row r="979" spans="2:12" ht="20.100000000000001" customHeight="1" x14ac:dyDescent="0.25">
      <c r="B979" s="71"/>
      <c r="C979" s="245"/>
      <c r="D979" s="244">
        <v>0.01</v>
      </c>
      <c r="E979" s="244">
        <v>0.36</v>
      </c>
      <c r="F979" s="244">
        <v>0.44</v>
      </c>
      <c r="G979" s="171"/>
      <c r="H979" s="250"/>
      <c r="I979" s="255"/>
      <c r="J979" s="255"/>
      <c r="K979" s="251"/>
      <c r="L979" s="141"/>
    </row>
    <row r="980" spans="2:12" ht="20.100000000000001" customHeight="1" x14ac:dyDescent="0.25">
      <c r="B980" s="71"/>
      <c r="C980" s="245"/>
      <c r="D980" s="250"/>
      <c r="E980" s="255"/>
      <c r="F980" s="251"/>
      <c r="G980" s="171"/>
      <c r="H980" s="244">
        <v>0.01</v>
      </c>
      <c r="I980" s="244">
        <v>0.28000000000000003</v>
      </c>
      <c r="J980" s="244">
        <v>0.39</v>
      </c>
      <c r="K980" s="245" t="s">
        <v>298</v>
      </c>
      <c r="L980" s="141">
        <v>11797.7</v>
      </c>
    </row>
    <row r="981" spans="2:12" ht="20.100000000000001" customHeight="1" x14ac:dyDescent="0.25">
      <c r="B981" s="71"/>
      <c r="C981" s="245"/>
      <c r="D981" s="244">
        <v>0</v>
      </c>
      <c r="E981" s="244">
        <v>0.26</v>
      </c>
      <c r="F981" s="244">
        <v>0.22</v>
      </c>
      <c r="G981" s="171"/>
      <c r="H981" s="244">
        <v>0</v>
      </c>
      <c r="I981" s="244">
        <v>0.04</v>
      </c>
      <c r="J981" s="244">
        <v>0.05</v>
      </c>
      <c r="K981" s="245" t="s">
        <v>297</v>
      </c>
      <c r="L981" s="141"/>
    </row>
    <row r="982" spans="2:12" ht="20.100000000000001" customHeight="1" x14ac:dyDescent="0.25">
      <c r="B982" s="71"/>
      <c r="C982" s="245"/>
      <c r="D982" s="244">
        <v>0.04</v>
      </c>
      <c r="E982" s="244">
        <v>0.18</v>
      </c>
      <c r="F982" s="244">
        <v>0.14000000000000001</v>
      </c>
      <c r="G982" s="171"/>
      <c r="H982" s="244">
        <v>0.04</v>
      </c>
      <c r="I982" s="244">
        <v>0.03</v>
      </c>
      <c r="J982" s="244">
        <v>0.05</v>
      </c>
      <c r="K982" s="245" t="s">
        <v>297</v>
      </c>
      <c r="L982" s="141"/>
    </row>
    <row r="983" spans="2:12" ht="20.100000000000001" customHeight="1" x14ac:dyDescent="0.25">
      <c r="B983" s="71"/>
      <c r="C983" s="245"/>
      <c r="D983" s="244">
        <v>0.04</v>
      </c>
      <c r="E983" s="244">
        <v>0.11</v>
      </c>
      <c r="F983" s="244">
        <v>0.08</v>
      </c>
      <c r="G983" s="171"/>
      <c r="H983" s="244">
        <v>0</v>
      </c>
      <c r="I983" s="244">
        <v>0.02</v>
      </c>
      <c r="J983" s="244">
        <v>0.04</v>
      </c>
      <c r="K983" s="245" t="s">
        <v>298</v>
      </c>
      <c r="L983" s="141">
        <v>11815.5</v>
      </c>
    </row>
    <row r="984" spans="2:12" ht="20.100000000000001" customHeight="1" x14ac:dyDescent="0.25">
      <c r="B984" s="71"/>
      <c r="C984" s="245"/>
      <c r="D984" s="244">
        <v>0.01</v>
      </c>
      <c r="E984" s="244">
        <v>0.09</v>
      </c>
      <c r="F984" s="244">
        <v>0.33</v>
      </c>
      <c r="G984" s="171"/>
      <c r="H984" s="244">
        <v>0</v>
      </c>
      <c r="I984" s="244">
        <v>0.03</v>
      </c>
      <c r="J984" s="244">
        <v>0.17</v>
      </c>
      <c r="K984" s="245" t="s">
        <v>298</v>
      </c>
      <c r="L984" s="141">
        <v>11821.9</v>
      </c>
    </row>
    <row r="985" spans="2:12" ht="20.100000000000001" customHeight="1" x14ac:dyDescent="0.25">
      <c r="B985" s="71"/>
      <c r="C985" s="245"/>
      <c r="D985" s="244">
        <v>0.01</v>
      </c>
      <c r="E985" s="244">
        <v>0.09</v>
      </c>
      <c r="F985" s="244">
        <v>0.1</v>
      </c>
      <c r="G985" s="171"/>
      <c r="H985" s="244">
        <v>0</v>
      </c>
      <c r="I985" s="244">
        <v>0.01</v>
      </c>
      <c r="J985" s="244">
        <v>0.05</v>
      </c>
      <c r="K985" s="245" t="s">
        <v>297</v>
      </c>
      <c r="L985" s="141"/>
    </row>
    <row r="986" spans="2:12" ht="20.100000000000001" customHeight="1" x14ac:dyDescent="0.25">
      <c r="B986" s="71"/>
      <c r="C986" s="245"/>
      <c r="D986" s="244">
        <v>0.01</v>
      </c>
      <c r="E986" s="244">
        <v>0.05</v>
      </c>
      <c r="F986" s="244">
        <v>0.09</v>
      </c>
      <c r="G986" s="171"/>
      <c r="H986" s="244">
        <v>0</v>
      </c>
      <c r="I986" s="244">
        <v>0.02</v>
      </c>
      <c r="J986" s="244">
        <v>0.05</v>
      </c>
      <c r="K986" s="245" t="s">
        <v>298</v>
      </c>
      <c r="L986" s="141">
        <v>11824</v>
      </c>
    </row>
    <row r="987" spans="2:12" ht="20.100000000000001" customHeight="1" x14ac:dyDescent="0.25">
      <c r="B987" s="134"/>
      <c r="C987" s="135"/>
      <c r="D987" s="261"/>
      <c r="E987" s="262"/>
      <c r="F987" s="263"/>
      <c r="G987" s="171"/>
      <c r="H987" s="244"/>
      <c r="I987" s="244"/>
      <c r="J987" s="244"/>
      <c r="K987" s="245"/>
      <c r="L987" s="141"/>
    </row>
    <row r="988" spans="2:12" ht="20.100000000000001" customHeight="1" x14ac:dyDescent="0.25">
      <c r="B988" s="134"/>
      <c r="C988" s="135"/>
      <c r="D988" s="261"/>
      <c r="E988" s="262"/>
      <c r="F988" s="263"/>
      <c r="G988" s="171"/>
      <c r="H988" s="244"/>
      <c r="I988" s="244"/>
      <c r="J988" s="244"/>
      <c r="K988" s="245"/>
      <c r="L988" s="141"/>
    </row>
    <row r="989" spans="2:12" ht="20.100000000000001" customHeight="1" x14ac:dyDescent="0.25">
      <c r="B989" s="71"/>
      <c r="C989" s="245"/>
      <c r="D989" s="244">
        <v>0.02</v>
      </c>
      <c r="E989" s="244">
        <v>0.02</v>
      </c>
      <c r="F989" s="244">
        <v>0.1</v>
      </c>
      <c r="G989" s="171"/>
      <c r="H989" s="244">
        <v>0.01</v>
      </c>
      <c r="I989" s="244">
        <v>0.02</v>
      </c>
      <c r="J989" s="244">
        <v>0.09</v>
      </c>
      <c r="K989" s="245" t="s">
        <v>297</v>
      </c>
      <c r="L989" s="141"/>
    </row>
    <row r="990" spans="2:12" ht="20.100000000000001" customHeight="1" x14ac:dyDescent="0.25">
      <c r="B990" s="71"/>
      <c r="C990" s="245"/>
      <c r="D990" s="244">
        <v>0.01</v>
      </c>
      <c r="E990" s="244">
        <v>0.02</v>
      </c>
      <c r="F990" s="244">
        <v>0.21</v>
      </c>
      <c r="G990" s="171"/>
      <c r="H990" s="244">
        <v>0</v>
      </c>
      <c r="I990" s="244">
        <v>0.02</v>
      </c>
      <c r="J990" s="244">
        <v>0.09</v>
      </c>
      <c r="K990" s="245" t="s">
        <v>298</v>
      </c>
      <c r="L990" s="141">
        <v>11829.1</v>
      </c>
    </row>
    <row r="991" spans="2:12" ht="20.100000000000001" customHeight="1" x14ac:dyDescent="0.25">
      <c r="B991" s="71"/>
      <c r="D991" s="245">
        <v>0.01</v>
      </c>
      <c r="E991" s="244">
        <v>0.02</v>
      </c>
      <c r="F991" s="244">
        <v>0.04</v>
      </c>
      <c r="G991" s="171"/>
      <c r="H991" s="244">
        <v>0</v>
      </c>
      <c r="I991" s="244">
        <v>0.02</v>
      </c>
      <c r="J991" s="244">
        <v>0.02</v>
      </c>
      <c r="K991" s="245" t="s">
        <v>297</v>
      </c>
      <c r="L991" s="141"/>
    </row>
    <row r="992" spans="2:12" ht="20.100000000000001" customHeight="1" x14ac:dyDescent="0.25">
      <c r="B992" s="71"/>
      <c r="C992" s="245"/>
      <c r="D992" s="244">
        <v>0.01</v>
      </c>
      <c r="E992" s="244">
        <v>0.01</v>
      </c>
      <c r="F992" s="244">
        <v>0.11</v>
      </c>
      <c r="G992" s="171"/>
      <c r="H992" s="244">
        <v>0</v>
      </c>
      <c r="I992" s="244">
        <v>0.01</v>
      </c>
      <c r="J992" s="244">
        <v>0.03</v>
      </c>
      <c r="K992" s="245" t="s">
        <v>298</v>
      </c>
      <c r="L992" s="141">
        <v>11832.3</v>
      </c>
    </row>
    <row r="993" spans="2:12" ht="20.100000000000001" customHeight="1" x14ac:dyDescent="0.25">
      <c r="B993" s="71"/>
      <c r="C993" s="245"/>
      <c r="D993" s="244">
        <v>0</v>
      </c>
      <c r="E993" s="244">
        <v>0.02</v>
      </c>
      <c r="F993" s="244">
        <v>0.03</v>
      </c>
      <c r="G993" s="171"/>
      <c r="H993" s="244">
        <v>0</v>
      </c>
      <c r="I993" s="244">
        <v>0.06</v>
      </c>
      <c r="J993" s="244">
        <v>0.03</v>
      </c>
      <c r="K993" s="245" t="s">
        <v>297</v>
      </c>
      <c r="L993" s="141"/>
    </row>
    <row r="994" spans="2:12" ht="20.100000000000001" customHeight="1" x14ac:dyDescent="0.25">
      <c r="B994" s="71"/>
      <c r="C994" s="245"/>
      <c r="D994" s="244">
        <v>0</v>
      </c>
      <c r="E994" s="244">
        <v>0.02</v>
      </c>
      <c r="F994" s="244">
        <v>0.04</v>
      </c>
      <c r="G994" s="171"/>
      <c r="H994" s="244">
        <v>0</v>
      </c>
      <c r="I994" s="244">
        <v>0</v>
      </c>
      <c r="J994" s="244">
        <v>0.03</v>
      </c>
      <c r="K994" s="245" t="s">
        <v>297</v>
      </c>
      <c r="L994" s="141"/>
    </row>
    <row r="995" spans="2:12" ht="20.100000000000001" customHeight="1" x14ac:dyDescent="0.25">
      <c r="B995" s="71"/>
      <c r="C995" s="245"/>
      <c r="D995" s="244">
        <v>0</v>
      </c>
      <c r="E995" s="244">
        <v>0</v>
      </c>
      <c r="F995" s="244">
        <v>0.18</v>
      </c>
      <c r="G995" s="171"/>
      <c r="H995" s="244">
        <v>0</v>
      </c>
      <c r="I995" s="244">
        <v>0</v>
      </c>
      <c r="J995" s="244">
        <v>0.12</v>
      </c>
      <c r="K995" s="245" t="s">
        <v>298</v>
      </c>
      <c r="L995" s="141">
        <v>11845</v>
      </c>
    </row>
    <row r="996" spans="2:12" ht="20.100000000000001" customHeight="1" x14ac:dyDescent="0.25">
      <c r="B996" s="71"/>
      <c r="C996" s="245"/>
      <c r="D996" s="244">
        <v>0.04</v>
      </c>
      <c r="E996" s="244">
        <v>0.02</v>
      </c>
      <c r="F996" s="244">
        <v>0.05</v>
      </c>
      <c r="G996" s="171"/>
      <c r="H996" s="244">
        <v>0.01</v>
      </c>
      <c r="I996" s="244">
        <v>0.02</v>
      </c>
      <c r="J996" s="244">
        <v>0.04</v>
      </c>
      <c r="K996" s="245" t="s">
        <v>297</v>
      </c>
      <c r="L996" s="141"/>
    </row>
    <row r="997" spans="2:12" ht="20.100000000000001" customHeight="1" x14ac:dyDescent="0.25">
      <c r="B997" s="71"/>
      <c r="C997" s="245"/>
      <c r="D997" s="244">
        <v>0</v>
      </c>
      <c r="E997" s="244">
        <v>0</v>
      </c>
      <c r="F997" s="244">
        <v>0.15</v>
      </c>
      <c r="G997" s="171"/>
      <c r="H997" s="244">
        <v>0.02</v>
      </c>
      <c r="I997" s="244">
        <v>0.01</v>
      </c>
      <c r="J997" s="244">
        <v>0.11</v>
      </c>
      <c r="K997" s="245" t="s">
        <v>297</v>
      </c>
      <c r="L997" s="141"/>
    </row>
    <row r="998" spans="2:12" ht="20.100000000000001" customHeight="1" x14ac:dyDescent="0.25">
      <c r="B998" s="134"/>
      <c r="C998" s="135"/>
      <c r="D998" s="261"/>
      <c r="E998" s="262"/>
      <c r="F998" s="263"/>
      <c r="G998" s="171"/>
      <c r="H998" s="244"/>
      <c r="I998" s="244"/>
      <c r="J998" s="244"/>
      <c r="K998" s="245"/>
      <c r="L998" s="141"/>
    </row>
    <row r="999" spans="2:12" ht="20.100000000000001" customHeight="1" x14ac:dyDescent="0.25">
      <c r="B999" s="134"/>
      <c r="C999" s="135"/>
      <c r="D999" s="261"/>
      <c r="E999" s="262"/>
      <c r="F999" s="263"/>
      <c r="G999" s="171"/>
      <c r="H999" s="244"/>
      <c r="I999" s="244"/>
      <c r="J999" s="244"/>
      <c r="K999" s="245"/>
      <c r="L999" s="141"/>
    </row>
    <row r="1000" spans="2:12" ht="20.100000000000001" customHeight="1" x14ac:dyDescent="0.25">
      <c r="B1000" s="71"/>
      <c r="C1000" s="245"/>
      <c r="D1000" s="244">
        <v>0</v>
      </c>
      <c r="E1000" s="244">
        <v>0.02</v>
      </c>
      <c r="F1000" s="244">
        <v>0.43</v>
      </c>
      <c r="G1000" s="171"/>
      <c r="H1000" s="244">
        <v>0</v>
      </c>
      <c r="I1000" s="244">
        <v>0.05</v>
      </c>
      <c r="J1000" s="244">
        <v>0.19</v>
      </c>
      <c r="K1000" s="245" t="s">
        <v>297</v>
      </c>
      <c r="L1000" s="141"/>
    </row>
    <row r="1001" spans="2:12" ht="20.100000000000001" customHeight="1" x14ac:dyDescent="0.25">
      <c r="B1001" s="71"/>
      <c r="C1001" s="245"/>
      <c r="D1001" s="244">
        <v>0</v>
      </c>
      <c r="E1001" s="244">
        <v>0</v>
      </c>
      <c r="F1001" s="244">
        <v>7.0000000000000007E-2</v>
      </c>
      <c r="G1001" s="171"/>
      <c r="H1001" s="244">
        <v>0</v>
      </c>
      <c r="I1001" s="244">
        <v>0</v>
      </c>
      <c r="J1001" s="244">
        <v>0.08</v>
      </c>
      <c r="K1001" s="245" t="s">
        <v>298</v>
      </c>
      <c r="L1001" s="141">
        <v>11858.8</v>
      </c>
    </row>
    <row r="1002" spans="2:12" ht="20.100000000000001" customHeight="1" x14ac:dyDescent="0.25">
      <c r="B1002" s="71"/>
      <c r="C1002" s="245"/>
      <c r="D1002" s="244">
        <v>0</v>
      </c>
      <c r="E1002" s="244">
        <v>0</v>
      </c>
      <c r="F1002" s="244">
        <v>7.0000000000000007E-2</v>
      </c>
      <c r="G1002" s="171"/>
      <c r="H1002" s="244">
        <v>0</v>
      </c>
      <c r="I1002" s="244">
        <v>0</v>
      </c>
      <c r="J1002" s="244">
        <v>0.08</v>
      </c>
      <c r="K1002" s="245" t="s">
        <v>297</v>
      </c>
      <c r="L1002" s="141" t="s">
        <v>81</v>
      </c>
    </row>
    <row r="1003" spans="2:12" ht="20.100000000000001" customHeight="1" x14ac:dyDescent="0.25">
      <c r="B1003" s="241"/>
      <c r="C1003" s="252"/>
      <c r="D1003" s="253"/>
      <c r="E1003" s="253"/>
      <c r="F1003" s="254"/>
      <c r="G1003" s="171"/>
      <c r="H1003" s="244"/>
      <c r="I1003" s="244"/>
      <c r="J1003" s="244"/>
      <c r="K1003" s="245"/>
      <c r="L1003" s="141"/>
    </row>
    <row r="1004" spans="2:12" ht="20.100000000000001" customHeight="1" x14ac:dyDescent="0.25">
      <c r="B1004" s="258"/>
      <c r="C1004" s="259"/>
      <c r="D1004" s="259"/>
      <c r="E1004" s="259"/>
      <c r="F1004" s="260"/>
      <c r="G1004" s="171"/>
      <c r="H1004" s="244"/>
      <c r="I1004" s="244"/>
      <c r="J1004" s="244"/>
      <c r="K1004" s="245"/>
      <c r="L1004" s="141"/>
    </row>
    <row r="1005" spans="2:12" ht="20.100000000000001" customHeight="1" x14ac:dyDescent="0.25">
      <c r="B1005" s="258"/>
      <c r="C1005" s="259"/>
      <c r="D1005" s="259"/>
      <c r="E1005" s="259"/>
      <c r="F1005" s="260"/>
      <c r="G1005" s="171"/>
      <c r="H1005" s="244"/>
      <c r="I1005" s="244"/>
      <c r="J1005" s="244"/>
      <c r="K1005" s="245"/>
      <c r="L1005" s="141"/>
    </row>
    <row r="1006" spans="2:12" ht="20.100000000000001" customHeight="1" x14ac:dyDescent="0.25">
      <c r="B1006" s="71"/>
      <c r="C1006" s="245"/>
      <c r="D1006" s="244">
        <v>0.4</v>
      </c>
      <c r="E1006" s="244">
        <v>0.46</v>
      </c>
      <c r="F1006" s="244">
        <v>0.23</v>
      </c>
      <c r="G1006" s="171"/>
      <c r="H1006" s="244"/>
      <c r="I1006" s="244"/>
      <c r="J1006" s="244"/>
      <c r="K1006" s="245"/>
      <c r="L1006" s="141"/>
    </row>
    <row r="1007" spans="2:12" ht="20.100000000000001" customHeight="1" x14ac:dyDescent="0.25">
      <c r="B1007" s="71"/>
      <c r="C1007" s="245"/>
      <c r="D1007" s="250"/>
      <c r="E1007" s="255"/>
      <c r="F1007" s="251"/>
      <c r="G1007" s="171"/>
      <c r="H1007" s="244">
        <v>0</v>
      </c>
      <c r="I1007" s="244">
        <v>0.06</v>
      </c>
      <c r="J1007" s="244">
        <v>0.13</v>
      </c>
      <c r="K1007" s="245" t="s">
        <v>298</v>
      </c>
      <c r="L1007" s="141">
        <v>11926.8</v>
      </c>
    </row>
    <row r="1008" spans="2:12" ht="20.100000000000001" customHeight="1" x14ac:dyDescent="0.25">
      <c r="B1008" s="71"/>
      <c r="C1008" s="245"/>
      <c r="D1008" s="244">
        <v>0.02</v>
      </c>
      <c r="E1008" s="244">
        <v>0.25</v>
      </c>
      <c r="F1008" s="244">
        <v>0.27</v>
      </c>
      <c r="G1008" s="171"/>
      <c r="H1008" s="244">
        <v>0.01</v>
      </c>
      <c r="I1008" s="244">
        <v>0.05</v>
      </c>
      <c r="J1008" s="244">
        <v>0.1</v>
      </c>
      <c r="K1008" s="245" t="s">
        <v>298</v>
      </c>
      <c r="L1008" s="141"/>
    </row>
    <row r="1009" spans="2:12" ht="20.100000000000001" customHeight="1" x14ac:dyDescent="0.25">
      <c r="B1009" s="71"/>
      <c r="C1009" s="245"/>
      <c r="D1009" s="244">
        <v>0.04</v>
      </c>
      <c r="E1009" s="244">
        <v>0.23</v>
      </c>
      <c r="F1009" s="244">
        <v>0.28999999999999998</v>
      </c>
      <c r="G1009" s="171"/>
      <c r="H1009" s="244">
        <v>0.01</v>
      </c>
      <c r="I1009" s="244">
        <v>0.03</v>
      </c>
      <c r="J1009" s="244">
        <v>0.11</v>
      </c>
      <c r="K1009" s="245" t="s">
        <v>298</v>
      </c>
      <c r="L1009" s="141">
        <v>11932.2</v>
      </c>
    </row>
    <row r="1010" spans="2:12" ht="20.100000000000001" customHeight="1" x14ac:dyDescent="0.25">
      <c r="B1010" s="134"/>
      <c r="C1010" s="135"/>
      <c r="D1010" s="261"/>
      <c r="E1010" s="262"/>
      <c r="F1010" s="263"/>
      <c r="G1010" s="171"/>
      <c r="H1010" s="244"/>
      <c r="I1010" s="244"/>
      <c r="J1010" s="244"/>
      <c r="K1010" s="245"/>
      <c r="L1010" s="141"/>
    </row>
    <row r="1011" spans="2:12" ht="20.100000000000001" customHeight="1" x14ac:dyDescent="0.25">
      <c r="B1011" s="134"/>
      <c r="C1011" s="135"/>
      <c r="D1011" s="261"/>
      <c r="E1011" s="262"/>
      <c r="F1011" s="263"/>
      <c r="G1011" s="171"/>
      <c r="H1011" s="244"/>
      <c r="I1011" s="244"/>
      <c r="J1011" s="244"/>
      <c r="K1011" s="245"/>
      <c r="L1011" s="141"/>
    </row>
    <row r="1012" spans="2:12" ht="20.100000000000001" customHeight="1" x14ac:dyDescent="0.25">
      <c r="B1012" s="71"/>
      <c r="C1012" s="245"/>
      <c r="D1012" s="244">
        <v>0.02</v>
      </c>
      <c r="E1012" s="244">
        <v>0.11</v>
      </c>
      <c r="F1012" s="244">
        <v>0.12</v>
      </c>
      <c r="G1012" s="171"/>
      <c r="H1012" s="244">
        <v>0</v>
      </c>
      <c r="I1012" s="244">
        <v>0</v>
      </c>
      <c r="J1012" s="244">
        <v>0.03</v>
      </c>
      <c r="K1012" s="245"/>
      <c r="L1012" s="141"/>
    </row>
    <row r="1013" spans="2:12" ht="20.100000000000001" customHeight="1" x14ac:dyDescent="0.25">
      <c r="B1013" s="71"/>
      <c r="C1013" s="245"/>
      <c r="D1013" s="250"/>
      <c r="E1013" s="255"/>
      <c r="F1013" s="251"/>
      <c r="G1013" s="171"/>
      <c r="H1013" s="250"/>
      <c r="I1013" s="255"/>
      <c r="J1013" s="251"/>
      <c r="K1013" s="245"/>
      <c r="L1013" s="141"/>
    </row>
    <row r="1014" spans="2:12" ht="20.100000000000001" customHeight="1" x14ac:dyDescent="0.25">
      <c r="B1014" s="71"/>
      <c r="C1014" s="245"/>
      <c r="D1014" s="250"/>
      <c r="E1014" s="255"/>
      <c r="F1014" s="251"/>
      <c r="G1014" s="171"/>
      <c r="H1014" s="250"/>
      <c r="I1014" s="255"/>
      <c r="J1014" s="251"/>
      <c r="K1014" s="245"/>
      <c r="L1014" s="141"/>
    </row>
    <row r="1015" spans="2:12" ht="20.100000000000001" customHeight="1" x14ac:dyDescent="0.25">
      <c r="B1015" s="71"/>
      <c r="C1015" s="245"/>
      <c r="D1015" s="244"/>
      <c r="E1015" s="244"/>
      <c r="F1015" s="244">
        <v>0.25</v>
      </c>
      <c r="G1015" s="171"/>
      <c r="H1015" s="244"/>
      <c r="I1015" s="244"/>
      <c r="J1015" s="244">
        <v>0.02</v>
      </c>
      <c r="K1015" s="245" t="s">
        <v>298</v>
      </c>
      <c r="L1015" s="141">
        <v>11948.1</v>
      </c>
    </row>
    <row r="1016" spans="2:12" ht="20.100000000000001" customHeight="1" x14ac:dyDescent="0.25">
      <c r="B1016" s="71"/>
      <c r="C1016" s="245"/>
      <c r="D1016" s="244">
        <v>0.01</v>
      </c>
      <c r="E1016" s="244">
        <v>0.11</v>
      </c>
      <c r="F1016" s="244">
        <v>0.1</v>
      </c>
      <c r="G1016" s="171"/>
      <c r="H1016" s="244">
        <v>0.01</v>
      </c>
      <c r="I1016" s="244">
        <v>0.03</v>
      </c>
      <c r="J1016" s="244">
        <v>0.02</v>
      </c>
      <c r="K1016" s="245" t="s">
        <v>297</v>
      </c>
      <c r="L1016" s="141"/>
    </row>
    <row r="1017" spans="2:12" ht="20.100000000000001" customHeight="1" x14ac:dyDescent="0.25">
      <c r="B1017" s="71"/>
      <c r="C1017" s="245"/>
      <c r="D1017" s="244">
        <v>0.05</v>
      </c>
      <c r="E1017" s="244">
        <v>0.47</v>
      </c>
      <c r="F1017" s="244">
        <v>0.64</v>
      </c>
      <c r="G1017" s="171"/>
      <c r="H1017" s="250"/>
      <c r="I1017" s="255"/>
      <c r="J1017" s="251"/>
      <c r="K1017" s="245" t="s">
        <v>297</v>
      </c>
      <c r="L1017" s="141"/>
    </row>
    <row r="1018" spans="2:12" ht="20.100000000000001" customHeight="1" x14ac:dyDescent="0.25">
      <c r="B1018" s="71"/>
      <c r="C1018" s="245"/>
      <c r="D1018" s="244">
        <v>0</v>
      </c>
      <c r="E1018" s="244">
        <v>0.48</v>
      </c>
      <c r="F1018" s="244">
        <v>0.48</v>
      </c>
      <c r="G1018" s="171"/>
      <c r="H1018" s="244">
        <v>0</v>
      </c>
      <c r="I1018" s="244">
        <v>0.01</v>
      </c>
      <c r="J1018" s="244">
        <v>0.1</v>
      </c>
      <c r="K1018" s="245" t="s">
        <v>298</v>
      </c>
      <c r="L1018" s="141">
        <v>11951.1</v>
      </c>
    </row>
    <row r="1019" spans="2:12" ht="20.100000000000001" customHeight="1" x14ac:dyDescent="0.25">
      <c r="B1019" s="71"/>
      <c r="C1019" s="245"/>
      <c r="D1019" s="244">
        <v>0.01</v>
      </c>
      <c r="E1019" s="244">
        <v>0.53</v>
      </c>
      <c r="F1019" s="244">
        <v>0.61</v>
      </c>
      <c r="G1019" s="171"/>
      <c r="H1019" s="244">
        <v>0.01</v>
      </c>
      <c r="I1019" s="244">
        <v>0.01</v>
      </c>
      <c r="J1019" s="244">
        <v>0.01</v>
      </c>
      <c r="K1019" s="245" t="s">
        <v>297</v>
      </c>
      <c r="L1019" s="141"/>
    </row>
    <row r="1020" spans="2:12" ht="20.100000000000001" customHeight="1" x14ac:dyDescent="0.25">
      <c r="B1020" s="71"/>
      <c r="C1020" s="245"/>
      <c r="D1020" s="261"/>
      <c r="E1020" s="262"/>
      <c r="F1020" s="263"/>
      <c r="G1020" s="171"/>
      <c r="H1020" s="244"/>
      <c r="I1020" s="244"/>
      <c r="J1020" s="244"/>
      <c r="K1020" s="245"/>
      <c r="L1020" s="141"/>
    </row>
    <row r="1021" spans="2:12" ht="20.100000000000001" customHeight="1" x14ac:dyDescent="0.25">
      <c r="B1021" s="71"/>
      <c r="C1021" s="245"/>
      <c r="D1021" s="244">
        <v>0.02</v>
      </c>
      <c r="E1021" s="244">
        <v>0.53</v>
      </c>
      <c r="F1021" s="244">
        <v>0.73</v>
      </c>
      <c r="G1021" s="171"/>
      <c r="H1021" s="244">
        <v>0.01</v>
      </c>
      <c r="I1021" s="244">
        <v>0.01</v>
      </c>
      <c r="J1021" s="244">
        <v>0.04</v>
      </c>
      <c r="K1021" s="245" t="s">
        <v>297</v>
      </c>
      <c r="L1021" s="141"/>
    </row>
    <row r="1022" spans="2:12" ht="20.100000000000001" customHeight="1" x14ac:dyDescent="0.25">
      <c r="B1022" s="71"/>
      <c r="C1022" s="245"/>
      <c r="D1022" s="244">
        <v>0.49</v>
      </c>
      <c r="E1022" s="244">
        <v>0.51</v>
      </c>
      <c r="F1022" s="244">
        <v>0.55000000000000004</v>
      </c>
      <c r="G1022" s="171"/>
      <c r="H1022" s="244">
        <v>0.01</v>
      </c>
      <c r="I1022" s="244">
        <v>0.03</v>
      </c>
      <c r="J1022" s="244">
        <v>0.03</v>
      </c>
      <c r="K1022" s="245" t="s">
        <v>298</v>
      </c>
      <c r="L1022" s="141">
        <v>11958.8</v>
      </c>
    </row>
    <row r="1023" spans="2:12" ht="20.100000000000001" customHeight="1" x14ac:dyDescent="0.25">
      <c r="B1023" s="71"/>
      <c r="C1023" s="245"/>
      <c r="D1023" s="244">
        <v>0.5</v>
      </c>
      <c r="E1023" s="244">
        <v>0.49</v>
      </c>
      <c r="F1023" s="244">
        <v>0.49</v>
      </c>
      <c r="G1023" s="171"/>
      <c r="H1023" s="244">
        <v>0.02</v>
      </c>
      <c r="I1023" s="244">
        <v>0</v>
      </c>
      <c r="J1023" s="244">
        <v>0.04</v>
      </c>
      <c r="K1023" s="245" t="s">
        <v>297</v>
      </c>
      <c r="L1023" s="141"/>
    </row>
    <row r="1024" spans="2:12" ht="20.100000000000001" customHeight="1" x14ac:dyDescent="0.25">
      <c r="B1024" s="134"/>
      <c r="C1024" s="135"/>
      <c r="D1024" s="261"/>
      <c r="E1024" s="262"/>
      <c r="F1024" s="263"/>
      <c r="G1024" s="171"/>
      <c r="H1024" s="244"/>
      <c r="I1024" s="244"/>
      <c r="J1024" s="244"/>
      <c r="K1024" s="245"/>
      <c r="L1024" s="141"/>
    </row>
    <row r="1025" spans="2:12" ht="20.100000000000001" customHeight="1" x14ac:dyDescent="0.25">
      <c r="B1025" s="134"/>
      <c r="C1025" s="135"/>
      <c r="D1025" s="261"/>
      <c r="E1025" s="262"/>
      <c r="F1025" s="263"/>
      <c r="G1025" s="171"/>
      <c r="H1025" s="244"/>
      <c r="I1025" s="244"/>
      <c r="J1025" s="244"/>
      <c r="K1025" s="245"/>
      <c r="L1025" s="141"/>
    </row>
    <row r="1026" spans="2:12" ht="20.100000000000001" customHeight="1" x14ac:dyDescent="0.25">
      <c r="B1026" s="71"/>
      <c r="C1026" s="245"/>
      <c r="D1026" s="244">
        <v>0</v>
      </c>
      <c r="E1026" s="244">
        <v>0.4</v>
      </c>
      <c r="F1026" s="244">
        <v>0.43</v>
      </c>
      <c r="G1026" s="171"/>
      <c r="H1026" s="244">
        <v>0</v>
      </c>
      <c r="I1026" s="244">
        <v>0</v>
      </c>
      <c r="J1026" s="244">
        <v>0.04</v>
      </c>
      <c r="K1026" s="245" t="s">
        <v>297</v>
      </c>
      <c r="L1026" s="141"/>
    </row>
    <row r="1027" spans="2:12" ht="20.100000000000001" customHeight="1" x14ac:dyDescent="0.25">
      <c r="B1027" s="71"/>
      <c r="C1027" s="245"/>
      <c r="D1027" s="244">
        <v>0</v>
      </c>
      <c r="E1027" s="244">
        <v>0.43</v>
      </c>
      <c r="F1027" s="244">
        <v>0.53</v>
      </c>
      <c r="G1027" s="171"/>
      <c r="H1027" s="244">
        <v>0</v>
      </c>
      <c r="I1027" s="244">
        <v>0.01</v>
      </c>
      <c r="J1027" s="244">
        <v>0.06</v>
      </c>
      <c r="K1027" s="245" t="s">
        <v>298</v>
      </c>
      <c r="L1027" s="141">
        <v>11977.6</v>
      </c>
    </row>
    <row r="1028" spans="2:12" ht="20.100000000000001" customHeight="1" x14ac:dyDescent="0.25">
      <c r="B1028" s="71"/>
      <c r="C1028" s="245"/>
      <c r="D1028" s="244">
        <v>0.01</v>
      </c>
      <c r="E1028" s="244">
        <v>0.39</v>
      </c>
      <c r="F1028" s="244">
        <v>0.42</v>
      </c>
      <c r="G1028" s="171"/>
      <c r="H1028" s="244" t="s">
        <v>263</v>
      </c>
      <c r="I1028" s="244">
        <v>0</v>
      </c>
      <c r="J1028" s="244">
        <v>0.04</v>
      </c>
      <c r="K1028" s="245" t="s">
        <v>297</v>
      </c>
      <c r="L1028" s="141"/>
    </row>
    <row r="1029" spans="2:12" ht="20.100000000000001" customHeight="1" x14ac:dyDescent="0.25">
      <c r="B1029" s="71"/>
      <c r="C1029" s="245"/>
      <c r="D1029" s="244">
        <v>0</v>
      </c>
      <c r="E1029" s="244">
        <v>0.35</v>
      </c>
      <c r="F1029" s="244">
        <v>0.41</v>
      </c>
      <c r="G1029" s="171"/>
      <c r="H1029" s="244">
        <v>0</v>
      </c>
      <c r="I1029" s="244">
        <v>0.02</v>
      </c>
      <c r="J1029" s="244">
        <v>0.08</v>
      </c>
      <c r="K1029" s="245" t="s">
        <v>298</v>
      </c>
      <c r="L1029" s="141">
        <v>11983.4</v>
      </c>
    </row>
    <row r="1030" spans="2:12" ht="20.100000000000001" customHeight="1" x14ac:dyDescent="0.25">
      <c r="B1030" s="71"/>
      <c r="C1030" s="245"/>
      <c r="D1030" s="244">
        <v>0.01</v>
      </c>
      <c r="E1030" s="244">
        <v>0.37</v>
      </c>
      <c r="F1030" s="244">
        <v>0.44</v>
      </c>
      <c r="G1030" s="171"/>
      <c r="H1030" s="244">
        <v>0.01</v>
      </c>
      <c r="I1030" s="244">
        <v>0.02</v>
      </c>
      <c r="J1030" s="244">
        <v>0.04</v>
      </c>
      <c r="K1030" s="245" t="s">
        <v>297</v>
      </c>
      <c r="L1030" s="141"/>
    </row>
    <row r="1031" spans="2:12" ht="20.100000000000001" customHeight="1" x14ac:dyDescent="0.25">
      <c r="B1031" s="71"/>
      <c r="C1031" s="245"/>
      <c r="D1031" s="244">
        <v>0.01</v>
      </c>
      <c r="E1031" s="244">
        <v>0.36</v>
      </c>
      <c r="F1031" s="244">
        <v>0.47</v>
      </c>
      <c r="G1031" s="171"/>
      <c r="H1031" s="244">
        <v>0</v>
      </c>
      <c r="I1031" s="244">
        <v>0.03</v>
      </c>
      <c r="J1031" s="244">
        <v>7.0000000000000007E-2</v>
      </c>
      <c r="K1031" s="245" t="s">
        <v>298</v>
      </c>
      <c r="L1031" s="141">
        <v>11984.6</v>
      </c>
    </row>
    <row r="1032" spans="2:12" ht="20.100000000000001" customHeight="1" x14ac:dyDescent="0.25">
      <c r="B1032" s="71"/>
      <c r="C1032" s="245"/>
      <c r="D1032" s="244">
        <v>0.01</v>
      </c>
      <c r="E1032" s="244">
        <v>0.36</v>
      </c>
      <c r="F1032" s="244">
        <v>0.35</v>
      </c>
      <c r="G1032" s="171"/>
      <c r="H1032" s="244">
        <v>0.01</v>
      </c>
      <c r="I1032" s="244">
        <v>0.01</v>
      </c>
      <c r="J1032" s="244">
        <v>0.03</v>
      </c>
      <c r="K1032" s="245" t="s">
        <v>297</v>
      </c>
      <c r="L1032" s="141"/>
    </row>
    <row r="1033" spans="2:12" ht="20.100000000000001" customHeight="1" x14ac:dyDescent="0.25">
      <c r="B1033" s="71"/>
      <c r="C1033" s="245"/>
      <c r="D1033" s="244">
        <v>0.01</v>
      </c>
      <c r="E1033" s="244">
        <v>0.36</v>
      </c>
      <c r="F1033" s="244">
        <v>0.4</v>
      </c>
      <c r="G1033" s="171"/>
      <c r="H1033" s="244">
        <v>0.01</v>
      </c>
      <c r="I1033" s="244">
        <v>0.01</v>
      </c>
      <c r="J1033" s="244">
        <v>0.17</v>
      </c>
      <c r="K1033" s="245" t="s">
        <v>298</v>
      </c>
      <c r="L1033" s="141">
        <v>11998.9</v>
      </c>
    </row>
    <row r="1034" spans="2:12" ht="20.100000000000001" customHeight="1" x14ac:dyDescent="0.25">
      <c r="B1034" s="71"/>
      <c r="C1034" s="245"/>
      <c r="D1034" s="244">
        <v>0.1</v>
      </c>
      <c r="E1034" s="244">
        <v>0.33</v>
      </c>
      <c r="F1034" s="244">
        <v>0.33</v>
      </c>
      <c r="G1034" s="171"/>
      <c r="H1034" s="244">
        <v>0.02</v>
      </c>
      <c r="I1034" s="244">
        <v>0.02</v>
      </c>
      <c r="J1034" s="244">
        <v>0.04</v>
      </c>
      <c r="K1034" s="245" t="s">
        <v>297</v>
      </c>
      <c r="L1034" s="141"/>
    </row>
    <row r="1035" spans="2:12" ht="20.100000000000001" customHeight="1" x14ac:dyDescent="0.25">
      <c r="B1035" s="71"/>
      <c r="C1035" s="245"/>
      <c r="D1035" s="244">
        <v>0.01</v>
      </c>
      <c r="E1035" s="244">
        <v>0.34</v>
      </c>
      <c r="F1035" s="244">
        <v>0.44</v>
      </c>
      <c r="G1035" s="171"/>
      <c r="H1035" s="244">
        <v>0.01</v>
      </c>
      <c r="I1035" s="244">
        <v>0.01</v>
      </c>
      <c r="J1035" s="244">
        <v>0.1</v>
      </c>
      <c r="K1035" s="245" t="s">
        <v>298</v>
      </c>
      <c r="L1035" s="141">
        <v>12001.1</v>
      </c>
    </row>
    <row r="1036" spans="2:12" ht="20.100000000000001" customHeight="1" x14ac:dyDescent="0.25">
      <c r="B1036" s="134"/>
      <c r="C1036" s="135"/>
      <c r="D1036" s="261"/>
      <c r="E1036" s="262"/>
      <c r="F1036" s="263"/>
      <c r="G1036" s="171"/>
      <c r="H1036" s="244"/>
      <c r="I1036" s="244"/>
      <c r="J1036" s="244"/>
      <c r="K1036" s="245"/>
      <c r="L1036" s="141"/>
    </row>
    <row r="1037" spans="2:12" ht="20.100000000000001" customHeight="1" x14ac:dyDescent="0.25">
      <c r="B1037" s="134"/>
      <c r="C1037" s="135"/>
      <c r="D1037" s="261"/>
      <c r="E1037" s="262"/>
      <c r="F1037" s="263"/>
      <c r="G1037" s="171"/>
      <c r="H1037" s="244"/>
      <c r="I1037" s="244"/>
      <c r="J1037" s="244"/>
      <c r="K1037" s="245"/>
      <c r="L1037" s="141"/>
    </row>
    <row r="1038" spans="2:12" ht="20.100000000000001" customHeight="1" x14ac:dyDescent="0.25">
      <c r="B1038" s="71"/>
      <c r="C1038" s="245"/>
      <c r="D1038" s="244">
        <v>0.01</v>
      </c>
      <c r="E1038" s="244">
        <v>0.26</v>
      </c>
      <c r="F1038" s="244">
        <v>0.3</v>
      </c>
      <c r="G1038" s="171"/>
      <c r="H1038" s="244">
        <v>0</v>
      </c>
      <c r="I1038" s="244">
        <v>0.01</v>
      </c>
      <c r="J1038" s="244">
        <v>0.05</v>
      </c>
      <c r="K1038" s="245" t="s">
        <v>297</v>
      </c>
      <c r="L1038" s="141"/>
    </row>
    <row r="1039" spans="2:12" ht="20.100000000000001" customHeight="1" x14ac:dyDescent="0.25">
      <c r="B1039" s="71"/>
      <c r="C1039" s="245"/>
      <c r="D1039" s="244">
        <v>0.03</v>
      </c>
      <c r="E1039" s="244">
        <v>0.28999999999999998</v>
      </c>
      <c r="F1039" s="244">
        <v>0.45</v>
      </c>
      <c r="G1039" s="171"/>
      <c r="H1039" s="244">
        <v>0.03</v>
      </c>
      <c r="I1039" s="244">
        <v>0.05</v>
      </c>
      <c r="J1039" s="244">
        <v>0.15</v>
      </c>
      <c r="K1039" s="245" t="s">
        <v>298</v>
      </c>
      <c r="L1039" s="141">
        <v>12007</v>
      </c>
    </row>
    <row r="1040" spans="2:12" ht="20.100000000000001" customHeight="1" x14ac:dyDescent="0.25">
      <c r="B1040" s="71"/>
      <c r="C1040" s="245"/>
      <c r="D1040" s="244">
        <v>0.03</v>
      </c>
      <c r="E1040" s="244">
        <v>0.25</v>
      </c>
      <c r="F1040" s="244">
        <v>0.27</v>
      </c>
      <c r="G1040" s="171"/>
      <c r="H1040" s="244">
        <v>0.01</v>
      </c>
      <c r="I1040" s="244">
        <v>0.03</v>
      </c>
      <c r="J1040" s="244">
        <v>0.04</v>
      </c>
      <c r="K1040" s="245" t="s">
        <v>297</v>
      </c>
      <c r="L1040" s="141"/>
    </row>
    <row r="1041" spans="2:12" ht="20.100000000000001" customHeight="1" x14ac:dyDescent="0.25">
      <c r="B1041" s="71"/>
      <c r="C1041" s="245"/>
      <c r="D1041" s="244">
        <v>0.08</v>
      </c>
      <c r="E1041" s="244">
        <v>0.26</v>
      </c>
      <c r="F1041" s="244">
        <v>0.4</v>
      </c>
      <c r="G1041" s="171"/>
      <c r="H1041" s="244">
        <v>0.01</v>
      </c>
      <c r="I1041" s="244">
        <v>0.03</v>
      </c>
      <c r="J1041" s="244">
        <v>0.18</v>
      </c>
      <c r="K1041" s="245" t="s">
        <v>298</v>
      </c>
      <c r="L1041" s="141" t="s">
        <v>347</v>
      </c>
    </row>
    <row r="1042" spans="2:12" ht="20.100000000000001" customHeight="1" x14ac:dyDescent="0.25">
      <c r="B1042" s="71"/>
      <c r="C1042" s="245"/>
      <c r="D1042" s="244">
        <v>0</v>
      </c>
      <c r="E1042" s="244">
        <v>0.23</v>
      </c>
      <c r="F1042" s="244">
        <v>0.26</v>
      </c>
      <c r="G1042" s="171"/>
      <c r="H1042" s="244">
        <v>0.02</v>
      </c>
      <c r="I1042" s="244">
        <v>0.01</v>
      </c>
      <c r="J1042" s="244">
        <v>0.04</v>
      </c>
      <c r="K1042" s="245" t="s">
        <v>297</v>
      </c>
      <c r="L1042" s="141"/>
    </row>
    <row r="1043" spans="2:12" ht="20.100000000000001" customHeight="1" x14ac:dyDescent="0.25">
      <c r="B1043" s="71"/>
      <c r="C1043" s="245"/>
      <c r="D1043" s="244">
        <v>0</v>
      </c>
      <c r="E1043" s="244">
        <v>0.22</v>
      </c>
      <c r="F1043" s="244">
        <v>0.32</v>
      </c>
      <c r="G1043" s="171"/>
      <c r="H1043" s="244">
        <v>0</v>
      </c>
      <c r="I1043" s="244">
        <v>0.01</v>
      </c>
      <c r="J1043" s="244">
        <v>0.15</v>
      </c>
      <c r="K1043" s="245" t="s">
        <v>298</v>
      </c>
      <c r="L1043" s="141">
        <v>12025.1</v>
      </c>
    </row>
    <row r="1044" spans="2:12" ht="20.100000000000001" customHeight="1" x14ac:dyDescent="0.25">
      <c r="B1044" s="71"/>
      <c r="C1044" s="245"/>
      <c r="D1044" s="244">
        <v>0.01</v>
      </c>
      <c r="E1044" s="244">
        <v>0.21</v>
      </c>
      <c r="F1044" s="244">
        <v>0.28999999999999998</v>
      </c>
      <c r="G1044" s="171"/>
      <c r="H1044" s="244">
        <v>0.01</v>
      </c>
      <c r="I1044" s="244">
        <v>0</v>
      </c>
      <c r="J1044" s="244">
        <v>0.06</v>
      </c>
      <c r="K1044" s="245" t="s">
        <v>297</v>
      </c>
      <c r="L1044" s="141"/>
    </row>
    <row r="1045" spans="2:12" ht="20.100000000000001" customHeight="1" x14ac:dyDescent="0.25">
      <c r="B1045" s="71"/>
      <c r="C1045" s="245"/>
      <c r="D1045" s="244">
        <v>0.02</v>
      </c>
      <c r="E1045" s="244">
        <v>0.2</v>
      </c>
      <c r="F1045" s="244">
        <v>0.39</v>
      </c>
      <c r="G1045" s="171"/>
      <c r="H1045" s="244">
        <v>0.01</v>
      </c>
      <c r="I1045" s="244">
        <v>0</v>
      </c>
      <c r="J1045" s="244">
        <v>0.24</v>
      </c>
      <c r="K1045" s="245" t="s">
        <v>298</v>
      </c>
      <c r="L1045" s="141">
        <v>12031.2</v>
      </c>
    </row>
    <row r="1046" spans="2:12" ht="20.100000000000001" customHeight="1" x14ac:dyDescent="0.25">
      <c r="B1046" s="71"/>
      <c r="C1046" s="245"/>
      <c r="D1046" s="244">
        <v>0.01</v>
      </c>
      <c r="E1046" s="244">
        <v>0.14000000000000001</v>
      </c>
      <c r="F1046" s="244">
        <v>0.23</v>
      </c>
      <c r="G1046" s="171"/>
      <c r="H1046" s="244">
        <v>0</v>
      </c>
      <c r="I1046" s="244">
        <v>0</v>
      </c>
      <c r="J1046" s="244">
        <v>7.0000000000000007E-2</v>
      </c>
      <c r="K1046" s="245" t="s">
        <v>297</v>
      </c>
      <c r="L1046" s="141"/>
    </row>
    <row r="1047" spans="2:12" ht="20.100000000000001" customHeight="1" x14ac:dyDescent="0.25">
      <c r="B1047" s="258"/>
      <c r="C1047" s="259"/>
      <c r="D1047" s="259"/>
      <c r="E1047" s="259"/>
      <c r="F1047" s="260"/>
      <c r="G1047" s="171"/>
      <c r="H1047" s="244"/>
      <c r="I1047" s="244"/>
      <c r="J1047" s="244"/>
      <c r="K1047" s="245" t="s">
        <v>297</v>
      </c>
      <c r="L1047" s="141"/>
    </row>
    <row r="1048" spans="2:12" ht="20.100000000000001" customHeight="1" x14ac:dyDescent="0.25">
      <c r="B1048" s="134"/>
      <c r="C1048" s="135"/>
      <c r="D1048" s="261"/>
      <c r="E1048" s="262"/>
      <c r="F1048" s="263"/>
      <c r="G1048" s="171"/>
      <c r="H1048" s="244"/>
      <c r="I1048" s="244"/>
      <c r="J1048" s="244"/>
      <c r="K1048" s="245"/>
      <c r="L1048" s="141"/>
    </row>
    <row r="1049" spans="2:12" ht="20.100000000000001" customHeight="1" x14ac:dyDescent="0.25">
      <c r="B1049" s="134"/>
      <c r="C1049" s="135"/>
      <c r="D1049" s="261"/>
      <c r="E1049" s="262"/>
      <c r="F1049" s="263"/>
      <c r="G1049" s="171"/>
      <c r="H1049" s="244"/>
      <c r="I1049" s="244"/>
      <c r="J1049" s="244"/>
      <c r="K1049" s="245"/>
      <c r="L1049" s="141"/>
    </row>
    <row r="1050" spans="2:12" ht="20.100000000000001" customHeight="1" x14ac:dyDescent="0.25">
      <c r="B1050" s="71"/>
      <c r="C1050" s="245"/>
      <c r="D1050" s="244">
        <v>0</v>
      </c>
      <c r="E1050" s="244">
        <v>0</v>
      </c>
      <c r="F1050" s="244">
        <v>0.14000000000000001</v>
      </c>
      <c r="G1050" s="171"/>
      <c r="H1050" s="244">
        <v>0</v>
      </c>
      <c r="I1050" s="244">
        <v>0</v>
      </c>
      <c r="J1050" s="244">
        <v>0.1</v>
      </c>
      <c r="K1050" s="245" t="s">
        <v>297</v>
      </c>
      <c r="L1050" s="141"/>
    </row>
    <row r="1051" spans="2:12" ht="20.100000000000001" customHeight="1" x14ac:dyDescent="0.25">
      <c r="B1051" s="71"/>
      <c r="C1051" s="245"/>
      <c r="D1051" s="244">
        <v>0</v>
      </c>
      <c r="E1051" s="244">
        <v>0</v>
      </c>
      <c r="F1051" s="244">
        <v>0.12</v>
      </c>
      <c r="G1051" s="171"/>
      <c r="H1051" s="244">
        <v>0</v>
      </c>
      <c r="I1051" s="244">
        <v>0</v>
      </c>
      <c r="J1051" s="244">
        <v>7.0000000000000007E-2</v>
      </c>
      <c r="K1051" s="245" t="s">
        <v>298</v>
      </c>
      <c r="L1051" s="141">
        <v>12036.5</v>
      </c>
    </row>
    <row r="1052" spans="2:12" ht="20.100000000000001" customHeight="1" x14ac:dyDescent="0.25">
      <c r="B1052" s="71"/>
      <c r="C1052" s="245"/>
      <c r="D1052" s="244">
        <v>0</v>
      </c>
      <c r="E1052" s="244">
        <v>0.02</v>
      </c>
      <c r="F1052" s="244">
        <v>0.11</v>
      </c>
      <c r="G1052" s="171"/>
      <c r="H1052" s="244">
        <v>0</v>
      </c>
      <c r="I1052" s="244">
        <v>0.02</v>
      </c>
      <c r="J1052" s="244">
        <v>0.03</v>
      </c>
      <c r="K1052" s="245" t="s">
        <v>297</v>
      </c>
      <c r="L1052" s="141"/>
    </row>
    <row r="1053" spans="2:12" ht="20.100000000000001" customHeight="1" x14ac:dyDescent="0.25">
      <c r="B1053" s="71"/>
      <c r="C1053" s="245"/>
      <c r="D1053" s="244">
        <v>0.01</v>
      </c>
      <c r="E1053" s="244">
        <v>0.47</v>
      </c>
      <c r="F1053" s="244">
        <v>0.68</v>
      </c>
      <c r="G1053" s="171"/>
      <c r="H1053" s="244"/>
      <c r="I1053" s="244"/>
      <c r="J1053" s="244"/>
      <c r="K1053" s="245" t="s">
        <v>298</v>
      </c>
      <c r="L1053" s="141">
        <v>12044.4</v>
      </c>
    </row>
    <row r="1054" spans="2:12" ht="20.100000000000001" customHeight="1" x14ac:dyDescent="0.25">
      <c r="B1054" s="71"/>
      <c r="C1054" s="245"/>
      <c r="D1054" s="244">
        <v>0.01</v>
      </c>
      <c r="E1054" s="244">
        <v>0.42</v>
      </c>
      <c r="F1054" s="244">
        <v>0.59</v>
      </c>
      <c r="G1054" s="171"/>
      <c r="H1054" s="244">
        <v>0</v>
      </c>
      <c r="I1054" s="244">
        <v>0</v>
      </c>
      <c r="J1054" s="244">
        <v>0.1</v>
      </c>
      <c r="K1054" s="245" t="s">
        <v>297</v>
      </c>
      <c r="L1054" s="141"/>
    </row>
    <row r="1055" spans="2:12" ht="20.100000000000001" customHeight="1" x14ac:dyDescent="0.25">
      <c r="B1055" s="71"/>
      <c r="C1055" s="245"/>
      <c r="D1055" s="244">
        <v>0.1</v>
      </c>
      <c r="E1055" s="244">
        <v>0.4</v>
      </c>
      <c r="F1055" s="244">
        <v>0.61</v>
      </c>
      <c r="G1055" s="171"/>
      <c r="H1055" s="244">
        <v>0</v>
      </c>
      <c r="I1055" s="244">
        <v>0</v>
      </c>
      <c r="J1055" s="244">
        <v>0.12</v>
      </c>
      <c r="K1055" s="245" t="s">
        <v>298</v>
      </c>
      <c r="L1055" s="141">
        <v>12048.6</v>
      </c>
    </row>
    <row r="1056" spans="2:12" ht="20.100000000000001" customHeight="1" x14ac:dyDescent="0.25">
      <c r="B1056" s="71"/>
      <c r="C1056" s="245"/>
      <c r="D1056" s="244">
        <v>0</v>
      </c>
      <c r="E1056" s="244">
        <v>0.38</v>
      </c>
      <c r="F1056" s="244">
        <v>0.51</v>
      </c>
      <c r="G1056" s="171"/>
      <c r="H1056" s="244">
        <v>0</v>
      </c>
      <c r="I1056" s="244">
        <v>0.01</v>
      </c>
      <c r="J1056" s="244">
        <v>0.06</v>
      </c>
      <c r="K1056" s="245" t="s">
        <v>297</v>
      </c>
      <c r="L1056" s="141"/>
    </row>
    <row r="1057" spans="2:12" ht="20.100000000000001" customHeight="1" x14ac:dyDescent="0.25">
      <c r="B1057" s="71"/>
      <c r="C1057" s="245"/>
      <c r="D1057" s="244">
        <v>0</v>
      </c>
      <c r="E1057" s="244">
        <v>0.38</v>
      </c>
      <c r="F1057" s="244">
        <v>0.45</v>
      </c>
      <c r="G1057" s="171"/>
      <c r="H1057" s="244">
        <v>0</v>
      </c>
      <c r="I1057" s="244">
        <v>0.01</v>
      </c>
      <c r="J1057" s="244">
        <v>0.08</v>
      </c>
      <c r="K1057" s="245" t="s">
        <v>298</v>
      </c>
      <c r="L1057" s="141">
        <v>12053.9</v>
      </c>
    </row>
    <row r="1058" spans="2:12" ht="20.100000000000001" customHeight="1" x14ac:dyDescent="0.25">
      <c r="B1058" s="71"/>
      <c r="C1058" s="245"/>
      <c r="D1058" s="244">
        <v>0</v>
      </c>
      <c r="E1058" s="244">
        <v>0.35</v>
      </c>
      <c r="F1058" s="244">
        <v>0.56999999999999995</v>
      </c>
      <c r="G1058" s="171"/>
      <c r="H1058" s="244">
        <v>0</v>
      </c>
      <c r="I1058" s="244">
        <v>0.01</v>
      </c>
      <c r="J1058" s="244">
        <v>0.11</v>
      </c>
      <c r="K1058" s="245" t="s">
        <v>297</v>
      </c>
      <c r="L1058" s="141"/>
    </row>
    <row r="1059" spans="2:12" ht="20.100000000000001" customHeight="1" x14ac:dyDescent="0.25">
      <c r="B1059" s="71"/>
      <c r="C1059" s="245"/>
      <c r="D1059" s="244">
        <v>0</v>
      </c>
      <c r="E1059" s="244">
        <v>0.35</v>
      </c>
      <c r="F1059" s="244">
        <v>0.63</v>
      </c>
      <c r="G1059" s="171"/>
      <c r="H1059" s="244">
        <v>0</v>
      </c>
      <c r="I1059" s="244">
        <v>0.01</v>
      </c>
      <c r="J1059" s="244">
        <v>0.45</v>
      </c>
      <c r="K1059" s="245" t="s">
        <v>298</v>
      </c>
      <c r="L1059" s="141"/>
    </row>
    <row r="1060" spans="2:12" ht="20.100000000000001" customHeight="1" x14ac:dyDescent="0.25">
      <c r="B1060" s="134"/>
      <c r="C1060" s="135"/>
      <c r="D1060" s="261"/>
      <c r="E1060" s="262"/>
      <c r="F1060" s="263"/>
      <c r="G1060" s="171"/>
      <c r="H1060" s="244"/>
      <c r="I1060" s="244"/>
      <c r="J1060" s="244"/>
      <c r="K1060" s="245"/>
      <c r="L1060" s="141"/>
    </row>
    <row r="1061" spans="2:12" ht="20.100000000000001" customHeight="1" x14ac:dyDescent="0.25">
      <c r="B1061" s="134"/>
      <c r="C1061" s="135"/>
      <c r="D1061" s="261"/>
      <c r="E1061" s="262"/>
      <c r="F1061" s="263"/>
      <c r="G1061" s="171"/>
      <c r="H1061" s="244"/>
      <c r="I1061" s="244"/>
      <c r="J1061" s="244"/>
      <c r="K1061" s="245"/>
      <c r="L1061" s="141"/>
    </row>
    <row r="1062" spans="2:12" ht="20.100000000000001" customHeight="1" x14ac:dyDescent="0.25">
      <c r="B1062" s="71"/>
      <c r="C1062" s="245"/>
      <c r="D1062" s="244">
        <v>0.02</v>
      </c>
      <c r="E1062" s="244">
        <v>0.28999999999999998</v>
      </c>
      <c r="F1062" s="244">
        <v>0.3</v>
      </c>
      <c r="G1062" s="171"/>
      <c r="H1062" s="244">
        <v>0.03</v>
      </c>
      <c r="I1062" s="244">
        <v>0.02</v>
      </c>
      <c r="J1062" s="244">
        <v>0.04</v>
      </c>
      <c r="K1062" s="245" t="s">
        <v>297</v>
      </c>
      <c r="L1062" s="141"/>
    </row>
    <row r="1063" spans="2:12" ht="20.100000000000001" customHeight="1" x14ac:dyDescent="0.25">
      <c r="B1063" s="71"/>
      <c r="C1063" s="135"/>
      <c r="D1063" s="261"/>
      <c r="E1063" s="262"/>
      <c r="F1063" s="263"/>
      <c r="G1063" s="171"/>
      <c r="H1063" s="250"/>
      <c r="I1063" s="255"/>
      <c r="J1063" s="255"/>
      <c r="K1063" s="251"/>
      <c r="L1063" s="141"/>
    </row>
    <row r="1064" spans="2:12" ht="20.100000000000001" customHeight="1" x14ac:dyDescent="0.25">
      <c r="B1064" s="71"/>
      <c r="C1064" s="252"/>
      <c r="D1064" s="253"/>
      <c r="E1064" s="253"/>
      <c r="F1064" s="254"/>
      <c r="G1064" s="171"/>
      <c r="H1064" s="250"/>
      <c r="I1064" s="255"/>
      <c r="J1064" s="255"/>
      <c r="K1064" s="251"/>
      <c r="L1064" s="141"/>
    </row>
    <row r="1065" spans="2:12" ht="20.100000000000001" customHeight="1" x14ac:dyDescent="0.25">
      <c r="B1065" s="71"/>
      <c r="C1065" s="252"/>
      <c r="D1065" s="253"/>
      <c r="E1065" s="253"/>
      <c r="F1065" s="254"/>
      <c r="G1065" s="171"/>
      <c r="H1065" s="250"/>
      <c r="I1065" s="255"/>
      <c r="J1065" s="255"/>
      <c r="K1065" s="251"/>
      <c r="L1065" s="141"/>
    </row>
    <row r="1066" spans="2:12" ht="20.100000000000001" customHeight="1" x14ac:dyDescent="0.25">
      <c r="B1066" s="71"/>
      <c r="C1066" s="245"/>
      <c r="D1066" s="244">
        <v>0.21</v>
      </c>
      <c r="E1066" s="244">
        <v>0.34</v>
      </c>
      <c r="F1066" s="244">
        <v>0.42</v>
      </c>
      <c r="G1066" s="171"/>
      <c r="H1066" s="250"/>
      <c r="I1066" s="255"/>
      <c r="J1066" s="255"/>
      <c r="K1066" s="251"/>
      <c r="L1066" s="141"/>
    </row>
    <row r="1067" spans="2:12" ht="20.100000000000001" customHeight="1" x14ac:dyDescent="0.25">
      <c r="B1067" s="71"/>
      <c r="C1067" s="252"/>
      <c r="D1067" s="253"/>
      <c r="E1067" s="253"/>
      <c r="F1067" s="254"/>
      <c r="G1067" s="171"/>
      <c r="H1067" s="252"/>
      <c r="I1067" s="253"/>
      <c r="J1067" s="253"/>
      <c r="K1067" s="254"/>
      <c r="L1067" s="141"/>
    </row>
    <row r="1068" spans="2:12" ht="20.100000000000001" customHeight="1" x14ac:dyDescent="0.25">
      <c r="B1068" s="71"/>
      <c r="C1068" s="250"/>
      <c r="D1068" s="255"/>
      <c r="E1068" s="255"/>
      <c r="F1068" s="251"/>
      <c r="G1068" s="171"/>
      <c r="H1068" s="244"/>
      <c r="I1068" s="244"/>
      <c r="J1068" s="244"/>
      <c r="K1068" s="245"/>
      <c r="L1068" s="141"/>
    </row>
    <row r="1069" spans="2:12" ht="20.100000000000001" customHeight="1" x14ac:dyDescent="0.25">
      <c r="B1069" s="71"/>
      <c r="C1069" s="245"/>
      <c r="D1069" s="244">
        <v>0.04</v>
      </c>
      <c r="E1069" s="244">
        <v>0.38</v>
      </c>
      <c r="F1069" s="244">
        <v>0.6</v>
      </c>
      <c r="G1069" s="171"/>
      <c r="H1069" s="244">
        <v>0.04</v>
      </c>
      <c r="I1069" s="244">
        <v>0.12</v>
      </c>
      <c r="J1069" s="244">
        <v>0.2</v>
      </c>
      <c r="K1069" s="245" t="s">
        <v>297</v>
      </c>
      <c r="L1069" s="141">
        <v>12135</v>
      </c>
    </row>
    <row r="1070" spans="2:12" ht="20.100000000000001" customHeight="1" x14ac:dyDescent="0.25">
      <c r="B1070" s="134"/>
      <c r="C1070" s="135"/>
      <c r="D1070" s="261"/>
      <c r="E1070" s="262"/>
      <c r="F1070" s="263"/>
      <c r="G1070" s="171"/>
      <c r="H1070" s="244"/>
      <c r="I1070" s="244"/>
      <c r="J1070" s="244"/>
      <c r="K1070" s="245"/>
      <c r="L1070" s="141"/>
    </row>
    <row r="1071" spans="2:12" ht="20.100000000000001" customHeight="1" x14ac:dyDescent="0.25">
      <c r="B1071" s="134"/>
      <c r="C1071" s="135"/>
      <c r="D1071" s="261"/>
      <c r="E1071" s="262"/>
      <c r="F1071" s="263"/>
      <c r="G1071" s="171"/>
      <c r="H1071" s="244"/>
      <c r="I1071" s="244"/>
      <c r="J1071" s="244"/>
      <c r="K1071" s="245"/>
      <c r="L1071" s="141"/>
    </row>
    <row r="1072" spans="2:12" ht="20.100000000000001" customHeight="1" x14ac:dyDescent="0.25">
      <c r="B1072" s="71"/>
      <c r="C1072" s="245"/>
      <c r="D1072" s="244">
        <v>0</v>
      </c>
      <c r="E1072" s="244">
        <v>0.15</v>
      </c>
      <c r="F1072" s="244">
        <v>0.24</v>
      </c>
      <c r="G1072" s="171"/>
      <c r="H1072" s="244">
        <v>0.01</v>
      </c>
      <c r="I1072" s="244">
        <v>0.05</v>
      </c>
      <c r="J1072" s="244">
        <v>0.06</v>
      </c>
      <c r="K1072" s="245" t="s">
        <v>297</v>
      </c>
      <c r="L1072" s="141"/>
    </row>
    <row r="1073" spans="2:12" ht="20.100000000000001" customHeight="1" x14ac:dyDescent="0.25">
      <c r="B1073" s="71"/>
      <c r="C1073" s="245"/>
      <c r="D1073" s="244">
        <v>0</v>
      </c>
      <c r="E1073" s="244">
        <v>0.12</v>
      </c>
      <c r="F1073" s="244">
        <v>0.28000000000000003</v>
      </c>
      <c r="G1073" s="171"/>
      <c r="H1073" s="244">
        <v>0.01</v>
      </c>
      <c r="I1073" s="244">
        <v>0.05</v>
      </c>
      <c r="J1073" s="244">
        <v>0.13</v>
      </c>
      <c r="K1073" s="245" t="s">
        <v>298</v>
      </c>
      <c r="L1073" s="141">
        <v>12138.2</v>
      </c>
    </row>
    <row r="1074" spans="2:12" ht="20.100000000000001" customHeight="1" x14ac:dyDescent="0.25">
      <c r="B1074" s="71"/>
      <c r="C1074" s="245"/>
      <c r="D1074" s="244">
        <v>0</v>
      </c>
      <c r="E1074" s="244">
        <v>0.11</v>
      </c>
      <c r="F1074" s="244">
        <v>0.19</v>
      </c>
      <c r="G1074" s="171"/>
      <c r="H1074" s="244">
        <v>0.02</v>
      </c>
      <c r="I1074" s="244">
        <v>0.02</v>
      </c>
      <c r="J1074" s="244">
        <v>0.02</v>
      </c>
      <c r="K1074" s="245" t="s">
        <v>297</v>
      </c>
      <c r="L1074" s="141"/>
    </row>
    <row r="1075" spans="2:12" ht="20.100000000000001" customHeight="1" x14ac:dyDescent="0.25">
      <c r="B1075" s="71"/>
      <c r="C1075" s="245"/>
      <c r="D1075" s="244">
        <v>0</v>
      </c>
      <c r="E1075" s="244">
        <v>0.15</v>
      </c>
      <c r="F1075" s="244">
        <v>0.43</v>
      </c>
      <c r="G1075" s="171"/>
      <c r="H1075" s="244">
        <v>0.01</v>
      </c>
      <c r="I1075" s="244">
        <v>0.05</v>
      </c>
      <c r="J1075" s="244">
        <v>0.04</v>
      </c>
      <c r="K1075" s="245" t="s">
        <v>298</v>
      </c>
      <c r="L1075" s="141">
        <v>12143</v>
      </c>
    </row>
    <row r="1076" spans="2:12" ht="20.100000000000001" customHeight="1" x14ac:dyDescent="0.25">
      <c r="B1076" s="71"/>
      <c r="C1076" s="245"/>
      <c r="D1076" s="244">
        <v>0</v>
      </c>
      <c r="E1076" s="244">
        <v>0.12</v>
      </c>
      <c r="F1076" s="244">
        <v>0.11</v>
      </c>
      <c r="G1076" s="171"/>
      <c r="H1076" s="244">
        <v>0.01</v>
      </c>
      <c r="I1076" s="244">
        <v>0</v>
      </c>
      <c r="J1076" s="244">
        <v>0.1</v>
      </c>
      <c r="K1076" s="245" t="s">
        <v>297</v>
      </c>
      <c r="L1076" s="141"/>
    </row>
    <row r="1077" spans="2:12" ht="20.100000000000001" customHeight="1" x14ac:dyDescent="0.25">
      <c r="B1077" s="71"/>
      <c r="C1077" s="245"/>
      <c r="D1077" s="244">
        <v>0</v>
      </c>
      <c r="E1077" s="244">
        <v>0.15</v>
      </c>
      <c r="F1077" s="244">
        <v>0.37</v>
      </c>
      <c r="G1077" s="171"/>
      <c r="H1077" s="244">
        <v>0</v>
      </c>
      <c r="I1077" s="244">
        <v>0.06</v>
      </c>
      <c r="J1077" s="244">
        <v>7.0000000000000007E-2</v>
      </c>
      <c r="K1077" s="245" t="s">
        <v>298</v>
      </c>
      <c r="L1077" s="141">
        <v>12145.1</v>
      </c>
    </row>
    <row r="1078" spans="2:12" ht="20.100000000000001" customHeight="1" x14ac:dyDescent="0.25">
      <c r="B1078" s="71"/>
      <c r="C1078" s="245"/>
      <c r="D1078" s="244">
        <v>0.02</v>
      </c>
      <c r="E1078" s="244">
        <v>0.12</v>
      </c>
      <c r="F1078" s="244">
        <v>0.18</v>
      </c>
      <c r="G1078" s="171"/>
      <c r="H1078" s="244">
        <v>0.01</v>
      </c>
      <c r="I1078" s="244">
        <v>0.02</v>
      </c>
      <c r="J1078" s="244">
        <v>0.04</v>
      </c>
      <c r="K1078" s="245" t="s">
        <v>297</v>
      </c>
      <c r="L1078" s="141"/>
    </row>
    <row r="1079" spans="2:12" ht="20.100000000000001" customHeight="1" x14ac:dyDescent="0.25">
      <c r="B1079" s="71"/>
      <c r="C1079" s="252"/>
      <c r="D1079" s="253"/>
      <c r="E1079" s="253"/>
      <c r="F1079" s="254"/>
      <c r="G1079" s="171"/>
      <c r="H1079" s="244"/>
      <c r="I1079" s="244"/>
      <c r="J1079" s="244"/>
      <c r="K1079" s="245"/>
      <c r="L1079" s="141"/>
    </row>
    <row r="1080" spans="2:12" ht="20.100000000000001" customHeight="1" x14ac:dyDescent="0.25">
      <c r="B1080" s="164"/>
      <c r="C1080" s="165"/>
      <c r="D1080" s="270"/>
      <c r="E1080" s="271"/>
      <c r="F1080" s="272"/>
      <c r="G1080" s="174"/>
      <c r="H1080" s="244"/>
      <c r="I1080" s="244"/>
      <c r="J1080" s="245"/>
      <c r="K1080" s="245"/>
      <c r="L1080" s="141"/>
    </row>
    <row r="1081" spans="2:12" ht="20.100000000000001" customHeight="1" x14ac:dyDescent="0.25">
      <c r="B1081" s="134"/>
      <c r="C1081" s="135"/>
      <c r="D1081" s="261"/>
      <c r="E1081" s="262"/>
      <c r="F1081" s="263"/>
      <c r="G1081" s="174"/>
      <c r="H1081" s="244"/>
      <c r="I1081" s="244"/>
      <c r="J1081" s="245"/>
      <c r="K1081" s="245"/>
      <c r="L1081" s="141"/>
    </row>
    <row r="1082" spans="2:12" ht="20.100000000000001" customHeight="1" x14ac:dyDescent="0.25">
      <c r="B1082" s="134"/>
      <c r="C1082" s="135"/>
      <c r="D1082" s="261"/>
      <c r="E1082" s="262"/>
      <c r="F1082" s="263"/>
      <c r="G1082" s="174"/>
      <c r="H1082" s="244"/>
      <c r="I1082" s="244"/>
      <c r="J1082" s="245"/>
      <c r="K1082" s="245"/>
      <c r="L1082" s="141"/>
    </row>
    <row r="1083" spans="2:12" ht="20.100000000000001" customHeight="1" x14ac:dyDescent="0.25">
      <c r="B1083" s="71"/>
      <c r="C1083" s="245"/>
      <c r="D1083" s="244">
        <v>0.01</v>
      </c>
      <c r="E1083" s="244">
        <v>0.02</v>
      </c>
      <c r="F1083" s="244">
        <v>0.14000000000000001</v>
      </c>
      <c r="G1083" s="171"/>
      <c r="H1083" s="244">
        <v>0.02</v>
      </c>
      <c r="I1083" s="244">
        <v>0.02</v>
      </c>
      <c r="J1083" s="244">
        <v>0.1</v>
      </c>
      <c r="K1083" s="245" t="s">
        <v>297</v>
      </c>
      <c r="L1083" s="141"/>
    </row>
    <row r="1084" spans="2:12" ht="20.100000000000001" customHeight="1" x14ac:dyDescent="0.25">
      <c r="B1084" s="71"/>
      <c r="C1084" s="245"/>
      <c r="D1084" s="244">
        <v>0.01</v>
      </c>
      <c r="E1084" s="244">
        <v>0.01</v>
      </c>
      <c r="F1084" s="244">
        <v>0.16</v>
      </c>
      <c r="G1084" s="171"/>
      <c r="H1084" s="244">
        <v>0</v>
      </c>
      <c r="I1084" s="244">
        <v>0.01</v>
      </c>
      <c r="J1084" s="244">
        <v>0.21</v>
      </c>
      <c r="K1084" s="245" t="s">
        <v>298</v>
      </c>
      <c r="L1084" s="141">
        <v>12153.8</v>
      </c>
    </row>
    <row r="1085" spans="2:12" ht="20.100000000000001" customHeight="1" x14ac:dyDescent="0.25">
      <c r="B1085" s="71"/>
      <c r="C1085" s="245"/>
      <c r="D1085" s="244">
        <v>0.01</v>
      </c>
      <c r="E1085" s="244">
        <v>0</v>
      </c>
      <c r="F1085" s="244">
        <v>0.09</v>
      </c>
      <c r="G1085" s="171"/>
      <c r="H1085" s="244">
        <v>0.01</v>
      </c>
      <c r="I1085" s="244">
        <v>0</v>
      </c>
      <c r="J1085" s="244">
        <v>0.02</v>
      </c>
      <c r="K1085" s="245" t="s">
        <v>297</v>
      </c>
      <c r="L1085" s="141"/>
    </row>
    <row r="1086" spans="2:12" ht="20.100000000000001" customHeight="1" x14ac:dyDescent="0.25">
      <c r="B1086" s="71"/>
      <c r="C1086" s="245"/>
      <c r="D1086" s="244">
        <v>0</v>
      </c>
      <c r="E1086" s="244">
        <v>0</v>
      </c>
      <c r="F1086" s="244">
        <v>0.2</v>
      </c>
      <c r="G1086" s="171"/>
      <c r="H1086" s="244">
        <v>0</v>
      </c>
      <c r="I1086" s="244">
        <v>0</v>
      </c>
      <c r="J1086" s="244">
        <v>0.06</v>
      </c>
      <c r="K1086" s="245" t="s">
        <v>298</v>
      </c>
      <c r="L1086" s="141">
        <v>12159.3</v>
      </c>
    </row>
    <row r="1087" spans="2:12" ht="20.100000000000001" customHeight="1" x14ac:dyDescent="0.25">
      <c r="B1087" s="71"/>
      <c r="C1087" s="245"/>
      <c r="D1087" s="244">
        <v>0</v>
      </c>
      <c r="E1087" s="244">
        <v>0</v>
      </c>
      <c r="F1087" s="244">
        <v>0.11</v>
      </c>
      <c r="G1087" s="171"/>
      <c r="H1087" s="244">
        <v>0</v>
      </c>
      <c r="I1087" s="244">
        <v>0.01</v>
      </c>
      <c r="J1087" s="244">
        <v>0.19</v>
      </c>
      <c r="K1087" s="245" t="s">
        <v>297</v>
      </c>
      <c r="L1087" s="141" t="s">
        <v>81</v>
      </c>
    </row>
    <row r="1088" spans="2:12" ht="20.100000000000001" customHeight="1" x14ac:dyDescent="0.25">
      <c r="B1088" s="71"/>
      <c r="C1088" s="245"/>
      <c r="D1088" s="244">
        <v>0</v>
      </c>
      <c r="E1088" s="244">
        <v>0</v>
      </c>
      <c r="F1088" s="244">
        <v>0.06</v>
      </c>
      <c r="G1088" s="171"/>
      <c r="H1088" s="244">
        <v>0.01</v>
      </c>
      <c r="I1088" s="244">
        <v>0</v>
      </c>
      <c r="J1088" s="244">
        <v>0.05</v>
      </c>
      <c r="K1088" s="245" t="s">
        <v>297</v>
      </c>
      <c r="L1088" s="141" t="s">
        <v>81</v>
      </c>
    </row>
    <row r="1089" spans="2:12" ht="20.100000000000001" customHeight="1" x14ac:dyDescent="0.25">
      <c r="B1089" s="71"/>
      <c r="C1089" s="245"/>
      <c r="D1089" s="244">
        <v>0</v>
      </c>
      <c r="E1089" s="244">
        <v>0</v>
      </c>
      <c r="F1089" s="244">
        <v>0.1</v>
      </c>
      <c r="G1089" s="171"/>
      <c r="H1089" s="244">
        <v>0.01</v>
      </c>
      <c r="I1089" s="244">
        <v>0</v>
      </c>
      <c r="J1089" s="244">
        <v>0.06</v>
      </c>
      <c r="K1089" s="245" t="s">
        <v>298</v>
      </c>
      <c r="L1089" s="141">
        <v>12168.6</v>
      </c>
    </row>
    <row r="1090" spans="2:12" ht="20.100000000000001" customHeight="1" x14ac:dyDescent="0.25">
      <c r="B1090" s="71"/>
      <c r="C1090" s="245"/>
      <c r="D1090" s="244">
        <v>0</v>
      </c>
      <c r="E1090" s="244">
        <v>0</v>
      </c>
      <c r="F1090" s="244">
        <v>0.08</v>
      </c>
      <c r="G1090" s="171"/>
      <c r="H1090" s="244">
        <v>0</v>
      </c>
      <c r="I1090" s="244">
        <v>0</v>
      </c>
      <c r="J1090" s="244">
        <v>0.05</v>
      </c>
      <c r="K1090" s="245" t="s">
        <v>297</v>
      </c>
      <c r="L1090" s="141"/>
    </row>
    <row r="1091" spans="2:12" ht="20.100000000000001" customHeight="1" x14ac:dyDescent="0.25">
      <c r="B1091" s="71"/>
      <c r="C1091" s="245"/>
      <c r="D1091" s="244">
        <v>0.21</v>
      </c>
      <c r="E1091" s="244">
        <v>0.65</v>
      </c>
      <c r="F1091" s="244">
        <v>0.42</v>
      </c>
      <c r="G1091" s="171"/>
      <c r="H1091" s="250"/>
      <c r="I1091" s="255"/>
      <c r="J1091" s="255"/>
      <c r="K1091" s="251"/>
      <c r="L1091" s="141"/>
    </row>
    <row r="1092" spans="2:12" ht="20.100000000000001" customHeight="1" x14ac:dyDescent="0.25">
      <c r="B1092" s="71"/>
      <c r="C1092" s="245"/>
      <c r="D1092" s="244">
        <v>0.33</v>
      </c>
      <c r="E1092" s="244">
        <v>0.5</v>
      </c>
      <c r="F1092" s="244">
        <v>0.28000000000000003</v>
      </c>
      <c r="G1092" s="171"/>
      <c r="H1092" s="250"/>
      <c r="I1092" s="255"/>
      <c r="J1092" s="255"/>
      <c r="K1092" s="251"/>
      <c r="L1092" s="141"/>
    </row>
    <row r="1093" spans="2:12" ht="20.100000000000001" customHeight="1" x14ac:dyDescent="0.25">
      <c r="B1093" s="134"/>
      <c r="C1093" s="135"/>
      <c r="D1093" s="261"/>
      <c r="E1093" s="262"/>
      <c r="F1093" s="263"/>
      <c r="G1093" s="171"/>
      <c r="H1093" s="244"/>
      <c r="I1093" s="244"/>
      <c r="J1093" s="244"/>
      <c r="K1093" s="245"/>
      <c r="L1093" s="141"/>
    </row>
    <row r="1094" spans="2:12" ht="20.100000000000001" customHeight="1" x14ac:dyDescent="0.25">
      <c r="B1094" s="134"/>
      <c r="C1094" s="135"/>
      <c r="D1094" s="261"/>
      <c r="E1094" s="262"/>
      <c r="F1094" s="263"/>
      <c r="G1094" s="171"/>
      <c r="H1094" s="244"/>
      <c r="I1094" s="244"/>
      <c r="J1094" s="244"/>
      <c r="K1094" s="245"/>
      <c r="L1094" s="141"/>
    </row>
    <row r="1095" spans="2:12" ht="20.100000000000001" customHeight="1" x14ac:dyDescent="0.25">
      <c r="B1095" s="71"/>
      <c r="C1095" s="245"/>
      <c r="D1095" s="244">
        <v>0.01</v>
      </c>
      <c r="E1095" s="244">
        <v>7.0000000000000007E-2</v>
      </c>
      <c r="F1095" s="244">
        <v>0.09</v>
      </c>
      <c r="G1095" s="171"/>
      <c r="H1095" s="244">
        <v>0</v>
      </c>
      <c r="I1095" s="244">
        <v>0</v>
      </c>
      <c r="J1095" s="244">
        <v>0.03</v>
      </c>
      <c r="K1095" s="245" t="s">
        <v>297</v>
      </c>
      <c r="L1095" s="141"/>
    </row>
    <row r="1096" spans="2:12" ht="20.100000000000001" customHeight="1" x14ac:dyDescent="0.25">
      <c r="B1096" s="71"/>
      <c r="C1096" s="245"/>
      <c r="D1096" s="244">
        <v>0</v>
      </c>
      <c r="E1096" s="244">
        <v>0.06</v>
      </c>
      <c r="F1096" s="244">
        <v>0.27</v>
      </c>
      <c r="G1096" s="171"/>
      <c r="H1096" s="244">
        <v>0</v>
      </c>
      <c r="I1096" s="244">
        <v>0</v>
      </c>
      <c r="J1096" s="244">
        <v>0.08</v>
      </c>
      <c r="K1096" s="245" t="s">
        <v>298</v>
      </c>
      <c r="L1096" s="141">
        <v>12179.6</v>
      </c>
    </row>
    <row r="1097" spans="2:12" ht="20.100000000000001" customHeight="1" x14ac:dyDescent="0.25">
      <c r="B1097" s="71"/>
      <c r="C1097" s="245"/>
      <c r="D1097" s="244">
        <v>0.04</v>
      </c>
      <c r="E1097" s="244">
        <v>0.05</v>
      </c>
      <c r="F1097" s="244">
        <v>0.12</v>
      </c>
      <c r="G1097" s="171"/>
      <c r="H1097" s="244">
        <v>0.01</v>
      </c>
      <c r="I1097" s="244">
        <v>0.02</v>
      </c>
      <c r="J1097" s="244">
        <v>0.06</v>
      </c>
      <c r="K1097" s="245" t="s">
        <v>297</v>
      </c>
      <c r="L1097" s="141"/>
    </row>
    <row r="1098" spans="2:12" ht="20.100000000000001" customHeight="1" x14ac:dyDescent="0.25">
      <c r="B1098" s="71"/>
      <c r="C1098" s="245"/>
      <c r="D1098" s="244">
        <v>0.01</v>
      </c>
      <c r="E1098" s="244">
        <v>0.03</v>
      </c>
      <c r="F1098" s="244">
        <v>0.05</v>
      </c>
      <c r="G1098" s="171"/>
      <c r="H1098" s="244">
        <v>0.02</v>
      </c>
      <c r="I1098" s="244">
        <v>0.01</v>
      </c>
      <c r="J1098" s="244">
        <v>0.03</v>
      </c>
      <c r="K1098" s="245" t="s">
        <v>297</v>
      </c>
      <c r="L1098" s="141"/>
    </row>
    <row r="1099" spans="2:12" ht="20.100000000000001" customHeight="1" x14ac:dyDescent="0.25">
      <c r="B1099" s="71"/>
      <c r="C1099" s="245"/>
      <c r="D1099" s="244">
        <v>0.01</v>
      </c>
      <c r="E1099" s="244">
        <v>0.41</v>
      </c>
      <c r="F1099" s="244">
        <v>0.46</v>
      </c>
      <c r="G1099" s="171"/>
      <c r="H1099" s="250"/>
      <c r="I1099" s="255"/>
      <c r="J1099" s="255"/>
      <c r="K1099" s="251"/>
      <c r="L1099" s="141"/>
    </row>
    <row r="1100" spans="2:12" ht="20.100000000000001" customHeight="1" x14ac:dyDescent="0.25">
      <c r="B1100" s="71"/>
      <c r="C1100" s="245"/>
      <c r="D1100" s="244">
        <v>0</v>
      </c>
      <c r="E1100" s="244">
        <v>0.38</v>
      </c>
      <c r="F1100" s="244">
        <v>0.53</v>
      </c>
      <c r="G1100" s="171"/>
      <c r="H1100" s="238">
        <v>0</v>
      </c>
      <c r="I1100" s="239">
        <v>0.36</v>
      </c>
      <c r="J1100" s="239">
        <v>0.47</v>
      </c>
      <c r="K1100" s="240" t="s">
        <v>298</v>
      </c>
      <c r="L1100" s="141">
        <v>12194.4</v>
      </c>
    </row>
    <row r="1101" spans="2:12" ht="20.100000000000001" customHeight="1" x14ac:dyDescent="0.25">
      <c r="B1101" s="71"/>
      <c r="C1101" s="245"/>
      <c r="D1101" s="244">
        <v>0</v>
      </c>
      <c r="E1101" s="244">
        <v>0.35</v>
      </c>
      <c r="F1101" s="244">
        <v>0.35</v>
      </c>
      <c r="G1101" s="171"/>
      <c r="H1101" s="244">
        <v>0.01</v>
      </c>
      <c r="I1101" s="244">
        <v>0.1</v>
      </c>
      <c r="J1101" s="244">
        <v>0.13</v>
      </c>
      <c r="K1101" s="245" t="s">
        <v>297</v>
      </c>
      <c r="L1101" s="141"/>
    </row>
    <row r="1102" spans="2:12" ht="20.100000000000001" customHeight="1" x14ac:dyDescent="0.25">
      <c r="B1102" s="71"/>
      <c r="C1102" s="245"/>
      <c r="D1102" s="244">
        <v>0</v>
      </c>
      <c r="E1102" s="244">
        <v>0.32</v>
      </c>
      <c r="F1102" s="244">
        <v>0.48</v>
      </c>
      <c r="G1102" s="171"/>
      <c r="H1102" s="244">
        <v>0</v>
      </c>
      <c r="I1102" s="244">
        <v>0.14000000000000001</v>
      </c>
      <c r="J1102" s="244">
        <v>0.24</v>
      </c>
      <c r="K1102" s="245" t="s">
        <v>298</v>
      </c>
      <c r="L1102" s="141">
        <v>12198.6</v>
      </c>
    </row>
    <row r="1103" spans="2:12" ht="20.100000000000001" customHeight="1" x14ac:dyDescent="0.25">
      <c r="B1103" s="71"/>
      <c r="C1103" s="245"/>
      <c r="D1103" s="244">
        <v>0.03</v>
      </c>
      <c r="E1103" s="244">
        <v>0.3</v>
      </c>
      <c r="F1103" s="244">
        <v>0.31</v>
      </c>
      <c r="G1103" s="171"/>
      <c r="H1103" s="244">
        <v>0.01</v>
      </c>
      <c r="I1103" s="244">
        <v>0.04</v>
      </c>
      <c r="J1103" s="244">
        <v>0.04</v>
      </c>
      <c r="K1103" s="245" t="s">
        <v>297</v>
      </c>
      <c r="L1103" s="141"/>
    </row>
    <row r="1104" spans="2:12" ht="20.100000000000001" customHeight="1" x14ac:dyDescent="0.25">
      <c r="B1104" s="134"/>
      <c r="C1104" s="135"/>
      <c r="D1104" s="261"/>
      <c r="E1104" s="262"/>
      <c r="F1104" s="263"/>
      <c r="G1104" s="171"/>
      <c r="H1104" s="244"/>
      <c r="I1104" s="244"/>
      <c r="J1104" s="244"/>
      <c r="K1104" s="245"/>
      <c r="L1104" s="141"/>
    </row>
    <row r="1105" spans="2:12" ht="20.100000000000001" customHeight="1" x14ac:dyDescent="0.25">
      <c r="B1105" s="134"/>
      <c r="C1105" s="135"/>
      <c r="D1105" s="261"/>
      <c r="E1105" s="262"/>
      <c r="F1105" s="263"/>
      <c r="G1105" s="171"/>
      <c r="H1105" s="244"/>
      <c r="I1105" s="244"/>
      <c r="J1105" s="244"/>
      <c r="K1105" s="245"/>
      <c r="L1105" s="141"/>
    </row>
    <row r="1106" spans="2:12" ht="20.100000000000001" customHeight="1" x14ac:dyDescent="0.25">
      <c r="B1106" s="71"/>
      <c r="C1106" s="245"/>
      <c r="D1106" s="244">
        <v>0.01</v>
      </c>
      <c r="E1106" s="244">
        <v>0.22</v>
      </c>
      <c r="F1106" s="244">
        <v>0.26</v>
      </c>
      <c r="G1106" s="171"/>
      <c r="H1106" s="244">
        <v>0.01</v>
      </c>
      <c r="I1106" s="244">
        <v>0.01</v>
      </c>
      <c r="J1106" s="244">
        <v>0.05</v>
      </c>
      <c r="K1106" s="245" t="s">
        <v>297</v>
      </c>
      <c r="L1106" s="141"/>
    </row>
    <row r="1107" spans="2:12" ht="20.100000000000001" customHeight="1" x14ac:dyDescent="0.25">
      <c r="B1107" s="71"/>
      <c r="C1107" s="245"/>
      <c r="D1107" s="244">
        <v>0.01</v>
      </c>
      <c r="E1107" s="244">
        <v>0.22</v>
      </c>
      <c r="F1107" s="244">
        <v>0.27</v>
      </c>
      <c r="G1107" s="171"/>
      <c r="H1107" s="244">
        <v>0.01</v>
      </c>
      <c r="I1107" s="244">
        <v>0.01</v>
      </c>
      <c r="J1107" s="244">
        <v>0.06</v>
      </c>
      <c r="K1107" s="245" t="s">
        <v>298</v>
      </c>
      <c r="L1107" s="141">
        <v>12205.7</v>
      </c>
    </row>
    <row r="1108" spans="2:12" ht="20.100000000000001" customHeight="1" x14ac:dyDescent="0.25">
      <c r="B1108" s="71"/>
      <c r="C1108" s="245"/>
      <c r="D1108" s="244">
        <v>0</v>
      </c>
      <c r="E1108" s="244">
        <v>0.19</v>
      </c>
      <c r="F1108" s="244">
        <v>0.23</v>
      </c>
      <c r="G1108" s="171"/>
      <c r="H1108" s="244">
        <v>0.01</v>
      </c>
      <c r="I1108" s="244">
        <v>0</v>
      </c>
      <c r="J1108" s="244">
        <v>0.05</v>
      </c>
      <c r="K1108" s="245" t="s">
        <v>297</v>
      </c>
      <c r="L1108" s="141"/>
    </row>
    <row r="1109" spans="2:12" ht="20.100000000000001" customHeight="1" x14ac:dyDescent="0.25">
      <c r="B1109" s="71"/>
      <c r="C1109" s="245"/>
      <c r="D1109" s="244">
        <v>0</v>
      </c>
      <c r="E1109" s="244">
        <v>0.18</v>
      </c>
      <c r="F1109" s="244">
        <v>0.25</v>
      </c>
      <c r="G1109" s="171"/>
      <c r="H1109" s="244">
        <v>0.01</v>
      </c>
      <c r="I1109" s="244">
        <v>0</v>
      </c>
      <c r="J1109" s="244">
        <v>0.05</v>
      </c>
      <c r="K1109" s="245" t="s">
        <v>298</v>
      </c>
      <c r="L1109" s="141">
        <v>12212.4</v>
      </c>
    </row>
    <row r="1110" spans="2:12" ht="20.100000000000001" customHeight="1" x14ac:dyDescent="0.25">
      <c r="B1110" s="71"/>
      <c r="C1110" s="245"/>
      <c r="D1110" s="244">
        <v>0</v>
      </c>
      <c r="E1110" s="244">
        <v>0.18</v>
      </c>
      <c r="F1110" s="244">
        <v>0.21</v>
      </c>
      <c r="G1110" s="171"/>
      <c r="H1110" s="244">
        <v>0.02</v>
      </c>
      <c r="I1110" s="244">
        <v>0.01</v>
      </c>
      <c r="J1110" s="244">
        <v>0.13</v>
      </c>
      <c r="K1110" s="245" t="s">
        <v>297</v>
      </c>
      <c r="L1110" s="141"/>
    </row>
    <row r="1111" spans="2:12" ht="20.100000000000001" customHeight="1" x14ac:dyDescent="0.25">
      <c r="B1111" s="71"/>
      <c r="C1111" s="245"/>
      <c r="D1111" s="244">
        <v>0</v>
      </c>
      <c r="E1111" s="244">
        <v>0.22</v>
      </c>
      <c r="F1111" s="244">
        <v>0.35</v>
      </c>
      <c r="G1111" s="171"/>
      <c r="H1111" s="244">
        <v>0.01</v>
      </c>
      <c r="I1111" s="244">
        <v>0.02</v>
      </c>
      <c r="J1111" s="244">
        <v>0.15</v>
      </c>
      <c r="K1111" s="245" t="s">
        <v>298</v>
      </c>
      <c r="L1111" s="141">
        <v>12217.5</v>
      </c>
    </row>
    <row r="1112" spans="2:12" ht="20.100000000000001" customHeight="1" x14ac:dyDescent="0.25">
      <c r="B1112" s="71"/>
      <c r="C1112" s="245"/>
      <c r="D1112" s="244">
        <v>0.03</v>
      </c>
      <c r="E1112" s="244" t="s">
        <v>300</v>
      </c>
      <c r="F1112" s="244">
        <v>0.46</v>
      </c>
      <c r="G1112" s="171"/>
      <c r="H1112" s="244">
        <v>0.01</v>
      </c>
      <c r="I1112" s="244">
        <v>0.02</v>
      </c>
      <c r="J1112" s="244">
        <v>0.15</v>
      </c>
      <c r="K1112" s="245" t="s">
        <v>297</v>
      </c>
      <c r="L1112" s="141"/>
    </row>
    <row r="1113" spans="2:12" ht="20.100000000000001" customHeight="1" x14ac:dyDescent="0.25">
      <c r="B1113" s="71"/>
      <c r="C1113" s="245"/>
      <c r="D1113" s="244">
        <v>0</v>
      </c>
      <c r="E1113" s="244">
        <v>0.18</v>
      </c>
      <c r="F1113" s="244">
        <v>0.21</v>
      </c>
      <c r="G1113" s="171"/>
      <c r="H1113" s="244">
        <v>0.02</v>
      </c>
      <c r="I1113" s="244">
        <v>0.01</v>
      </c>
      <c r="J1113" s="244">
        <v>0.13</v>
      </c>
      <c r="K1113" s="245" t="s">
        <v>298</v>
      </c>
      <c r="L1113" s="141">
        <v>12220.3</v>
      </c>
    </row>
    <row r="1114" spans="2:12" ht="20.100000000000001" customHeight="1" x14ac:dyDescent="0.25">
      <c r="B1114" s="134"/>
      <c r="C1114" s="135"/>
      <c r="D1114" s="261"/>
      <c r="E1114" s="262"/>
      <c r="F1114" s="263"/>
      <c r="G1114" s="171"/>
      <c r="H1114" s="244"/>
      <c r="I1114" s="244"/>
      <c r="J1114" s="244"/>
      <c r="K1114" s="245"/>
      <c r="L1114" s="141"/>
    </row>
    <row r="1115" spans="2:12" ht="20.100000000000001" customHeight="1" x14ac:dyDescent="0.25">
      <c r="B1115" s="134"/>
      <c r="C1115" s="135"/>
      <c r="D1115" s="261"/>
      <c r="E1115" s="262"/>
      <c r="F1115" s="263"/>
      <c r="G1115" s="171"/>
      <c r="H1115" s="244"/>
      <c r="I1115" s="244"/>
      <c r="J1115" s="244"/>
      <c r="K1115" s="245"/>
      <c r="L1115" s="141"/>
    </row>
    <row r="1116" spans="2:12" ht="20.100000000000001" customHeight="1" x14ac:dyDescent="0.25">
      <c r="B1116" s="71"/>
      <c r="C1116" s="245"/>
      <c r="D1116" s="244">
        <v>0.02</v>
      </c>
      <c r="E1116" s="244">
        <v>0.38</v>
      </c>
      <c r="F1116" s="244">
        <v>0.38</v>
      </c>
      <c r="G1116" s="171"/>
      <c r="H1116" s="244">
        <v>0</v>
      </c>
      <c r="I1116" s="244">
        <v>0.01</v>
      </c>
      <c r="J1116" s="244">
        <v>0.03</v>
      </c>
      <c r="K1116" s="245" t="s">
        <v>298</v>
      </c>
      <c r="L1116" s="141">
        <v>12227.9</v>
      </c>
    </row>
    <row r="1117" spans="2:12" ht="20.100000000000001" customHeight="1" x14ac:dyDescent="0.25">
      <c r="B1117" s="71"/>
      <c r="C1117" s="245"/>
      <c r="D1117" s="244">
        <v>0.01</v>
      </c>
      <c r="E1117" s="244">
        <v>0.41</v>
      </c>
      <c r="F1117" s="244">
        <v>0.43</v>
      </c>
      <c r="G1117" s="171"/>
      <c r="H1117" s="244">
        <v>0</v>
      </c>
      <c r="I1117" s="244">
        <v>0.04</v>
      </c>
      <c r="J1117" s="244">
        <v>0.1</v>
      </c>
      <c r="K1117" s="245"/>
      <c r="L1117" s="141"/>
    </row>
    <row r="1118" spans="2:12" ht="20.100000000000001" customHeight="1" x14ac:dyDescent="0.25">
      <c r="B1118" s="71"/>
      <c r="C1118" s="245"/>
      <c r="D1118" s="244">
        <v>0.03</v>
      </c>
      <c r="E1118" s="244">
        <v>0.36</v>
      </c>
      <c r="F1118" s="244">
        <v>0.35</v>
      </c>
      <c r="G1118" s="171"/>
      <c r="H1118" s="244">
        <v>0.02</v>
      </c>
      <c r="I1118" s="244">
        <v>0</v>
      </c>
      <c r="J1118" s="244">
        <v>0.04</v>
      </c>
      <c r="K1118" s="245" t="s">
        <v>297</v>
      </c>
      <c r="L1118" s="141"/>
    </row>
    <row r="1119" spans="2:12" ht="20.100000000000001" customHeight="1" x14ac:dyDescent="0.25">
      <c r="B1119" s="71"/>
      <c r="C1119" s="245"/>
      <c r="D1119" s="244">
        <v>0.04</v>
      </c>
      <c r="E1119" s="244">
        <v>0.44</v>
      </c>
      <c r="F1119" s="244">
        <v>0.34</v>
      </c>
      <c r="G1119" s="171"/>
      <c r="H1119" s="244">
        <v>0.02</v>
      </c>
      <c r="I1119" s="244">
        <v>0.05</v>
      </c>
      <c r="J1119" s="244">
        <v>0</v>
      </c>
      <c r="K1119" s="245" t="s">
        <v>297</v>
      </c>
      <c r="L1119" s="141"/>
    </row>
    <row r="1120" spans="2:12" ht="20.100000000000001" customHeight="1" x14ac:dyDescent="0.25">
      <c r="B1120" s="71"/>
      <c r="C1120" s="245"/>
      <c r="D1120" s="244">
        <v>0.02</v>
      </c>
      <c r="E1120" s="244">
        <v>0.34</v>
      </c>
      <c r="F1120" s="244">
        <v>0.42</v>
      </c>
      <c r="G1120" s="171"/>
      <c r="H1120" s="244">
        <v>0.01</v>
      </c>
      <c r="I1120" s="244">
        <v>0.01</v>
      </c>
      <c r="J1120" s="244">
        <v>0.09</v>
      </c>
      <c r="K1120" s="245" t="s">
        <v>297</v>
      </c>
      <c r="L1120" s="141"/>
    </row>
    <row r="1121" spans="2:12" ht="20.100000000000001" customHeight="1" x14ac:dyDescent="0.25">
      <c r="B1121" s="71"/>
      <c r="C1121" s="245"/>
      <c r="D1121" s="244">
        <v>0.01</v>
      </c>
      <c r="E1121" s="244">
        <v>0.31</v>
      </c>
      <c r="F1121" s="244">
        <v>0.31</v>
      </c>
      <c r="G1121" s="171"/>
      <c r="H1121" s="244">
        <v>0.02</v>
      </c>
      <c r="I1121" s="244">
        <v>0</v>
      </c>
      <c r="J1121" s="244">
        <v>0.09</v>
      </c>
      <c r="K1121" s="245" t="s">
        <v>297</v>
      </c>
      <c r="L1121" s="141"/>
    </row>
    <row r="1122" spans="2:12" ht="20.100000000000001" customHeight="1" x14ac:dyDescent="0.25">
      <c r="B1122" s="71"/>
      <c r="C1122" s="245"/>
      <c r="D1122" s="244">
        <v>0.02</v>
      </c>
      <c r="E1122" s="244">
        <v>0.59</v>
      </c>
      <c r="F1122" s="244">
        <v>0.81</v>
      </c>
      <c r="G1122" s="171"/>
      <c r="H1122" s="244">
        <v>0.01</v>
      </c>
      <c r="I1122" s="244">
        <v>0.16</v>
      </c>
      <c r="J1122" s="244">
        <v>0.19</v>
      </c>
      <c r="K1122" s="245" t="s">
        <v>297</v>
      </c>
      <c r="L1122" s="141">
        <v>12242.9</v>
      </c>
    </row>
    <row r="1123" spans="2:12" ht="20.100000000000001" customHeight="1" x14ac:dyDescent="0.25">
      <c r="B1123" s="71"/>
      <c r="C1123" s="252"/>
      <c r="D1123" s="253"/>
      <c r="E1123" s="253"/>
      <c r="F1123" s="254"/>
      <c r="G1123" s="171"/>
      <c r="H1123" s="250"/>
      <c r="I1123" s="255"/>
      <c r="J1123" s="255"/>
      <c r="K1123" s="251"/>
      <c r="L1123" s="141"/>
    </row>
    <row r="1124" spans="2:12" ht="20.100000000000001" customHeight="1" x14ac:dyDescent="0.25">
      <c r="B1124" s="71"/>
      <c r="C1124" s="245"/>
      <c r="D1124" s="244">
        <v>0.02</v>
      </c>
      <c r="E1124" s="244">
        <v>0.32</v>
      </c>
      <c r="F1124" s="244">
        <v>0.3</v>
      </c>
      <c r="G1124" s="171"/>
      <c r="H1124" s="244">
        <v>0.01</v>
      </c>
      <c r="I1124" s="244">
        <v>0.02</v>
      </c>
      <c r="J1124" s="244">
        <v>0.02</v>
      </c>
      <c r="K1124" s="245" t="s">
        <v>298</v>
      </c>
      <c r="L1124" s="141">
        <v>12243.2</v>
      </c>
    </row>
    <row r="1125" spans="2:12" ht="20.100000000000001" customHeight="1" x14ac:dyDescent="0.25">
      <c r="B1125" s="71"/>
      <c r="C1125" s="245"/>
      <c r="D1125" s="244">
        <v>0.05</v>
      </c>
      <c r="E1125" s="244">
        <v>0.32</v>
      </c>
      <c r="F1125" s="244">
        <v>0.46</v>
      </c>
      <c r="G1125" s="171"/>
      <c r="H1125" s="244">
        <v>0.02</v>
      </c>
      <c r="I1125" s="244">
        <v>0.08</v>
      </c>
      <c r="J1125" s="244">
        <v>0.31</v>
      </c>
      <c r="K1125" s="245" t="s">
        <v>298</v>
      </c>
      <c r="L1125" s="141">
        <v>12245.9</v>
      </c>
    </row>
    <row r="1126" spans="2:12" ht="20.100000000000001" customHeight="1" x14ac:dyDescent="0.25">
      <c r="B1126" s="134"/>
      <c r="C1126" s="135"/>
      <c r="D1126" s="261"/>
      <c r="E1126" s="262"/>
      <c r="F1126" s="263"/>
      <c r="G1126" s="171"/>
      <c r="H1126" s="244"/>
      <c r="I1126" s="244"/>
      <c r="J1126" s="244"/>
      <c r="K1126" s="245"/>
      <c r="L1126" s="141"/>
    </row>
    <row r="1127" spans="2:12" ht="20.100000000000001" customHeight="1" x14ac:dyDescent="0.25">
      <c r="B1127" s="134"/>
      <c r="C1127" s="135"/>
      <c r="D1127" s="261"/>
      <c r="E1127" s="262"/>
      <c r="F1127" s="263"/>
      <c r="G1127" s="171"/>
      <c r="H1127" s="244"/>
      <c r="I1127" s="244"/>
      <c r="J1127" s="244"/>
      <c r="K1127" s="245"/>
      <c r="L1127" s="141"/>
    </row>
    <row r="1128" spans="2:12" ht="20.100000000000001" customHeight="1" x14ac:dyDescent="0.25">
      <c r="B1128" s="71"/>
      <c r="C1128" s="245"/>
      <c r="D1128" s="244">
        <v>0.01</v>
      </c>
      <c r="E1128" s="244">
        <v>0.23</v>
      </c>
      <c r="F1128" s="244">
        <v>0.11</v>
      </c>
      <c r="G1128" s="171"/>
      <c r="H1128" s="244">
        <v>0</v>
      </c>
      <c r="I1128" s="244">
        <v>0.01</v>
      </c>
      <c r="J1128" s="244">
        <v>0</v>
      </c>
      <c r="K1128" s="245" t="s">
        <v>297</v>
      </c>
      <c r="L1128" s="141"/>
    </row>
    <row r="1129" spans="2:12" ht="20.100000000000001" customHeight="1" x14ac:dyDescent="0.25">
      <c r="B1129" s="71"/>
      <c r="C1129" s="245"/>
      <c r="D1129" s="244">
        <v>0.04</v>
      </c>
      <c r="E1129" s="244">
        <v>0.28000000000000003</v>
      </c>
      <c r="F1129" s="244">
        <v>0.38</v>
      </c>
      <c r="G1129" s="171"/>
      <c r="H1129" s="244">
        <v>0</v>
      </c>
      <c r="I1129" s="244">
        <v>0.06</v>
      </c>
      <c r="J1129" s="244">
        <v>0.08</v>
      </c>
      <c r="K1129" s="245" t="s">
        <v>298</v>
      </c>
      <c r="L1129" s="141">
        <v>12251.9</v>
      </c>
    </row>
    <row r="1130" spans="2:12" ht="20.100000000000001" customHeight="1" x14ac:dyDescent="0.25">
      <c r="B1130" s="258"/>
      <c r="C1130" s="259"/>
      <c r="D1130" s="259"/>
      <c r="E1130" s="259"/>
      <c r="F1130" s="260"/>
      <c r="G1130" s="171"/>
      <c r="H1130" s="244"/>
      <c r="I1130" s="244"/>
      <c r="J1130" s="244"/>
      <c r="K1130" s="245"/>
      <c r="L1130" s="141"/>
    </row>
    <row r="1131" spans="2:12" ht="20.100000000000001" customHeight="1" x14ac:dyDescent="0.25">
      <c r="B1131" s="258"/>
      <c r="C1131" s="259"/>
      <c r="D1131" s="259"/>
      <c r="E1131" s="259"/>
      <c r="F1131" s="260"/>
      <c r="G1131" s="171"/>
      <c r="H1131" s="244"/>
      <c r="I1131" s="244"/>
      <c r="J1131" s="244"/>
      <c r="K1131" s="245"/>
      <c r="L1131" s="141"/>
    </row>
    <row r="1132" spans="2:12" ht="20.100000000000001" customHeight="1" x14ac:dyDescent="0.25">
      <c r="B1132" s="258"/>
      <c r="C1132" s="259"/>
      <c r="D1132" s="259"/>
      <c r="E1132" s="259"/>
      <c r="F1132" s="260"/>
      <c r="G1132" s="171"/>
      <c r="H1132" s="244"/>
      <c r="I1132" s="244"/>
      <c r="J1132" s="244"/>
      <c r="K1132" s="245"/>
      <c r="L1132" s="141"/>
    </row>
    <row r="1133" spans="2:12" ht="20.100000000000001" customHeight="1" x14ac:dyDescent="0.25">
      <c r="B1133" s="258"/>
      <c r="C1133" s="259"/>
      <c r="D1133" s="259"/>
      <c r="E1133" s="259"/>
      <c r="F1133" s="260"/>
      <c r="G1133" s="171"/>
      <c r="H1133" s="244">
        <v>0.24</v>
      </c>
      <c r="I1133" s="244">
        <v>0.68</v>
      </c>
      <c r="J1133" s="244">
        <v>0.34</v>
      </c>
      <c r="K1133" s="245"/>
      <c r="L1133" s="141"/>
    </row>
    <row r="1134" spans="2:12" ht="20.100000000000001" customHeight="1" x14ac:dyDescent="0.25">
      <c r="B1134" s="71"/>
      <c r="C1134" s="245"/>
      <c r="D1134" s="244">
        <v>0.18</v>
      </c>
      <c r="E1134" s="244">
        <v>0.43</v>
      </c>
      <c r="F1134" s="244">
        <v>0.38</v>
      </c>
      <c r="G1134" s="171"/>
      <c r="H1134" s="244">
        <v>0.19</v>
      </c>
      <c r="I1134" s="244">
        <v>0.39</v>
      </c>
      <c r="J1134" s="244">
        <v>0.23</v>
      </c>
      <c r="K1134" s="245" t="s">
        <v>298</v>
      </c>
      <c r="L1134" s="141">
        <v>12328.7</v>
      </c>
    </row>
    <row r="1135" spans="2:12" ht="20.100000000000001" customHeight="1" x14ac:dyDescent="0.25">
      <c r="B1135" s="134"/>
      <c r="C1135" s="135"/>
      <c r="D1135" s="261"/>
      <c r="E1135" s="262"/>
      <c r="F1135" s="263"/>
      <c r="G1135" s="171"/>
      <c r="H1135" s="244"/>
      <c r="I1135" s="244"/>
      <c r="J1135" s="244"/>
      <c r="K1135" s="245"/>
      <c r="L1135" s="141"/>
    </row>
    <row r="1136" spans="2:12" ht="20.100000000000001" customHeight="1" x14ac:dyDescent="0.25">
      <c r="B1136" s="134"/>
      <c r="C1136" s="135"/>
      <c r="D1136" s="261"/>
      <c r="E1136" s="262"/>
      <c r="F1136" s="263"/>
      <c r="G1136" s="171"/>
      <c r="H1136" s="244"/>
      <c r="I1136" s="244"/>
      <c r="J1136" s="244"/>
      <c r="K1136" s="245"/>
      <c r="L1136" s="141"/>
    </row>
    <row r="1137" spans="2:12" ht="20.100000000000001" customHeight="1" x14ac:dyDescent="0.25">
      <c r="B1137" s="73"/>
      <c r="C1137" s="243"/>
      <c r="D1137" s="267"/>
      <c r="E1137" s="268"/>
      <c r="F1137" s="269"/>
      <c r="G1137" s="171"/>
      <c r="H1137" s="244"/>
      <c r="I1137" s="244"/>
      <c r="J1137" s="244"/>
      <c r="K1137" s="245"/>
      <c r="L1137" s="141"/>
    </row>
    <row r="1138" spans="2:12" ht="20.100000000000001" customHeight="1" x14ac:dyDescent="0.25">
      <c r="B1138" s="71"/>
      <c r="C1138" s="245"/>
      <c r="D1138" s="244"/>
      <c r="E1138" s="244"/>
      <c r="F1138" s="244">
        <v>0.04</v>
      </c>
      <c r="G1138" s="171"/>
      <c r="H1138" s="244"/>
      <c r="I1138" s="244"/>
      <c r="J1138" s="244">
        <v>0.08</v>
      </c>
      <c r="K1138" s="245" t="s">
        <v>297</v>
      </c>
      <c r="L1138" s="141"/>
    </row>
    <row r="1139" spans="2:12" ht="20.100000000000001" customHeight="1" x14ac:dyDescent="0.25">
      <c r="B1139" s="71"/>
      <c r="C1139" s="245"/>
      <c r="D1139" s="244">
        <v>0.03</v>
      </c>
      <c r="E1139" s="244">
        <v>0.45</v>
      </c>
      <c r="F1139" s="244">
        <v>0.37</v>
      </c>
      <c r="G1139" s="171"/>
      <c r="H1139" s="244">
        <v>0.01</v>
      </c>
      <c r="I1139" s="244">
        <v>0.02</v>
      </c>
      <c r="J1139" s="244">
        <v>0.05</v>
      </c>
      <c r="K1139" s="245" t="s">
        <v>298</v>
      </c>
      <c r="L1139" s="141">
        <v>12332.1</v>
      </c>
    </row>
    <row r="1140" spans="2:12" ht="20.100000000000001" customHeight="1" x14ac:dyDescent="0.25">
      <c r="B1140" s="71"/>
      <c r="C1140" s="245"/>
      <c r="D1140" s="244">
        <v>0.01</v>
      </c>
      <c r="E1140" s="244">
        <v>0.4</v>
      </c>
      <c r="F1140" s="244">
        <v>0.36</v>
      </c>
      <c r="G1140" s="171"/>
      <c r="H1140" s="244">
        <v>0.01</v>
      </c>
      <c r="I1140" s="244">
        <v>0.03</v>
      </c>
      <c r="J1140" s="244">
        <v>0.02</v>
      </c>
      <c r="K1140" s="245" t="s">
        <v>297</v>
      </c>
      <c r="L1140" s="141"/>
    </row>
    <row r="1141" spans="2:12" ht="20.100000000000001" customHeight="1" x14ac:dyDescent="0.25">
      <c r="B1141" s="71"/>
      <c r="C1141" s="245"/>
      <c r="D1141" s="244">
        <v>0.05</v>
      </c>
      <c r="E1141" s="244">
        <v>0.38</v>
      </c>
      <c r="F1141" s="244">
        <v>0.3</v>
      </c>
      <c r="G1141" s="171"/>
      <c r="H1141" s="244">
        <v>0</v>
      </c>
      <c r="I1141" s="244">
        <v>0.01</v>
      </c>
      <c r="J1141" s="244">
        <v>0.01</v>
      </c>
      <c r="K1141" s="245" t="s">
        <v>298</v>
      </c>
      <c r="L1141" s="141">
        <v>12337.4</v>
      </c>
    </row>
    <row r="1142" spans="2:12" ht="20.100000000000001" customHeight="1" x14ac:dyDescent="0.25">
      <c r="B1142" s="71"/>
      <c r="C1142" s="245"/>
      <c r="D1142" s="244">
        <v>0.02</v>
      </c>
      <c r="E1142" s="244">
        <v>0.34</v>
      </c>
      <c r="F1142" s="244">
        <v>0.39</v>
      </c>
      <c r="G1142" s="171"/>
      <c r="H1142" s="244">
        <v>0</v>
      </c>
      <c r="I1142" s="244">
        <v>0.02</v>
      </c>
      <c r="J1142" s="244">
        <v>0.06</v>
      </c>
      <c r="K1142" s="245" t="s">
        <v>297</v>
      </c>
      <c r="L1142" s="141"/>
    </row>
    <row r="1143" spans="2:12" ht="20.100000000000001" customHeight="1" x14ac:dyDescent="0.25">
      <c r="B1143" s="71"/>
      <c r="C1143" s="245"/>
      <c r="D1143" s="244">
        <v>0.01</v>
      </c>
      <c r="E1143" s="244">
        <v>0.37</v>
      </c>
      <c r="F1143" s="244">
        <v>0.36</v>
      </c>
      <c r="G1143" s="171"/>
      <c r="H1143" s="244">
        <v>0</v>
      </c>
      <c r="I1143" s="244">
        <v>0.01</v>
      </c>
      <c r="J1143" s="244">
        <v>0.15</v>
      </c>
      <c r="K1143" s="245" t="s">
        <v>298</v>
      </c>
      <c r="L1143" s="141">
        <v>12342.4</v>
      </c>
    </row>
    <row r="1144" spans="2:12" ht="20.100000000000001" customHeight="1" x14ac:dyDescent="0.25">
      <c r="B1144" s="71"/>
      <c r="C1144" s="245"/>
      <c r="D1144" s="244">
        <v>0.01</v>
      </c>
      <c r="E1144" s="244">
        <v>0.33</v>
      </c>
      <c r="F1144" s="244">
        <v>0.4</v>
      </c>
      <c r="G1144" s="171"/>
      <c r="H1144" s="244">
        <v>0</v>
      </c>
      <c r="I1144" s="244">
        <v>0.03</v>
      </c>
      <c r="J1144" s="244">
        <v>0.1</v>
      </c>
      <c r="K1144" s="245" t="s">
        <v>297</v>
      </c>
      <c r="L1144" s="141"/>
    </row>
    <row r="1145" spans="2:12" ht="20.100000000000001" customHeight="1" x14ac:dyDescent="0.25">
      <c r="B1145" s="71"/>
      <c r="C1145" s="245"/>
      <c r="D1145" s="244">
        <v>0.01</v>
      </c>
      <c r="E1145" s="244">
        <v>0.36</v>
      </c>
      <c r="F1145" s="244">
        <v>0.37</v>
      </c>
      <c r="G1145" s="171"/>
      <c r="H1145" s="244">
        <v>0</v>
      </c>
      <c r="I1145" s="244">
        <v>0.02</v>
      </c>
      <c r="J1145" s="244">
        <v>0.17</v>
      </c>
      <c r="K1145" s="245" t="s">
        <v>298</v>
      </c>
      <c r="L1145" s="141">
        <v>12346</v>
      </c>
    </row>
    <row r="1146" spans="2:12" ht="20.100000000000001" customHeight="1" x14ac:dyDescent="0.25">
      <c r="B1146" s="134"/>
      <c r="C1146" s="135"/>
      <c r="D1146" s="261"/>
      <c r="E1146" s="262"/>
      <c r="F1146" s="263"/>
      <c r="G1146" s="171"/>
      <c r="H1146" s="244"/>
      <c r="I1146" s="244"/>
      <c r="J1146" s="244"/>
      <c r="K1146" s="245"/>
      <c r="L1146" s="141"/>
    </row>
    <row r="1147" spans="2:12" ht="20.100000000000001" customHeight="1" x14ac:dyDescent="0.25">
      <c r="B1147" s="134"/>
      <c r="C1147" s="135"/>
      <c r="D1147" s="261"/>
      <c r="E1147" s="262"/>
      <c r="F1147" s="263"/>
      <c r="G1147" s="171"/>
      <c r="H1147" s="244"/>
      <c r="I1147" s="244"/>
      <c r="J1147" s="244"/>
      <c r="K1147" s="245"/>
      <c r="L1147" s="141"/>
    </row>
    <row r="1148" spans="2:12" ht="20.100000000000001" customHeight="1" x14ac:dyDescent="0.25">
      <c r="B1148" s="71"/>
      <c r="C1148" s="245"/>
      <c r="D1148" s="244">
        <v>0.05</v>
      </c>
      <c r="E1148" s="244">
        <v>0.28999999999999998</v>
      </c>
      <c r="F1148" s="244">
        <v>0.32</v>
      </c>
      <c r="G1148" s="171"/>
      <c r="H1148" s="244">
        <v>0</v>
      </c>
      <c r="I1148" s="244">
        <v>0.01</v>
      </c>
      <c r="J1148" s="244">
        <v>0.02</v>
      </c>
      <c r="K1148" s="245" t="s">
        <v>297</v>
      </c>
      <c r="L1148" s="141"/>
    </row>
    <row r="1149" spans="2:12" ht="20.100000000000001" customHeight="1" x14ac:dyDescent="0.25">
      <c r="B1149" s="71"/>
      <c r="C1149" s="245"/>
      <c r="D1149" s="244">
        <v>0.01</v>
      </c>
      <c r="E1149" s="244">
        <v>0.28999999999999998</v>
      </c>
      <c r="F1149" s="244">
        <v>0.31</v>
      </c>
      <c r="G1149" s="171"/>
      <c r="H1149" s="244">
        <v>0.01</v>
      </c>
      <c r="I1149" s="244">
        <v>7.0000000000000007E-2</v>
      </c>
      <c r="J1149" s="244">
        <v>0.11</v>
      </c>
      <c r="K1149" s="245" t="s">
        <v>298</v>
      </c>
      <c r="L1149" s="141">
        <v>12352</v>
      </c>
    </row>
    <row r="1150" spans="2:12" ht="20.100000000000001" customHeight="1" x14ac:dyDescent="0.25">
      <c r="B1150" s="71"/>
      <c r="C1150" s="245"/>
      <c r="D1150" s="244">
        <v>0.1</v>
      </c>
      <c r="E1150" s="244">
        <v>0.27</v>
      </c>
      <c r="F1150" s="244">
        <v>0.39</v>
      </c>
      <c r="G1150" s="171"/>
      <c r="H1150" s="244">
        <v>7.0000000000000007E-2</v>
      </c>
      <c r="I1150" s="244">
        <v>0.04</v>
      </c>
      <c r="J1150" s="244">
        <v>0.01</v>
      </c>
      <c r="K1150" s="245" t="s">
        <v>297</v>
      </c>
      <c r="L1150" s="141"/>
    </row>
    <row r="1151" spans="2:12" ht="20.100000000000001" customHeight="1" x14ac:dyDescent="0.25">
      <c r="B1151" s="71"/>
      <c r="C1151" s="245"/>
      <c r="D1151" s="244"/>
      <c r="E1151" s="244">
        <v>0.27</v>
      </c>
      <c r="F1151" s="244">
        <v>0.28000000000000003</v>
      </c>
      <c r="G1151" s="171"/>
      <c r="H1151" s="244"/>
      <c r="I1151" s="244"/>
      <c r="J1151" s="244">
        <v>0.1</v>
      </c>
      <c r="K1151" s="245" t="s">
        <v>298</v>
      </c>
      <c r="L1151" s="141">
        <v>12355.4</v>
      </c>
    </row>
    <row r="1152" spans="2:12" ht="20.100000000000001" customHeight="1" x14ac:dyDescent="0.25">
      <c r="B1152" s="71"/>
      <c r="C1152" s="245"/>
      <c r="D1152" s="244">
        <v>0.05</v>
      </c>
      <c r="E1152" s="244">
        <v>0.24</v>
      </c>
      <c r="F1152" s="244">
        <v>0.27</v>
      </c>
      <c r="G1152" s="171"/>
      <c r="H1152" s="244">
        <v>0</v>
      </c>
      <c r="I1152" s="244">
        <v>0.01</v>
      </c>
      <c r="J1152" s="244">
        <v>0.08</v>
      </c>
      <c r="K1152" s="245" t="s">
        <v>297</v>
      </c>
      <c r="L1152" s="141"/>
    </row>
    <row r="1153" spans="2:12" ht="20.100000000000001" customHeight="1" x14ac:dyDescent="0.25">
      <c r="B1153" s="71"/>
      <c r="C1153" s="245"/>
      <c r="D1153" s="244">
        <v>0.04</v>
      </c>
      <c r="E1153" s="244">
        <v>0.21</v>
      </c>
      <c r="F1153" s="244">
        <v>0.4</v>
      </c>
      <c r="G1153" s="171"/>
      <c r="H1153" s="244">
        <v>0</v>
      </c>
      <c r="I1153" s="244">
        <v>0.01</v>
      </c>
      <c r="J1153" s="244">
        <v>0.17</v>
      </c>
      <c r="K1153" s="245" t="s">
        <v>298</v>
      </c>
      <c r="L1153" s="141">
        <v>12358</v>
      </c>
    </row>
    <row r="1154" spans="2:12" ht="20.100000000000001" customHeight="1" x14ac:dyDescent="0.25">
      <c r="B1154" s="71"/>
      <c r="C1154" s="245"/>
      <c r="D1154" s="244">
        <v>0.02</v>
      </c>
      <c r="E1154" s="244">
        <v>0.21</v>
      </c>
      <c r="F1154" s="244">
        <v>0.27</v>
      </c>
      <c r="G1154" s="171"/>
      <c r="H1154" s="244">
        <v>0</v>
      </c>
      <c r="I1154" s="244">
        <v>0.02</v>
      </c>
      <c r="J1154" s="244">
        <v>0.08</v>
      </c>
      <c r="K1154" s="245" t="s">
        <v>297</v>
      </c>
      <c r="L1154" s="141"/>
    </row>
    <row r="1155" spans="2:12" ht="20.100000000000001" customHeight="1" x14ac:dyDescent="0.25">
      <c r="B1155" s="71"/>
      <c r="C1155" s="245"/>
      <c r="D1155" s="267"/>
      <c r="E1155" s="268"/>
      <c r="F1155" s="269"/>
      <c r="G1155" s="171"/>
      <c r="H1155" s="244"/>
      <c r="I1155" s="244"/>
      <c r="J1155" s="244"/>
      <c r="K1155" s="245" t="s">
        <v>298</v>
      </c>
      <c r="L1155" s="141">
        <v>12362.1</v>
      </c>
    </row>
    <row r="1156" spans="2:12" ht="20.100000000000001" customHeight="1" x14ac:dyDescent="0.25">
      <c r="B1156" s="71"/>
      <c r="C1156" s="245"/>
      <c r="D1156" s="244">
        <v>0.02</v>
      </c>
      <c r="E1156" s="244">
        <v>0.28000000000000003</v>
      </c>
      <c r="F1156" s="244">
        <v>0.34</v>
      </c>
      <c r="G1156" s="171"/>
      <c r="H1156" s="244">
        <v>0</v>
      </c>
      <c r="I1156" s="244">
        <v>0.01</v>
      </c>
      <c r="J1156" s="244">
        <v>0.13</v>
      </c>
      <c r="K1156" s="245" t="s">
        <v>298</v>
      </c>
      <c r="L1156" s="141">
        <v>12362.5</v>
      </c>
    </row>
    <row r="1157" spans="2:12" ht="20.100000000000001" customHeight="1" x14ac:dyDescent="0.25">
      <c r="B1157" s="134"/>
      <c r="C1157" s="135"/>
      <c r="D1157" s="261"/>
      <c r="E1157" s="262"/>
      <c r="F1157" s="263"/>
      <c r="G1157" s="171"/>
      <c r="H1157" s="244"/>
      <c r="I1157" s="244"/>
      <c r="J1157" s="244"/>
      <c r="K1157" s="245"/>
      <c r="L1157" s="141"/>
    </row>
    <row r="1158" spans="2:12" ht="20.100000000000001" customHeight="1" x14ac:dyDescent="0.25">
      <c r="B1158" s="134"/>
      <c r="C1158" s="135"/>
      <c r="D1158" s="261"/>
      <c r="E1158" s="262"/>
      <c r="F1158" s="263"/>
      <c r="G1158" s="171"/>
      <c r="H1158" s="244"/>
      <c r="I1158" s="244"/>
      <c r="J1158" s="244"/>
      <c r="K1158" s="245"/>
      <c r="L1158" s="141"/>
    </row>
    <row r="1159" spans="2:12" ht="20.100000000000001" customHeight="1" x14ac:dyDescent="0.25">
      <c r="B1159" s="71"/>
      <c r="C1159" s="245"/>
      <c r="D1159" s="244">
        <v>0.01</v>
      </c>
      <c r="E1159" s="244">
        <v>0.02</v>
      </c>
      <c r="F1159" s="244">
        <v>0.24</v>
      </c>
      <c r="G1159" s="171"/>
      <c r="H1159" s="244">
        <v>0</v>
      </c>
      <c r="I1159" s="244">
        <v>0.01</v>
      </c>
      <c r="J1159" s="244">
        <v>0.15</v>
      </c>
      <c r="K1159" s="245" t="s">
        <v>297</v>
      </c>
      <c r="L1159" s="141"/>
    </row>
    <row r="1160" spans="2:12" ht="20.100000000000001" customHeight="1" x14ac:dyDescent="0.25">
      <c r="B1160" s="71"/>
      <c r="C1160" s="245"/>
      <c r="D1160" s="244">
        <v>0.01</v>
      </c>
      <c r="E1160" s="244">
        <v>0.01</v>
      </c>
      <c r="F1160" s="244">
        <v>0.12</v>
      </c>
      <c r="G1160" s="171"/>
      <c r="H1160" s="244">
        <v>0</v>
      </c>
      <c r="I1160" s="244">
        <v>0.01</v>
      </c>
      <c r="J1160" s="244">
        <v>0.04</v>
      </c>
      <c r="K1160" s="245" t="s">
        <v>298</v>
      </c>
      <c r="L1160" s="141">
        <v>12366.1</v>
      </c>
    </row>
    <row r="1161" spans="2:12" ht="20.100000000000001" customHeight="1" x14ac:dyDescent="0.25">
      <c r="B1161" s="71"/>
      <c r="C1161" s="245"/>
      <c r="D1161" s="244">
        <v>0.01</v>
      </c>
      <c r="E1161" s="244">
        <v>0.05</v>
      </c>
      <c r="F1161" s="244">
        <v>0.25</v>
      </c>
      <c r="G1161" s="171"/>
      <c r="H1161" s="244">
        <v>0</v>
      </c>
      <c r="I1161" s="244">
        <v>0.02</v>
      </c>
      <c r="J1161" s="244">
        <v>7.0000000000000007E-2</v>
      </c>
      <c r="K1161" s="245" t="s">
        <v>297</v>
      </c>
      <c r="L1161" s="141"/>
    </row>
    <row r="1162" spans="2:12" ht="20.100000000000001" customHeight="1" x14ac:dyDescent="0.25">
      <c r="B1162" s="71"/>
      <c r="C1162" s="245"/>
      <c r="D1162" s="250"/>
      <c r="E1162" s="255"/>
      <c r="F1162" s="251"/>
      <c r="G1162" s="171"/>
      <c r="H1162" s="244"/>
      <c r="I1162" s="244"/>
      <c r="J1162" s="244"/>
      <c r="K1162" s="245"/>
      <c r="L1162" s="141"/>
    </row>
    <row r="1163" spans="2:12" ht="20.100000000000001" customHeight="1" x14ac:dyDescent="0.25">
      <c r="B1163" s="71"/>
      <c r="C1163" s="245"/>
      <c r="D1163" s="244">
        <v>0.01</v>
      </c>
      <c r="E1163" s="244">
        <v>0.4</v>
      </c>
      <c r="F1163" s="244">
        <v>0.39</v>
      </c>
      <c r="G1163" s="171"/>
      <c r="H1163" s="250"/>
      <c r="I1163" s="255"/>
      <c r="J1163" s="255"/>
      <c r="K1163" s="251"/>
      <c r="L1163" s="141"/>
    </row>
    <row r="1164" spans="2:12" ht="20.100000000000001" customHeight="1" x14ac:dyDescent="0.25">
      <c r="B1164" s="71"/>
      <c r="C1164" s="245"/>
      <c r="D1164" s="244">
        <v>0.01</v>
      </c>
      <c r="E1164" s="244">
        <v>0.35</v>
      </c>
      <c r="F1164" s="244">
        <v>0.5</v>
      </c>
      <c r="G1164" s="171"/>
      <c r="H1164" s="244">
        <v>0.01</v>
      </c>
      <c r="I1164" s="244">
        <v>0.04</v>
      </c>
      <c r="J1164" s="244">
        <v>0.11</v>
      </c>
      <c r="K1164" s="245" t="s">
        <v>298</v>
      </c>
      <c r="L1164" s="141">
        <v>12372</v>
      </c>
    </row>
    <row r="1165" spans="2:12" ht="20.100000000000001" customHeight="1" x14ac:dyDescent="0.25">
      <c r="B1165" s="71"/>
      <c r="C1165" s="245"/>
      <c r="D1165" s="244">
        <v>0</v>
      </c>
      <c r="E1165" s="244">
        <v>0.31</v>
      </c>
      <c r="F1165" s="244">
        <v>0.43</v>
      </c>
      <c r="G1165" s="171"/>
      <c r="H1165" s="244">
        <v>0</v>
      </c>
      <c r="I1165" s="244">
        <v>0.01</v>
      </c>
      <c r="J1165" s="244">
        <v>0.1</v>
      </c>
      <c r="K1165" s="245" t="s">
        <v>297</v>
      </c>
      <c r="L1165" s="141"/>
    </row>
    <row r="1166" spans="2:12" ht="20.100000000000001" customHeight="1" x14ac:dyDescent="0.25">
      <c r="B1166" s="71"/>
      <c r="C1166" s="245"/>
      <c r="D1166" s="244">
        <v>0.01</v>
      </c>
      <c r="E1166" s="244">
        <v>0.43</v>
      </c>
      <c r="F1166" s="244">
        <v>0.53</v>
      </c>
      <c r="G1166" s="171"/>
      <c r="H1166" s="244">
        <v>0</v>
      </c>
      <c r="I1166" s="244">
        <v>0</v>
      </c>
      <c r="J1166" s="244">
        <v>0.12</v>
      </c>
      <c r="K1166" s="245" t="s">
        <v>297</v>
      </c>
      <c r="L1166" s="141"/>
    </row>
    <row r="1167" spans="2:12" ht="20.100000000000001" customHeight="1" x14ac:dyDescent="0.25">
      <c r="B1167" s="71"/>
      <c r="C1167" s="245"/>
      <c r="D1167" s="244">
        <v>0.01</v>
      </c>
      <c r="E1167" s="244">
        <v>0.3</v>
      </c>
      <c r="F1167" s="244">
        <v>0.56000000000000005</v>
      </c>
      <c r="G1167" s="171"/>
      <c r="H1167" s="244">
        <v>0</v>
      </c>
      <c r="I1167" s="244">
        <v>0.01</v>
      </c>
      <c r="J1167" s="244">
        <v>0.14000000000000001</v>
      </c>
      <c r="K1167" s="245" t="s">
        <v>298</v>
      </c>
      <c r="L1167" s="141">
        <v>12375.9</v>
      </c>
    </row>
    <row r="1168" spans="2:12" ht="20.100000000000001" customHeight="1" x14ac:dyDescent="0.25">
      <c r="B1168" s="134"/>
      <c r="C1168" s="135"/>
      <c r="D1168" s="261"/>
      <c r="E1168" s="262"/>
      <c r="F1168" s="263"/>
      <c r="G1168" s="171"/>
      <c r="H1168" s="244"/>
      <c r="I1168" s="244"/>
      <c r="J1168" s="244"/>
      <c r="K1168" s="245"/>
      <c r="L1168" s="141"/>
    </row>
    <row r="1169" spans="2:12" ht="20.100000000000001" customHeight="1" x14ac:dyDescent="0.25">
      <c r="B1169" s="134"/>
      <c r="C1169" s="135"/>
      <c r="D1169" s="261"/>
      <c r="E1169" s="262"/>
      <c r="F1169" s="263"/>
      <c r="G1169" s="171"/>
      <c r="H1169" s="244"/>
      <c r="I1169" s="244"/>
      <c r="J1169" s="244"/>
      <c r="K1169" s="245"/>
      <c r="L1169" s="141"/>
    </row>
    <row r="1170" spans="2:12" ht="20.100000000000001" customHeight="1" x14ac:dyDescent="0.25">
      <c r="B1170" s="71"/>
      <c r="C1170" s="245"/>
      <c r="D1170" s="244">
        <v>0.01</v>
      </c>
      <c r="E1170" s="244">
        <v>0.28000000000000003</v>
      </c>
      <c r="F1170" s="244">
        <v>0.3</v>
      </c>
      <c r="G1170" s="171"/>
      <c r="H1170" s="244">
        <v>0</v>
      </c>
      <c r="I1170" s="244">
        <v>0.01</v>
      </c>
      <c r="J1170" s="244">
        <v>0.05</v>
      </c>
      <c r="K1170" s="245" t="s">
        <v>298</v>
      </c>
      <c r="L1170" s="141"/>
    </row>
    <row r="1171" spans="2:12" ht="20.100000000000001" customHeight="1" x14ac:dyDescent="0.25">
      <c r="B1171" s="71"/>
      <c r="C1171" s="245"/>
      <c r="D1171" s="244">
        <v>0.03</v>
      </c>
      <c r="E1171" s="244">
        <v>0.24</v>
      </c>
      <c r="F1171" s="244">
        <v>0.3</v>
      </c>
      <c r="G1171" s="171"/>
      <c r="H1171" s="244">
        <v>0.01</v>
      </c>
      <c r="I1171" s="244">
        <v>0.01</v>
      </c>
      <c r="J1171" s="244">
        <v>0.02</v>
      </c>
      <c r="K1171" s="245" t="s">
        <v>297</v>
      </c>
      <c r="L1171" s="141"/>
    </row>
    <row r="1172" spans="2:12" ht="20.100000000000001" customHeight="1" x14ac:dyDescent="0.25">
      <c r="B1172" s="71"/>
      <c r="C1172" s="245"/>
      <c r="D1172" s="244">
        <v>0.02</v>
      </c>
      <c r="E1172" s="244">
        <v>0.26</v>
      </c>
      <c r="F1172" s="244">
        <v>0.27</v>
      </c>
      <c r="G1172" s="171"/>
      <c r="H1172" s="244">
        <v>0.01</v>
      </c>
      <c r="I1172" s="244">
        <v>0.01</v>
      </c>
      <c r="J1172" s="244">
        <v>0.02</v>
      </c>
      <c r="K1172" s="245" t="s">
        <v>298</v>
      </c>
      <c r="L1172" s="141">
        <v>12381.1</v>
      </c>
    </row>
    <row r="1173" spans="2:12" ht="20.100000000000001" customHeight="1" x14ac:dyDescent="0.25">
      <c r="B1173" s="71"/>
      <c r="C1173" s="245"/>
      <c r="D1173" s="244">
        <v>0.02</v>
      </c>
      <c r="E1173" s="244">
        <v>0.25</v>
      </c>
      <c r="F1173" s="244">
        <v>0.24</v>
      </c>
      <c r="G1173" s="171"/>
      <c r="H1173" s="244">
        <v>0.01</v>
      </c>
      <c r="I1173" s="244">
        <v>0.01</v>
      </c>
      <c r="J1173" s="244">
        <v>7.0000000000000007E-2</v>
      </c>
      <c r="K1173" s="245" t="s">
        <v>297</v>
      </c>
      <c r="L1173" s="141"/>
    </row>
    <row r="1174" spans="2:12" ht="20.100000000000001" customHeight="1" x14ac:dyDescent="0.25">
      <c r="B1174" s="71"/>
      <c r="C1174" s="245"/>
      <c r="D1174" s="244">
        <v>0.01</v>
      </c>
      <c r="E1174" s="244">
        <v>0.25</v>
      </c>
      <c r="F1174" s="244">
        <v>0.33</v>
      </c>
      <c r="G1174" s="171"/>
      <c r="H1174" s="244"/>
      <c r="I1174" s="244"/>
      <c r="J1174" s="244"/>
      <c r="K1174" s="245"/>
      <c r="L1174" s="141"/>
    </row>
    <row r="1175" spans="2:12" ht="20.100000000000001" customHeight="1" x14ac:dyDescent="0.25">
      <c r="B1175" s="71"/>
      <c r="C1175" s="245"/>
      <c r="D1175" s="244">
        <v>0.01</v>
      </c>
      <c r="E1175" s="244">
        <v>0.24</v>
      </c>
      <c r="F1175" s="244">
        <v>0.26</v>
      </c>
      <c r="G1175" s="171"/>
      <c r="H1175" s="244">
        <v>0.01</v>
      </c>
      <c r="I1175" s="244">
        <v>0.01</v>
      </c>
      <c r="J1175" s="244">
        <v>0.16</v>
      </c>
      <c r="K1175" s="245" t="s">
        <v>297</v>
      </c>
      <c r="L1175" s="141"/>
    </row>
    <row r="1176" spans="2:12" ht="20.100000000000001" customHeight="1" x14ac:dyDescent="0.25">
      <c r="B1176" s="71"/>
      <c r="C1176" s="245"/>
      <c r="D1176" s="244">
        <v>0.01</v>
      </c>
      <c r="E1176" s="244">
        <v>0.25</v>
      </c>
      <c r="F1176" s="244">
        <v>0.45</v>
      </c>
      <c r="G1176" s="171"/>
      <c r="H1176" s="244">
        <v>0.01</v>
      </c>
      <c r="I1176" s="244">
        <v>0</v>
      </c>
      <c r="J1176" s="244">
        <v>0.06</v>
      </c>
      <c r="K1176" s="245" t="s">
        <v>298</v>
      </c>
      <c r="L1176" s="141">
        <v>12390.1</v>
      </c>
    </row>
    <row r="1177" spans="2:12" ht="20.100000000000001" customHeight="1" x14ac:dyDescent="0.25">
      <c r="B1177" s="71"/>
      <c r="C1177" s="245"/>
      <c r="D1177" s="244">
        <v>0.01</v>
      </c>
      <c r="E1177" s="244">
        <v>0.22</v>
      </c>
      <c r="F1177" s="244">
        <v>0.25</v>
      </c>
      <c r="G1177" s="171"/>
      <c r="H1177" s="244">
        <v>0.01</v>
      </c>
      <c r="I1177" s="244">
        <v>0.01</v>
      </c>
      <c r="J1177" s="244">
        <v>0.2</v>
      </c>
      <c r="K1177" s="245" t="s">
        <v>297</v>
      </c>
      <c r="L1177" s="141"/>
    </row>
    <row r="1178" spans="2:12" ht="20.100000000000001" customHeight="1" x14ac:dyDescent="0.25">
      <c r="B1178" s="71"/>
      <c r="C1178" s="245"/>
      <c r="D1178" s="244">
        <v>0</v>
      </c>
      <c r="E1178" s="244">
        <v>0.19</v>
      </c>
      <c r="F1178" s="244">
        <v>0.24</v>
      </c>
      <c r="G1178" s="171"/>
      <c r="H1178" s="244">
        <v>0.01</v>
      </c>
      <c r="I1178" s="244">
        <v>0.02</v>
      </c>
      <c r="J1178" s="244">
        <v>0.21</v>
      </c>
      <c r="K1178" s="245" t="s">
        <v>298</v>
      </c>
      <c r="L1178" s="141">
        <v>12394</v>
      </c>
    </row>
    <row r="1179" spans="2:12" ht="20.100000000000001" customHeight="1" x14ac:dyDescent="0.25">
      <c r="B1179" s="134"/>
      <c r="C1179" s="135"/>
      <c r="D1179" s="261"/>
      <c r="E1179" s="262"/>
      <c r="F1179" s="263"/>
      <c r="G1179" s="171"/>
      <c r="H1179" s="244"/>
      <c r="I1179" s="244"/>
      <c r="J1179" s="244"/>
      <c r="K1179" s="245"/>
      <c r="L1179" s="141"/>
    </row>
    <row r="1180" spans="2:12" ht="20.100000000000001" customHeight="1" x14ac:dyDescent="0.25">
      <c r="B1180" s="134"/>
      <c r="C1180" s="135"/>
      <c r="D1180" s="261"/>
      <c r="E1180" s="262"/>
      <c r="F1180" s="263"/>
      <c r="G1180" s="171"/>
      <c r="H1180" s="244"/>
      <c r="I1180" s="244"/>
      <c r="J1180" s="244"/>
      <c r="K1180" s="245"/>
      <c r="L1180" s="141"/>
    </row>
    <row r="1181" spans="2:12" ht="20.100000000000001" customHeight="1" x14ac:dyDescent="0.25">
      <c r="B1181" s="134"/>
      <c r="C1181" s="135"/>
      <c r="D1181" s="261"/>
      <c r="E1181" s="262"/>
      <c r="F1181" s="263"/>
      <c r="G1181" s="171"/>
      <c r="H1181" s="244"/>
      <c r="I1181" s="244"/>
      <c r="J1181" s="244"/>
      <c r="K1181" s="245"/>
      <c r="L1181" s="141"/>
    </row>
    <row r="1182" spans="2:12" ht="20.100000000000001" customHeight="1" x14ac:dyDescent="0.25">
      <c r="B1182" s="71"/>
      <c r="C1182" s="245"/>
      <c r="D1182" s="244">
        <v>0</v>
      </c>
      <c r="E1182" s="244">
        <v>0</v>
      </c>
      <c r="F1182" s="244">
        <v>0.26</v>
      </c>
      <c r="G1182" s="171"/>
      <c r="H1182" s="244">
        <v>0.01</v>
      </c>
      <c r="I1182" s="244">
        <v>0</v>
      </c>
      <c r="J1182" s="244">
        <v>0.04</v>
      </c>
      <c r="K1182" s="245" t="s">
        <v>298</v>
      </c>
      <c r="L1182" s="141">
        <v>12398.3</v>
      </c>
    </row>
    <row r="1183" spans="2:12" ht="20.100000000000001" customHeight="1" x14ac:dyDescent="0.25">
      <c r="B1183" s="71"/>
      <c r="C1183" s="245"/>
      <c r="D1183" s="244">
        <v>0.02</v>
      </c>
      <c r="E1183" s="244">
        <v>0.03</v>
      </c>
      <c r="F1183" s="244">
        <v>0.04</v>
      </c>
      <c r="G1183" s="171"/>
      <c r="H1183" s="244">
        <v>0</v>
      </c>
      <c r="I1183" s="244">
        <v>0.01</v>
      </c>
      <c r="J1183" s="244">
        <v>0</v>
      </c>
      <c r="K1183" s="245" t="s">
        <v>297</v>
      </c>
      <c r="L1183" s="141"/>
    </row>
    <row r="1184" spans="2:12" ht="20.100000000000001" customHeight="1" x14ac:dyDescent="0.25">
      <c r="B1184" s="71"/>
      <c r="C1184" s="245"/>
      <c r="D1184" s="244">
        <v>0</v>
      </c>
      <c r="E1184" s="244">
        <v>0</v>
      </c>
      <c r="F1184" s="244">
        <v>7.0000000000000007E-2</v>
      </c>
      <c r="G1184" s="171"/>
      <c r="H1184" s="244">
        <v>0</v>
      </c>
      <c r="I1184" s="244">
        <v>0.01</v>
      </c>
      <c r="J1184" s="244">
        <v>0.04</v>
      </c>
      <c r="K1184" s="245" t="s">
        <v>297</v>
      </c>
      <c r="L1184" s="141"/>
    </row>
    <row r="1185" spans="2:12" ht="20.100000000000001" customHeight="1" x14ac:dyDescent="0.25">
      <c r="B1185" s="71"/>
      <c r="C1185" s="245"/>
      <c r="D1185" s="250"/>
      <c r="E1185" s="255"/>
      <c r="F1185" s="251"/>
      <c r="G1185" s="171"/>
      <c r="H1185" s="244"/>
      <c r="I1185" s="244"/>
      <c r="J1185" s="244"/>
      <c r="K1185" s="245"/>
      <c r="L1185" s="141"/>
    </row>
    <row r="1186" spans="2:12" ht="20.100000000000001" customHeight="1" x14ac:dyDescent="0.25">
      <c r="B1186" s="71"/>
      <c r="C1186" s="245"/>
      <c r="D1186" s="244">
        <v>0.01</v>
      </c>
      <c r="E1186" s="244">
        <v>0.31</v>
      </c>
      <c r="F1186" s="244">
        <v>0.3</v>
      </c>
      <c r="G1186" s="171"/>
      <c r="H1186" s="244">
        <v>0</v>
      </c>
      <c r="I1186" s="244">
        <v>0.01</v>
      </c>
      <c r="J1186" s="244">
        <v>7.0000000000000007E-2</v>
      </c>
      <c r="K1186" s="245" t="s">
        <v>298</v>
      </c>
      <c r="L1186" s="141"/>
    </row>
    <row r="1187" spans="2:12" ht="20.100000000000001" customHeight="1" x14ac:dyDescent="0.25">
      <c r="B1187" s="71"/>
      <c r="C1187" s="245"/>
      <c r="D1187" s="244">
        <v>0.01</v>
      </c>
      <c r="E1187" s="244">
        <v>0.28000000000000003</v>
      </c>
      <c r="F1187" s="244">
        <v>0.28999999999999998</v>
      </c>
      <c r="G1187" s="171"/>
      <c r="H1187" s="244">
        <v>0.01</v>
      </c>
      <c r="I1187" s="244">
        <v>0.03</v>
      </c>
      <c r="J1187" s="244">
        <v>0</v>
      </c>
      <c r="K1187" s="245" t="s">
        <v>298</v>
      </c>
      <c r="L1187" s="141">
        <v>12417.4</v>
      </c>
    </row>
    <row r="1188" spans="2:12" ht="20.100000000000001" customHeight="1" x14ac:dyDescent="0.25">
      <c r="B1188" s="71"/>
      <c r="C1188" s="245"/>
      <c r="D1188" s="244">
        <v>0.03</v>
      </c>
      <c r="E1188" s="244">
        <v>0.21</v>
      </c>
      <c r="F1188" s="244">
        <v>0.23</v>
      </c>
      <c r="G1188" s="171"/>
      <c r="H1188" s="244">
        <v>0</v>
      </c>
      <c r="I1188" s="244">
        <v>0.04</v>
      </c>
      <c r="J1188" s="244">
        <v>0.01</v>
      </c>
      <c r="K1188" s="245" t="s">
        <v>297</v>
      </c>
      <c r="L1188" s="141"/>
    </row>
    <row r="1189" spans="2:12" ht="20.100000000000001" customHeight="1" x14ac:dyDescent="0.25">
      <c r="B1189" s="71"/>
      <c r="C1189" s="245"/>
      <c r="D1189" s="244">
        <v>0.02</v>
      </c>
      <c r="E1189" s="244">
        <v>0.19</v>
      </c>
      <c r="F1189" s="244">
        <v>0.28000000000000003</v>
      </c>
      <c r="G1189" s="171"/>
      <c r="H1189" s="244">
        <v>0</v>
      </c>
      <c r="I1189" s="244">
        <v>0.01</v>
      </c>
      <c r="J1189" s="244">
        <v>0.02</v>
      </c>
      <c r="K1189" s="245" t="s">
        <v>298</v>
      </c>
      <c r="L1189" s="141">
        <v>12419.2</v>
      </c>
    </row>
    <row r="1190" spans="2:12" ht="20.100000000000001" customHeight="1" x14ac:dyDescent="0.25">
      <c r="B1190" s="134"/>
      <c r="C1190" s="135"/>
      <c r="D1190" s="261"/>
      <c r="E1190" s="262"/>
      <c r="F1190" s="263"/>
      <c r="G1190" s="171"/>
      <c r="H1190" s="244"/>
      <c r="I1190" s="244"/>
      <c r="J1190" s="244"/>
      <c r="K1190" s="245"/>
      <c r="L1190" s="141"/>
    </row>
    <row r="1191" spans="2:12" ht="20.100000000000001" customHeight="1" x14ac:dyDescent="0.25">
      <c r="B1191" s="134"/>
      <c r="C1191" s="135"/>
      <c r="D1191" s="261"/>
      <c r="E1191" s="262"/>
      <c r="F1191" s="263"/>
      <c r="G1191" s="171"/>
      <c r="H1191" s="244"/>
      <c r="I1191" s="244"/>
      <c r="J1191" s="244"/>
      <c r="K1191" s="245"/>
      <c r="L1191" s="141"/>
    </row>
    <row r="1192" spans="2:12" ht="20.100000000000001" customHeight="1" x14ac:dyDescent="0.25">
      <c r="B1192" s="71"/>
      <c r="C1192" s="245"/>
      <c r="D1192" s="244">
        <v>0</v>
      </c>
      <c r="E1192" s="244">
        <v>0.06</v>
      </c>
      <c r="F1192" s="244">
        <v>0.09</v>
      </c>
      <c r="G1192" s="171"/>
      <c r="H1192" s="244">
        <v>0.01</v>
      </c>
      <c r="I1192" s="244">
        <v>0.01</v>
      </c>
      <c r="J1192" s="244">
        <v>0.11</v>
      </c>
      <c r="K1192" s="245" t="s">
        <v>297</v>
      </c>
      <c r="L1192" s="141"/>
    </row>
    <row r="1193" spans="2:12" ht="20.100000000000001" customHeight="1" x14ac:dyDescent="0.25">
      <c r="B1193" s="71"/>
      <c r="C1193" s="245"/>
      <c r="D1193" s="244">
        <v>0</v>
      </c>
      <c r="E1193" s="244">
        <v>0.04</v>
      </c>
      <c r="F1193" s="244">
        <v>0.21</v>
      </c>
      <c r="G1193" s="171"/>
      <c r="H1193" s="244">
        <v>0</v>
      </c>
      <c r="I1193" s="244">
        <v>0.01</v>
      </c>
      <c r="J1193" s="244">
        <v>0.06</v>
      </c>
      <c r="K1193" s="245" t="s">
        <v>298</v>
      </c>
      <c r="L1193" s="141">
        <v>12423.2</v>
      </c>
    </row>
    <row r="1194" spans="2:12" ht="20.100000000000001" customHeight="1" x14ac:dyDescent="0.25">
      <c r="B1194" s="71"/>
      <c r="C1194" s="245"/>
      <c r="D1194" s="244">
        <v>0</v>
      </c>
      <c r="E1194" s="244">
        <v>0.02</v>
      </c>
      <c r="F1194" s="244">
        <v>0.03</v>
      </c>
      <c r="G1194" s="171"/>
      <c r="H1194" s="244">
        <v>0</v>
      </c>
      <c r="I1194" s="244">
        <v>0.02</v>
      </c>
      <c r="J1194" s="244">
        <v>0.01</v>
      </c>
      <c r="K1194" s="245" t="s">
        <v>297</v>
      </c>
      <c r="L1194" s="141"/>
    </row>
    <row r="1195" spans="2:12" ht="20.100000000000001" customHeight="1" x14ac:dyDescent="0.25">
      <c r="B1195" s="71"/>
      <c r="C1195" s="245"/>
      <c r="D1195" s="244">
        <v>0</v>
      </c>
      <c r="E1195" s="244">
        <v>0.02</v>
      </c>
      <c r="F1195" s="244">
        <v>0.23</v>
      </c>
      <c r="G1195" s="171"/>
      <c r="H1195" s="244">
        <v>0</v>
      </c>
      <c r="I1195" s="244">
        <v>0.01</v>
      </c>
      <c r="J1195" s="244">
        <v>0.05</v>
      </c>
      <c r="K1195" s="245" t="s">
        <v>298</v>
      </c>
      <c r="L1195" s="141">
        <v>12428.8</v>
      </c>
    </row>
    <row r="1196" spans="2:12" ht="20.100000000000001" customHeight="1" x14ac:dyDescent="0.25">
      <c r="B1196" s="71"/>
      <c r="C1196" s="245"/>
      <c r="D1196" s="244">
        <v>0.01</v>
      </c>
      <c r="E1196" s="244">
        <v>0.02</v>
      </c>
      <c r="F1196" s="244">
        <v>0.19</v>
      </c>
      <c r="G1196" s="171"/>
      <c r="H1196" s="244">
        <v>0</v>
      </c>
      <c r="I1196" s="244">
        <v>0.01</v>
      </c>
      <c r="J1196" s="244">
        <v>0.19</v>
      </c>
      <c r="K1196" s="245" t="s">
        <v>297</v>
      </c>
      <c r="L1196" s="141"/>
    </row>
    <row r="1197" spans="2:12" ht="20.100000000000001" customHeight="1" x14ac:dyDescent="0.25">
      <c r="B1197" s="71"/>
      <c r="C1197" s="245"/>
      <c r="D1197" s="244">
        <v>0</v>
      </c>
      <c r="E1197" s="244">
        <v>0.02</v>
      </c>
      <c r="F1197" s="244">
        <v>7.0000000000000007E-2</v>
      </c>
      <c r="G1197" s="171"/>
      <c r="H1197" s="244">
        <v>0</v>
      </c>
      <c r="I1197" s="244">
        <v>0.03</v>
      </c>
      <c r="J1197" s="244">
        <v>0.03</v>
      </c>
      <c r="K1197" s="245" t="s">
        <v>298</v>
      </c>
      <c r="L1197" s="141"/>
    </row>
    <row r="1198" spans="2:12" ht="20.100000000000001" customHeight="1" x14ac:dyDescent="0.25">
      <c r="B1198" s="71"/>
      <c r="C1198" s="245"/>
      <c r="D1198" s="250"/>
      <c r="E1198" s="255"/>
      <c r="F1198" s="251"/>
      <c r="G1198" s="171"/>
      <c r="H1198" s="250"/>
      <c r="I1198" s="255"/>
      <c r="J1198" s="255"/>
      <c r="K1198" s="251"/>
      <c r="L1198" s="141"/>
    </row>
    <row r="1199" spans="2:12" ht="20.100000000000001" customHeight="1" x14ac:dyDescent="0.25">
      <c r="B1199" s="71"/>
      <c r="C1199" s="245"/>
      <c r="D1199" s="244">
        <v>0.01</v>
      </c>
      <c r="E1199" s="244">
        <v>0.34</v>
      </c>
      <c r="F1199" s="244">
        <v>0.28999999999999998</v>
      </c>
      <c r="G1199" s="171"/>
      <c r="H1199" s="244">
        <v>0.06</v>
      </c>
      <c r="I1199" s="244">
        <v>0.1</v>
      </c>
      <c r="J1199" s="244">
        <v>0.05</v>
      </c>
      <c r="K1199" s="245" t="s">
        <v>297</v>
      </c>
      <c r="L1199" s="141"/>
    </row>
    <row r="1200" spans="2:12" ht="20.100000000000001" customHeight="1" x14ac:dyDescent="0.25">
      <c r="B1200" s="71"/>
      <c r="C1200" s="245"/>
      <c r="D1200" s="244">
        <v>0.02</v>
      </c>
      <c r="E1200" s="244">
        <v>0.28999999999999998</v>
      </c>
      <c r="F1200" s="244">
        <v>0.32</v>
      </c>
      <c r="G1200" s="171"/>
      <c r="H1200" s="244">
        <v>0.02</v>
      </c>
      <c r="I1200" s="244">
        <v>0.01</v>
      </c>
      <c r="J1200" s="244">
        <v>0.06</v>
      </c>
      <c r="K1200" s="245" t="s">
        <v>298</v>
      </c>
      <c r="L1200" s="141">
        <v>12498.4</v>
      </c>
    </row>
    <row r="1201" spans="2:12" ht="20.100000000000001" customHeight="1" x14ac:dyDescent="0.25">
      <c r="B1201" s="71"/>
      <c r="C1201" s="245"/>
      <c r="D1201" s="244">
        <v>0.01</v>
      </c>
      <c r="E1201" s="244">
        <v>0.25</v>
      </c>
      <c r="F1201" s="244">
        <v>0.22</v>
      </c>
      <c r="G1201" s="171"/>
      <c r="H1201" s="244">
        <v>0</v>
      </c>
      <c r="I1201" s="244">
        <v>0.03</v>
      </c>
      <c r="J1201" s="244">
        <v>0.08</v>
      </c>
      <c r="K1201" s="245" t="s">
        <v>298</v>
      </c>
      <c r="L1201" s="141"/>
    </row>
    <row r="1202" spans="2:12" ht="20.100000000000001" customHeight="1" x14ac:dyDescent="0.25">
      <c r="B1202" s="134"/>
      <c r="C1202" s="135"/>
      <c r="D1202" s="261"/>
      <c r="E1202" s="262"/>
      <c r="F1202" s="263"/>
      <c r="G1202" s="171"/>
      <c r="H1202" s="244"/>
      <c r="I1202" s="244"/>
      <c r="J1202" s="244"/>
      <c r="K1202" s="245"/>
      <c r="L1202" s="141"/>
    </row>
    <row r="1203" spans="2:12" ht="20.100000000000001" customHeight="1" x14ac:dyDescent="0.25">
      <c r="B1203" s="134"/>
      <c r="C1203" s="135"/>
      <c r="D1203" s="261"/>
      <c r="E1203" s="262"/>
      <c r="F1203" s="263"/>
      <c r="G1203" s="171"/>
      <c r="H1203" s="244"/>
      <c r="I1203" s="244"/>
      <c r="J1203" s="244"/>
      <c r="K1203" s="245"/>
      <c r="L1203" s="141"/>
    </row>
    <row r="1204" spans="2:12" ht="20.100000000000001" customHeight="1" x14ac:dyDescent="0.25">
      <c r="B1204" s="71"/>
      <c r="C1204" s="245"/>
      <c r="D1204" s="244">
        <v>0.02</v>
      </c>
      <c r="E1204" s="244">
        <v>0</v>
      </c>
      <c r="F1204" s="244">
        <v>0.04</v>
      </c>
      <c r="G1204" s="171"/>
      <c r="H1204" s="244">
        <v>0.04</v>
      </c>
      <c r="I1204" s="244">
        <v>0.03</v>
      </c>
      <c r="J1204" s="244">
        <v>0.01</v>
      </c>
      <c r="K1204" s="245" t="s">
        <v>297</v>
      </c>
      <c r="L1204" s="141"/>
    </row>
    <row r="1205" spans="2:12" ht="20.100000000000001" customHeight="1" x14ac:dyDescent="0.25">
      <c r="B1205" s="71"/>
      <c r="C1205" s="245"/>
      <c r="D1205" s="244">
        <v>0</v>
      </c>
      <c r="E1205" s="244">
        <v>0.01</v>
      </c>
      <c r="F1205" s="244">
        <v>0.1</v>
      </c>
      <c r="G1205" s="171"/>
      <c r="H1205" s="244">
        <v>0.01</v>
      </c>
      <c r="I1205" s="244">
        <v>0.02</v>
      </c>
      <c r="J1205" s="244">
        <v>0.06</v>
      </c>
      <c r="K1205" s="245" t="s">
        <v>298</v>
      </c>
      <c r="L1205" s="141">
        <v>12504.5</v>
      </c>
    </row>
    <row r="1206" spans="2:12" ht="20.100000000000001" customHeight="1" x14ac:dyDescent="0.25">
      <c r="B1206" s="71"/>
      <c r="C1206" s="245"/>
      <c r="D1206" s="250"/>
      <c r="E1206" s="255"/>
      <c r="F1206" s="251"/>
      <c r="G1206" s="171"/>
      <c r="H1206" s="250"/>
      <c r="I1206" s="255"/>
      <c r="J1206" s="255"/>
      <c r="K1206" s="251"/>
      <c r="L1206" s="141"/>
    </row>
    <row r="1207" spans="2:12" ht="20.100000000000001" customHeight="1" x14ac:dyDescent="0.25">
      <c r="B1207" s="71"/>
      <c r="C1207" s="245"/>
      <c r="D1207" s="244">
        <v>0.01</v>
      </c>
      <c r="E1207" s="244">
        <v>0.38</v>
      </c>
      <c r="F1207" s="244">
        <v>0.37</v>
      </c>
      <c r="G1207" s="171"/>
      <c r="H1207" s="244">
        <v>0</v>
      </c>
      <c r="I1207" s="244">
        <v>0.01</v>
      </c>
      <c r="J1207" s="244">
        <v>0.09</v>
      </c>
      <c r="K1207" s="245" t="s">
        <v>298</v>
      </c>
      <c r="L1207" s="141"/>
    </row>
    <row r="1208" spans="2:12" ht="20.100000000000001" customHeight="1" x14ac:dyDescent="0.25">
      <c r="B1208" s="71"/>
      <c r="C1208" s="245"/>
      <c r="D1208" s="250"/>
      <c r="E1208" s="255"/>
      <c r="F1208" s="251"/>
      <c r="G1208" s="171"/>
      <c r="H1208" s="244"/>
      <c r="I1208" s="244"/>
      <c r="J1208" s="244"/>
      <c r="K1208" s="245"/>
      <c r="L1208" s="141"/>
    </row>
    <row r="1209" spans="2:12" ht="20.100000000000001" customHeight="1" x14ac:dyDescent="0.25">
      <c r="B1209" s="71"/>
      <c r="C1209" s="245"/>
      <c r="D1209" s="244">
        <v>0.03</v>
      </c>
      <c r="E1209" s="244">
        <v>0.28999999999999998</v>
      </c>
      <c r="F1209" s="244">
        <v>0.45</v>
      </c>
      <c r="G1209" s="171"/>
      <c r="H1209" s="244">
        <v>0</v>
      </c>
      <c r="I1209" s="244">
        <v>0</v>
      </c>
      <c r="J1209" s="244">
        <v>0.18</v>
      </c>
      <c r="K1209" s="245" t="s">
        <v>297</v>
      </c>
      <c r="L1209" s="141"/>
    </row>
    <row r="1210" spans="2:12" ht="20.100000000000001" customHeight="1" x14ac:dyDescent="0.25">
      <c r="B1210" s="71"/>
      <c r="C1210" s="245"/>
      <c r="D1210" s="244">
        <v>7.0000000000000007E-2</v>
      </c>
      <c r="E1210" s="244">
        <v>0.3</v>
      </c>
      <c r="F1210" s="244">
        <v>0.48</v>
      </c>
      <c r="G1210" s="171"/>
      <c r="H1210" s="244">
        <v>0.01</v>
      </c>
      <c r="I1210" s="244">
        <v>0.03</v>
      </c>
      <c r="J1210" s="244">
        <v>0.12</v>
      </c>
      <c r="K1210" s="245" t="s">
        <v>298</v>
      </c>
      <c r="L1210" s="141">
        <v>12511.9</v>
      </c>
    </row>
    <row r="1211" spans="2:12" ht="20.100000000000001" customHeight="1" x14ac:dyDescent="0.25">
      <c r="B1211" s="71"/>
      <c r="C1211" s="245"/>
      <c r="D1211" s="244">
        <v>0.03</v>
      </c>
      <c r="E1211" s="244">
        <v>7.0000000000000007E-2</v>
      </c>
      <c r="F1211" s="244">
        <v>0.18</v>
      </c>
      <c r="G1211" s="171"/>
      <c r="H1211" s="244">
        <v>0.03</v>
      </c>
      <c r="I1211" s="244">
        <v>0.21</v>
      </c>
      <c r="J1211" s="244">
        <v>0.06</v>
      </c>
      <c r="K1211" s="245" t="s">
        <v>297</v>
      </c>
      <c r="L1211" s="141"/>
    </row>
    <row r="1212" spans="2:12" ht="20.100000000000001" customHeight="1" x14ac:dyDescent="0.25">
      <c r="B1212" s="71"/>
      <c r="C1212" s="245"/>
      <c r="D1212" s="244">
        <v>0</v>
      </c>
      <c r="E1212" s="244">
        <v>0.19</v>
      </c>
      <c r="F1212" s="244">
        <v>0.23</v>
      </c>
      <c r="G1212" s="171"/>
      <c r="H1212" s="244">
        <v>0</v>
      </c>
      <c r="I1212" s="244">
        <v>0.01</v>
      </c>
      <c r="J1212" s="244">
        <v>0.14000000000000001</v>
      </c>
      <c r="K1212" s="245" t="s">
        <v>298</v>
      </c>
      <c r="L1212" s="141">
        <v>12517.9</v>
      </c>
    </row>
    <row r="1213" spans="2:12" ht="20.100000000000001" customHeight="1" x14ac:dyDescent="0.25">
      <c r="B1213" s="71"/>
      <c r="C1213" s="245"/>
      <c r="D1213" s="244">
        <v>0.02</v>
      </c>
      <c r="E1213" s="244">
        <v>0.13</v>
      </c>
      <c r="F1213" s="244">
        <v>0.28999999999999998</v>
      </c>
      <c r="G1213" s="171"/>
      <c r="H1213" s="244">
        <v>0</v>
      </c>
      <c r="I1213" s="244">
        <v>0.01</v>
      </c>
      <c r="J1213" s="244">
        <v>0.06</v>
      </c>
      <c r="K1213" s="245" t="s">
        <v>297</v>
      </c>
      <c r="L1213" s="141"/>
    </row>
    <row r="1214" spans="2:12" ht="20.100000000000001" customHeight="1" x14ac:dyDescent="0.25">
      <c r="B1214" s="71"/>
      <c r="C1214" s="245"/>
      <c r="D1214" s="244">
        <v>0.01</v>
      </c>
      <c r="E1214" s="244">
        <v>0.11</v>
      </c>
      <c r="F1214" s="244">
        <v>0.27</v>
      </c>
      <c r="G1214" s="171"/>
      <c r="H1214" s="244">
        <v>0</v>
      </c>
      <c r="I1214" s="244">
        <v>0.01</v>
      </c>
      <c r="J1214" s="244">
        <v>0.04</v>
      </c>
      <c r="K1214" s="245" t="s">
        <v>298</v>
      </c>
      <c r="L1214" s="141">
        <v>12521.4</v>
      </c>
    </row>
    <row r="1215" spans="2:12" ht="20.100000000000001" customHeight="1" x14ac:dyDescent="0.25">
      <c r="B1215" s="134"/>
      <c r="C1215" s="135"/>
      <c r="D1215" s="261"/>
      <c r="E1215" s="262"/>
      <c r="F1215" s="263"/>
      <c r="G1215" s="171"/>
      <c r="H1215" s="244"/>
      <c r="I1215" s="244"/>
      <c r="J1215" s="244"/>
      <c r="K1215" s="245"/>
      <c r="L1215" s="141"/>
    </row>
    <row r="1216" spans="2:12" ht="20.100000000000001" customHeight="1" x14ac:dyDescent="0.25">
      <c r="B1216" s="134"/>
      <c r="C1216" s="135"/>
      <c r="D1216" s="261"/>
      <c r="E1216" s="262"/>
      <c r="F1216" s="263"/>
      <c r="G1216" s="171"/>
      <c r="H1216" s="244"/>
      <c r="I1216" s="244"/>
      <c r="J1216" s="244"/>
      <c r="K1216" s="245"/>
      <c r="L1216" s="141"/>
    </row>
    <row r="1217" spans="2:12" ht="20.100000000000001" customHeight="1" x14ac:dyDescent="0.25">
      <c r="B1217" s="71"/>
      <c r="C1217" s="245"/>
      <c r="D1217" s="244">
        <v>0.01</v>
      </c>
      <c r="E1217" s="244">
        <v>0.01</v>
      </c>
      <c r="F1217" s="244">
        <v>0.03</v>
      </c>
      <c r="G1217" s="171"/>
      <c r="H1217" s="244">
        <v>0.02</v>
      </c>
      <c r="I1217" s="244">
        <v>0.02</v>
      </c>
      <c r="J1217" s="244">
        <v>0.05</v>
      </c>
      <c r="K1217" s="245" t="s">
        <v>297</v>
      </c>
      <c r="L1217" s="141"/>
    </row>
    <row r="1218" spans="2:12" ht="20.100000000000001" customHeight="1" x14ac:dyDescent="0.25">
      <c r="B1218" s="71"/>
      <c r="C1218" s="245"/>
      <c r="D1218" s="244">
        <v>0</v>
      </c>
      <c r="E1218" s="244">
        <v>0.01</v>
      </c>
      <c r="F1218" s="244">
        <v>0.04</v>
      </c>
      <c r="G1218" s="171"/>
      <c r="H1218" s="244">
        <v>0</v>
      </c>
      <c r="I1218" s="244">
        <v>0.02</v>
      </c>
      <c r="J1218" s="244">
        <v>0.04</v>
      </c>
      <c r="K1218" s="245" t="s">
        <v>297</v>
      </c>
      <c r="L1218" s="141">
        <v>12524.4</v>
      </c>
    </row>
    <row r="1219" spans="2:12" ht="20.100000000000001" customHeight="1" x14ac:dyDescent="0.25">
      <c r="B1219" s="71"/>
      <c r="C1219" s="245"/>
      <c r="D1219" s="250"/>
      <c r="E1219" s="255"/>
      <c r="F1219" s="251"/>
      <c r="G1219" s="171"/>
      <c r="H1219" s="250"/>
      <c r="I1219" s="255"/>
      <c r="J1219" s="251"/>
      <c r="K1219" s="245"/>
      <c r="L1219" s="141"/>
    </row>
    <row r="1220" spans="2:12" ht="20.100000000000001" customHeight="1" x14ac:dyDescent="0.25">
      <c r="B1220" s="71"/>
      <c r="C1220" s="245"/>
      <c r="D1220" s="244">
        <v>0</v>
      </c>
      <c r="E1220" s="244">
        <v>0.5</v>
      </c>
      <c r="F1220" s="244">
        <v>0.28999999999999998</v>
      </c>
      <c r="G1220" s="171"/>
      <c r="H1220" s="244">
        <v>0</v>
      </c>
      <c r="I1220" s="244">
        <v>0</v>
      </c>
      <c r="J1220" s="244">
        <v>0.03</v>
      </c>
      <c r="K1220" s="245" t="s">
        <v>297</v>
      </c>
      <c r="L1220" s="141"/>
    </row>
    <row r="1221" spans="2:12" ht="20.100000000000001" customHeight="1" x14ac:dyDescent="0.25">
      <c r="B1221" s="71"/>
      <c r="C1221" s="245"/>
      <c r="D1221" s="244">
        <v>0.01</v>
      </c>
      <c r="E1221" s="244">
        <v>0.34</v>
      </c>
      <c r="F1221" s="244">
        <v>0.15</v>
      </c>
      <c r="G1221" s="171"/>
      <c r="H1221" s="244">
        <v>0</v>
      </c>
      <c r="I1221" s="244">
        <v>0.01</v>
      </c>
      <c r="J1221" s="244">
        <v>0.09</v>
      </c>
      <c r="K1221" s="245" t="s">
        <v>297</v>
      </c>
      <c r="L1221" s="141"/>
    </row>
    <row r="1222" spans="2:12" ht="20.100000000000001" customHeight="1" x14ac:dyDescent="0.25">
      <c r="B1222" s="71"/>
      <c r="C1222" s="245"/>
      <c r="D1222" s="244">
        <v>0</v>
      </c>
      <c r="E1222" s="244"/>
      <c r="F1222" s="244">
        <v>0.35</v>
      </c>
      <c r="G1222" s="171"/>
      <c r="H1222" s="250"/>
      <c r="I1222" s="255"/>
      <c r="J1222" s="251"/>
      <c r="K1222" s="245"/>
      <c r="L1222" s="141"/>
    </row>
    <row r="1223" spans="2:12" ht="20.100000000000001" customHeight="1" x14ac:dyDescent="0.25">
      <c r="B1223" s="71"/>
      <c r="C1223" s="245"/>
      <c r="D1223" s="250"/>
      <c r="E1223" s="255"/>
      <c r="F1223" s="251"/>
      <c r="G1223" s="171"/>
      <c r="H1223" s="244"/>
      <c r="I1223" s="244"/>
      <c r="J1223" s="244"/>
      <c r="K1223" s="245"/>
      <c r="L1223" s="141"/>
    </row>
    <row r="1224" spans="2:12" ht="20.100000000000001" customHeight="1" x14ac:dyDescent="0.25">
      <c r="B1224" s="71"/>
      <c r="C1224" s="245"/>
      <c r="D1224" s="244">
        <v>0.06</v>
      </c>
      <c r="E1224" s="244">
        <v>0.15</v>
      </c>
      <c r="F1224" s="244">
        <v>0.34</v>
      </c>
      <c r="G1224" s="171"/>
      <c r="H1224" s="244">
        <v>0.01</v>
      </c>
      <c r="I1224" s="244">
        <v>0.04</v>
      </c>
      <c r="J1224" s="244">
        <v>0.1</v>
      </c>
      <c r="K1224" s="245" t="s">
        <v>298</v>
      </c>
      <c r="L1224" s="141"/>
    </row>
    <row r="1225" spans="2:12" ht="20.100000000000001" customHeight="1" x14ac:dyDescent="0.25">
      <c r="B1225" s="71"/>
      <c r="C1225" s="245"/>
      <c r="D1225" s="244">
        <v>0.01</v>
      </c>
      <c r="E1225" s="244">
        <v>7.0000000000000007E-2</v>
      </c>
      <c r="F1225" s="244">
        <v>0.1</v>
      </c>
      <c r="G1225" s="171"/>
      <c r="H1225" s="244">
        <v>0.01</v>
      </c>
      <c r="I1225" s="244">
        <v>0.01</v>
      </c>
      <c r="J1225" s="244">
        <v>0.09</v>
      </c>
      <c r="K1225" s="245" t="s">
        <v>297</v>
      </c>
      <c r="L1225" s="141"/>
    </row>
    <row r="1226" spans="2:12" ht="20.100000000000001" customHeight="1" x14ac:dyDescent="0.25">
      <c r="B1226" s="71"/>
      <c r="C1226" s="245"/>
      <c r="D1226" s="244">
        <v>0.04</v>
      </c>
      <c r="E1226" s="244">
        <v>0.06</v>
      </c>
      <c r="F1226" s="244">
        <v>0.24</v>
      </c>
      <c r="G1226" s="171"/>
      <c r="H1226" s="244">
        <v>0</v>
      </c>
      <c r="I1226" s="244">
        <v>0.01</v>
      </c>
      <c r="J1226" s="244">
        <v>0.13</v>
      </c>
      <c r="K1226" s="245" t="s">
        <v>298</v>
      </c>
      <c r="L1226" s="141">
        <v>12538.9</v>
      </c>
    </row>
    <row r="1227" spans="2:12" ht="20.100000000000001" customHeight="1" x14ac:dyDescent="0.25">
      <c r="B1227" s="134"/>
      <c r="C1227" s="135"/>
      <c r="D1227" s="261"/>
      <c r="E1227" s="262"/>
      <c r="F1227" s="263"/>
      <c r="G1227" s="171"/>
      <c r="H1227" s="244"/>
      <c r="I1227" s="244"/>
      <c r="J1227" s="244"/>
      <c r="K1227" s="245"/>
      <c r="L1227" s="141"/>
    </row>
    <row r="1228" spans="2:12" ht="20.100000000000001" customHeight="1" x14ac:dyDescent="0.25">
      <c r="B1228" s="134"/>
      <c r="C1228" s="135"/>
      <c r="D1228" s="261"/>
      <c r="E1228" s="262"/>
      <c r="F1228" s="263"/>
      <c r="G1228" s="171"/>
      <c r="H1228" s="244"/>
      <c r="I1228" s="244"/>
      <c r="J1228" s="244"/>
      <c r="K1228" s="245"/>
      <c r="L1228" s="141"/>
    </row>
    <row r="1229" spans="2:12" ht="20.100000000000001" customHeight="1" x14ac:dyDescent="0.25">
      <c r="B1229" s="71"/>
      <c r="C1229" s="245"/>
      <c r="D1229" s="244">
        <v>0</v>
      </c>
      <c r="E1229" s="244">
        <v>0.02</v>
      </c>
      <c r="F1229" s="244">
        <v>0.1</v>
      </c>
      <c r="G1229" s="171"/>
      <c r="H1229" s="244">
        <v>0.01</v>
      </c>
      <c r="I1229" s="244">
        <v>0.01</v>
      </c>
      <c r="J1229" s="244">
        <v>0.12</v>
      </c>
      <c r="K1229" s="245" t="s">
        <v>297</v>
      </c>
      <c r="L1229" s="141"/>
    </row>
    <row r="1230" spans="2:12" ht="20.100000000000001" customHeight="1" x14ac:dyDescent="0.25">
      <c r="B1230" s="71"/>
      <c r="C1230" s="245"/>
      <c r="D1230" s="244">
        <v>0.01</v>
      </c>
      <c r="E1230" s="244">
        <v>0.02</v>
      </c>
      <c r="F1230" s="244">
        <v>0.12</v>
      </c>
      <c r="G1230" s="171"/>
      <c r="H1230" s="244">
        <v>0</v>
      </c>
      <c r="I1230" s="244">
        <v>0.02</v>
      </c>
      <c r="J1230" s="244">
        <v>0.28999999999999998</v>
      </c>
      <c r="K1230" s="245" t="s">
        <v>298</v>
      </c>
      <c r="L1230" s="141">
        <v>12540.4</v>
      </c>
    </row>
    <row r="1231" spans="2:12" ht="20.100000000000001" customHeight="1" x14ac:dyDescent="0.25">
      <c r="B1231" s="258"/>
      <c r="C1231" s="259"/>
      <c r="D1231" s="259"/>
      <c r="E1231" s="259"/>
      <c r="F1231" s="260"/>
      <c r="G1231" s="171"/>
      <c r="H1231" s="244"/>
      <c r="I1231" s="244"/>
      <c r="J1231" s="244"/>
      <c r="K1231" s="245"/>
      <c r="L1231" s="141"/>
    </row>
    <row r="1232" spans="2:12" ht="20.100000000000001" customHeight="1" x14ac:dyDescent="0.25">
      <c r="B1232" s="258"/>
      <c r="C1232" s="259"/>
      <c r="D1232" s="259"/>
      <c r="E1232" s="259"/>
      <c r="F1232" s="260"/>
      <c r="G1232" s="171"/>
      <c r="H1232" s="244"/>
      <c r="I1232" s="244"/>
      <c r="J1232" s="244"/>
      <c r="K1232" s="245"/>
      <c r="L1232" s="141"/>
    </row>
    <row r="1233" spans="2:12" ht="20.100000000000001" customHeight="1" x14ac:dyDescent="0.25">
      <c r="B1233" s="258"/>
      <c r="C1233" s="259"/>
      <c r="D1233" s="259"/>
      <c r="E1233" s="259"/>
      <c r="F1233" s="260"/>
      <c r="G1233" s="171"/>
      <c r="H1233" s="244"/>
      <c r="I1233" s="244"/>
      <c r="J1233" s="244"/>
      <c r="K1233" s="245"/>
      <c r="L1233" s="141"/>
    </row>
    <row r="1234" spans="2:12" ht="20.100000000000001" customHeight="1" x14ac:dyDescent="0.25">
      <c r="B1234" s="71"/>
      <c r="C1234" s="245"/>
      <c r="D1234" s="244">
        <v>0</v>
      </c>
      <c r="E1234" s="244">
        <v>0.31</v>
      </c>
      <c r="F1234" s="244">
        <v>0.34</v>
      </c>
      <c r="G1234" s="171"/>
      <c r="H1234" s="244">
        <v>0</v>
      </c>
      <c r="I1234" s="244">
        <v>0.18</v>
      </c>
      <c r="J1234" s="244">
        <v>0.17</v>
      </c>
      <c r="K1234" s="245" t="s">
        <v>297</v>
      </c>
      <c r="L1234" s="141"/>
    </row>
    <row r="1235" spans="2:12" ht="20.100000000000001" customHeight="1" x14ac:dyDescent="0.25">
      <c r="B1235" s="71"/>
      <c r="C1235" s="245"/>
      <c r="D1235" s="244">
        <v>0</v>
      </c>
      <c r="E1235" s="244">
        <v>0.32</v>
      </c>
      <c r="F1235" s="244">
        <v>0.56999999999999995</v>
      </c>
      <c r="G1235" s="171"/>
      <c r="H1235" s="244">
        <v>0</v>
      </c>
      <c r="I1235" s="244">
        <v>0.08</v>
      </c>
      <c r="J1235" s="244">
        <v>0.24</v>
      </c>
      <c r="K1235" s="245" t="s">
        <v>298</v>
      </c>
      <c r="L1235" s="141">
        <v>12622.1</v>
      </c>
    </row>
    <row r="1236" spans="2:12" ht="20.100000000000001" customHeight="1" x14ac:dyDescent="0.25">
      <c r="B1236" s="145"/>
      <c r="C1236" s="146"/>
      <c r="D1236" s="273"/>
      <c r="E1236" s="274"/>
      <c r="F1236" s="275"/>
      <c r="G1236" s="171"/>
      <c r="H1236" s="244"/>
      <c r="I1236" s="244"/>
      <c r="J1236" s="244"/>
      <c r="K1236" s="245"/>
      <c r="L1236" s="141"/>
    </row>
    <row r="1237" spans="2:12" ht="20.100000000000001" customHeight="1" x14ac:dyDescent="0.25">
      <c r="B1237" s="73"/>
      <c r="C1237" s="243"/>
      <c r="D1237" s="267"/>
      <c r="E1237" s="268"/>
      <c r="F1237" s="269"/>
      <c r="G1237" s="171"/>
      <c r="H1237" s="244"/>
      <c r="I1237" s="244"/>
      <c r="J1237" s="244"/>
      <c r="K1237" s="245"/>
      <c r="L1237" s="141"/>
    </row>
    <row r="1238" spans="2:12" ht="20.100000000000001" customHeight="1" x14ac:dyDescent="0.25">
      <c r="B1238" s="182"/>
      <c r="C1238" s="183"/>
      <c r="D1238" s="276"/>
      <c r="E1238" s="277"/>
      <c r="F1238" s="278"/>
      <c r="G1238" s="171"/>
      <c r="H1238" s="244"/>
      <c r="I1238" s="244"/>
      <c r="J1238" s="244"/>
      <c r="K1238" s="245"/>
      <c r="L1238" s="141"/>
    </row>
    <row r="1239" spans="2:12" ht="20.100000000000001" customHeight="1" x14ac:dyDescent="0.25">
      <c r="B1239" s="71"/>
      <c r="C1239" s="245"/>
      <c r="D1239" s="244">
        <v>0.01</v>
      </c>
      <c r="E1239" s="244">
        <v>0.28999999999999998</v>
      </c>
      <c r="F1239" s="244">
        <v>0.55000000000000004</v>
      </c>
      <c r="G1239" s="171"/>
      <c r="H1239" s="244">
        <v>0.01</v>
      </c>
      <c r="I1239" s="244">
        <v>0.01</v>
      </c>
      <c r="J1239" s="244">
        <v>0.32</v>
      </c>
      <c r="K1239" s="245" t="s">
        <v>297</v>
      </c>
      <c r="L1239" s="141"/>
    </row>
    <row r="1240" spans="2:12" ht="20.100000000000001" customHeight="1" x14ac:dyDescent="0.25">
      <c r="B1240" s="71"/>
      <c r="C1240" s="245"/>
      <c r="D1240" s="245">
        <v>0</v>
      </c>
      <c r="E1240" s="245">
        <v>0.25</v>
      </c>
      <c r="F1240" s="245">
        <v>0.48</v>
      </c>
      <c r="G1240" s="174"/>
      <c r="H1240" s="244">
        <v>0</v>
      </c>
      <c r="I1240" s="244">
        <v>0.01</v>
      </c>
      <c r="J1240" s="245">
        <v>0.21</v>
      </c>
      <c r="K1240" s="245" t="s">
        <v>297</v>
      </c>
      <c r="L1240" s="141"/>
    </row>
    <row r="1241" spans="2:12" ht="20.100000000000001" customHeight="1" x14ac:dyDescent="0.25">
      <c r="B1241" s="71"/>
      <c r="C1241" s="245"/>
      <c r="D1241" s="250"/>
      <c r="E1241" s="255"/>
      <c r="F1241" s="255"/>
      <c r="G1241" s="255"/>
      <c r="H1241" s="255"/>
      <c r="I1241" s="255"/>
      <c r="J1241" s="255"/>
      <c r="K1241" s="255"/>
      <c r="L1241" s="251"/>
    </row>
    <row r="1242" spans="2:12" ht="20.100000000000001" customHeight="1" x14ac:dyDescent="0.25">
      <c r="B1242" s="71"/>
      <c r="C1242" s="245"/>
      <c r="D1242" s="244">
        <v>0.01</v>
      </c>
      <c r="E1242" s="244">
        <v>0.28999999999999998</v>
      </c>
      <c r="F1242" s="244">
        <v>0.32</v>
      </c>
      <c r="G1242" s="171"/>
      <c r="H1242" s="244">
        <v>0</v>
      </c>
      <c r="I1242" s="244">
        <v>0.02</v>
      </c>
      <c r="J1242" s="244">
        <v>0.1</v>
      </c>
      <c r="K1242" s="245" t="s">
        <v>298</v>
      </c>
      <c r="L1242" s="141">
        <v>12629.1</v>
      </c>
    </row>
    <row r="1243" spans="2:12" ht="20.100000000000001" customHeight="1" x14ac:dyDescent="0.25">
      <c r="B1243" s="71"/>
      <c r="C1243" s="245"/>
      <c r="D1243" s="244">
        <v>0.04</v>
      </c>
      <c r="E1243" s="244">
        <v>0.31</v>
      </c>
      <c r="F1243" s="244">
        <v>0.38</v>
      </c>
      <c r="G1243" s="171"/>
      <c r="H1243" s="244">
        <v>0</v>
      </c>
      <c r="I1243" s="244">
        <v>0.01</v>
      </c>
      <c r="J1243" s="244">
        <v>0.14000000000000001</v>
      </c>
      <c r="K1243" s="245" t="s">
        <v>297</v>
      </c>
      <c r="L1243" s="141"/>
    </row>
    <row r="1244" spans="2:12" ht="20.100000000000001" customHeight="1" x14ac:dyDescent="0.25">
      <c r="B1244" s="71"/>
      <c r="C1244" s="245"/>
      <c r="D1244" s="250"/>
      <c r="E1244" s="255"/>
      <c r="F1244" s="251"/>
      <c r="G1244" s="171"/>
      <c r="H1244" s="244"/>
      <c r="I1244" s="244"/>
      <c r="J1244" s="244"/>
      <c r="K1244" s="245"/>
      <c r="L1244" s="141"/>
    </row>
    <row r="1245" spans="2:12" ht="20.100000000000001" customHeight="1" x14ac:dyDescent="0.25">
      <c r="B1245" s="71"/>
      <c r="C1245" s="245"/>
      <c r="D1245" s="244">
        <v>0.01</v>
      </c>
      <c r="E1245" s="244">
        <v>0.28000000000000003</v>
      </c>
      <c r="F1245" s="244">
        <v>0.35</v>
      </c>
      <c r="G1245" s="171"/>
      <c r="H1245" s="244">
        <v>0</v>
      </c>
      <c r="I1245" s="244">
        <v>0</v>
      </c>
      <c r="J1245" s="244">
        <v>0.25</v>
      </c>
      <c r="K1245" s="245" t="s">
        <v>298</v>
      </c>
      <c r="L1245" s="141">
        <v>12631.5</v>
      </c>
    </row>
    <row r="1246" spans="2:12" ht="20.100000000000001" customHeight="1" x14ac:dyDescent="0.25">
      <c r="B1246" s="71"/>
      <c r="C1246" s="245"/>
      <c r="D1246" s="244">
        <v>0.01</v>
      </c>
      <c r="E1246" s="244">
        <v>0.34</v>
      </c>
      <c r="F1246" s="244">
        <v>0.47</v>
      </c>
      <c r="G1246" s="171"/>
      <c r="H1246" s="244">
        <v>0</v>
      </c>
      <c r="I1246" s="244">
        <v>0.01</v>
      </c>
      <c r="J1246" s="244">
        <v>0.17</v>
      </c>
      <c r="K1246" s="245" t="s">
        <v>297</v>
      </c>
      <c r="L1246" s="141"/>
    </row>
    <row r="1247" spans="2:12" ht="20.100000000000001" customHeight="1" x14ac:dyDescent="0.25">
      <c r="B1247" s="71"/>
      <c r="C1247" s="245"/>
      <c r="D1247" s="244">
        <v>0</v>
      </c>
      <c r="E1247" s="244">
        <v>0.33</v>
      </c>
      <c r="F1247" s="244">
        <v>0.35</v>
      </c>
      <c r="G1247" s="171"/>
      <c r="H1247" s="244">
        <v>0</v>
      </c>
      <c r="I1247" s="244">
        <v>0.01</v>
      </c>
      <c r="J1247" s="244">
        <v>0.2</v>
      </c>
      <c r="K1247" s="245" t="s">
        <v>298</v>
      </c>
      <c r="L1247" s="141">
        <v>12633.9</v>
      </c>
    </row>
    <row r="1248" spans="2:12" ht="20.100000000000001" customHeight="1" x14ac:dyDescent="0.25">
      <c r="B1248" s="134"/>
      <c r="C1248" s="135"/>
      <c r="D1248" s="261"/>
      <c r="E1248" s="262"/>
      <c r="F1248" s="263"/>
      <c r="G1248" s="171"/>
      <c r="H1248" s="244"/>
      <c r="I1248" s="244"/>
      <c r="J1248" s="244"/>
      <c r="K1248" s="245"/>
      <c r="L1248" s="141"/>
    </row>
    <row r="1249" spans="2:12" ht="20.100000000000001" customHeight="1" x14ac:dyDescent="0.25">
      <c r="B1249" s="134"/>
      <c r="C1249" s="135"/>
      <c r="D1249" s="261"/>
      <c r="E1249" s="262"/>
      <c r="F1249" s="263"/>
      <c r="G1249" s="171"/>
      <c r="H1249" s="244"/>
      <c r="I1249" s="244"/>
      <c r="J1249" s="244"/>
      <c r="K1249" s="245"/>
      <c r="L1249" s="141"/>
    </row>
    <row r="1250" spans="2:12" ht="20.100000000000001" customHeight="1" x14ac:dyDescent="0.25">
      <c r="B1250" s="71"/>
      <c r="C1250" s="245"/>
      <c r="D1250" s="244">
        <v>0.01</v>
      </c>
      <c r="E1250" s="244">
        <v>0.28000000000000003</v>
      </c>
      <c r="F1250" s="244">
        <v>0.26</v>
      </c>
      <c r="G1250" s="171"/>
      <c r="H1250" s="244">
        <v>0</v>
      </c>
      <c r="I1250" s="244">
        <v>0</v>
      </c>
      <c r="J1250" s="244">
        <v>0.02</v>
      </c>
      <c r="K1250" s="245" t="s">
        <v>297</v>
      </c>
      <c r="L1250" s="141"/>
    </row>
    <row r="1251" spans="2:12" ht="20.100000000000001" customHeight="1" x14ac:dyDescent="0.25">
      <c r="B1251" s="71"/>
      <c r="C1251" s="245"/>
      <c r="D1251" s="250"/>
      <c r="E1251" s="255"/>
      <c r="F1251" s="251"/>
      <c r="G1251" s="171"/>
      <c r="H1251" s="244"/>
      <c r="I1251" s="244"/>
      <c r="J1251" s="244"/>
      <c r="K1251" s="245"/>
      <c r="L1251" s="141"/>
    </row>
    <row r="1252" spans="2:12" ht="20.100000000000001" customHeight="1" x14ac:dyDescent="0.25">
      <c r="B1252" s="71"/>
      <c r="C1252" s="245"/>
      <c r="D1252" s="244">
        <v>0.08</v>
      </c>
      <c r="E1252" s="244">
        <v>0.41</v>
      </c>
      <c r="F1252" s="244">
        <v>0.5</v>
      </c>
      <c r="G1252" s="171"/>
      <c r="H1252" s="244">
        <v>0</v>
      </c>
      <c r="I1252" s="244">
        <v>0.01</v>
      </c>
      <c r="J1252" s="244">
        <v>0.06</v>
      </c>
      <c r="K1252" s="245" t="s">
        <v>298</v>
      </c>
      <c r="L1252" s="141">
        <v>12638.1</v>
      </c>
    </row>
    <row r="1253" spans="2:12" ht="20.100000000000001" customHeight="1" x14ac:dyDescent="0.25">
      <c r="B1253" s="71"/>
      <c r="C1253" s="245"/>
      <c r="D1253" s="244">
        <v>0.03</v>
      </c>
      <c r="E1253" s="244">
        <v>0.23</v>
      </c>
      <c r="F1253" s="244">
        <v>0.26</v>
      </c>
      <c r="G1253" s="171"/>
      <c r="H1253" s="244">
        <v>0</v>
      </c>
      <c r="I1253" s="244">
        <v>0.01</v>
      </c>
      <c r="J1253" s="244">
        <v>0.18</v>
      </c>
      <c r="K1253" s="245" t="s">
        <v>297</v>
      </c>
      <c r="L1253" s="141"/>
    </row>
    <row r="1254" spans="2:12" ht="20.100000000000001" customHeight="1" x14ac:dyDescent="0.25">
      <c r="B1254" s="71"/>
      <c r="C1254" s="245"/>
      <c r="D1254" s="250"/>
      <c r="E1254" s="255"/>
      <c r="F1254" s="251"/>
      <c r="G1254" s="171"/>
      <c r="H1254" s="244"/>
      <c r="I1254" s="244"/>
      <c r="J1254" s="244"/>
      <c r="K1254" s="245"/>
      <c r="L1254" s="141"/>
    </row>
    <row r="1255" spans="2:12" ht="20.100000000000001" customHeight="1" x14ac:dyDescent="0.25">
      <c r="B1255" s="71"/>
      <c r="C1255" s="245"/>
      <c r="D1255" s="244">
        <v>0.02</v>
      </c>
      <c r="E1255" s="244">
        <v>0.1</v>
      </c>
      <c r="F1255" s="244">
        <v>0.27</v>
      </c>
      <c r="G1255" s="171"/>
      <c r="H1255" s="244">
        <v>0</v>
      </c>
      <c r="I1255" s="244">
        <v>0.03</v>
      </c>
      <c r="J1255" s="244">
        <v>0.06</v>
      </c>
      <c r="K1255" s="245" t="s">
        <v>298</v>
      </c>
      <c r="L1255" s="141">
        <v>12642.8</v>
      </c>
    </row>
    <row r="1256" spans="2:12" ht="20.100000000000001" customHeight="1" x14ac:dyDescent="0.25">
      <c r="B1256" s="71"/>
      <c r="C1256" s="245"/>
      <c r="D1256" s="244">
        <v>0.01</v>
      </c>
      <c r="E1256" s="244">
        <v>7.0000000000000007E-2</v>
      </c>
      <c r="F1256" s="244">
        <v>0.18</v>
      </c>
      <c r="G1256" s="171"/>
      <c r="H1256" s="244">
        <v>0</v>
      </c>
      <c r="I1256" s="244">
        <v>0.02</v>
      </c>
      <c r="J1256" s="244">
        <v>0.04</v>
      </c>
      <c r="K1256" s="245" t="s">
        <v>297</v>
      </c>
      <c r="L1256" s="141"/>
    </row>
    <row r="1257" spans="2:12" ht="20.100000000000001" customHeight="1" x14ac:dyDescent="0.25">
      <c r="B1257" s="71"/>
      <c r="C1257" s="252"/>
      <c r="D1257" s="253"/>
      <c r="E1257" s="253"/>
      <c r="F1257" s="253"/>
      <c r="G1257" s="253"/>
      <c r="H1257" s="253"/>
      <c r="I1257" s="253"/>
      <c r="J1257" s="253"/>
      <c r="K1257" s="253"/>
      <c r="L1257" s="254"/>
    </row>
    <row r="1258" spans="2:12" ht="20.100000000000001" customHeight="1" x14ac:dyDescent="0.25">
      <c r="B1258" s="71"/>
      <c r="C1258" s="245"/>
      <c r="D1258" s="244">
        <v>0.01</v>
      </c>
      <c r="E1258" s="244">
        <v>0.49</v>
      </c>
      <c r="F1258" s="244">
        <v>0.67</v>
      </c>
      <c r="G1258" s="171">
        <v>0</v>
      </c>
      <c r="H1258" s="244">
        <v>0</v>
      </c>
      <c r="I1258" s="244">
        <v>0.02</v>
      </c>
      <c r="J1258" s="244">
        <v>0.11</v>
      </c>
      <c r="K1258" s="245" t="s">
        <v>298</v>
      </c>
      <c r="L1258" s="141">
        <v>12645.8</v>
      </c>
    </row>
    <row r="1259" spans="2:12" ht="20.100000000000001" customHeight="1" x14ac:dyDescent="0.25">
      <c r="B1259" s="71"/>
      <c r="C1259" s="245"/>
      <c r="D1259" s="250"/>
      <c r="E1259" s="255"/>
      <c r="F1259" s="251"/>
      <c r="G1259" s="171"/>
      <c r="H1259" s="244"/>
      <c r="I1259" s="244"/>
      <c r="J1259" s="244"/>
      <c r="K1259" s="245"/>
      <c r="L1259" s="141"/>
    </row>
    <row r="1260" spans="2:12" ht="20.100000000000001" customHeight="1" x14ac:dyDescent="0.25">
      <c r="B1260" s="71"/>
      <c r="C1260" s="245"/>
      <c r="D1260" s="244">
        <v>0.02</v>
      </c>
      <c r="E1260" s="244">
        <v>0.56000000000000005</v>
      </c>
      <c r="F1260" s="244">
        <v>0.56000000000000005</v>
      </c>
      <c r="G1260" s="171"/>
      <c r="H1260" s="244">
        <v>0</v>
      </c>
      <c r="I1260" s="244">
        <v>0.01</v>
      </c>
      <c r="J1260" s="244">
        <v>0.02</v>
      </c>
      <c r="K1260" s="245" t="s">
        <v>297</v>
      </c>
      <c r="L1260" s="141"/>
    </row>
    <row r="1261" spans="2:12" ht="20.100000000000001" customHeight="1" x14ac:dyDescent="0.25">
      <c r="B1261" s="71"/>
      <c r="C1261" s="245"/>
      <c r="D1261" s="250"/>
      <c r="E1261" s="255"/>
      <c r="F1261" s="251"/>
      <c r="G1261" s="171"/>
      <c r="H1261" s="244"/>
      <c r="I1261" s="244"/>
      <c r="J1261" s="244"/>
      <c r="K1261" s="245"/>
      <c r="L1261" s="141"/>
    </row>
    <row r="1262" spans="2:12" ht="20.100000000000001" customHeight="1" x14ac:dyDescent="0.25">
      <c r="B1262" s="71"/>
      <c r="C1262" s="245"/>
      <c r="D1262" s="244">
        <v>7.0000000000000007E-2</v>
      </c>
      <c r="E1262" s="244">
        <v>0.4</v>
      </c>
      <c r="F1262" s="244">
        <v>0.4</v>
      </c>
      <c r="G1262" s="171"/>
      <c r="H1262" s="244">
        <v>0</v>
      </c>
      <c r="I1262" s="244">
        <v>0.01</v>
      </c>
      <c r="J1262" s="244">
        <v>0.17</v>
      </c>
      <c r="K1262" s="245" t="s">
        <v>298</v>
      </c>
      <c r="L1262" s="141">
        <v>12651.8</v>
      </c>
    </row>
    <row r="1263" spans="2:12" ht="20.100000000000001" customHeight="1" x14ac:dyDescent="0.25">
      <c r="B1263" s="71"/>
      <c r="C1263" s="245"/>
      <c r="D1263" s="250"/>
      <c r="E1263" s="255"/>
      <c r="F1263" s="251"/>
      <c r="G1263" s="171"/>
      <c r="H1263" s="244"/>
      <c r="I1263" s="244"/>
      <c r="J1263" s="244"/>
      <c r="K1263" s="245"/>
      <c r="L1263" s="141"/>
    </row>
    <row r="1264" spans="2:12" ht="20.100000000000001" customHeight="1" x14ac:dyDescent="0.25">
      <c r="B1264" s="71"/>
      <c r="C1264" s="245"/>
      <c r="D1264" s="244">
        <v>0.1</v>
      </c>
      <c r="E1264" s="244">
        <v>0.15</v>
      </c>
      <c r="F1264" s="244">
        <v>0.03</v>
      </c>
      <c r="G1264" s="171"/>
      <c r="H1264" s="244">
        <v>0.02</v>
      </c>
      <c r="I1264" s="244">
        <v>0.01</v>
      </c>
      <c r="J1264" s="244">
        <v>0.05</v>
      </c>
      <c r="K1264" s="245" t="s">
        <v>297</v>
      </c>
      <c r="L1264" s="141"/>
    </row>
    <row r="1265" spans="2:12" ht="20.100000000000001" customHeight="1" x14ac:dyDescent="0.25">
      <c r="B1265" s="71"/>
      <c r="C1265" s="245"/>
      <c r="D1265" s="244">
        <v>0.06</v>
      </c>
      <c r="E1265" s="244">
        <v>0.11</v>
      </c>
      <c r="F1265" s="244">
        <v>0.26</v>
      </c>
      <c r="G1265" s="171"/>
      <c r="H1265" s="244">
        <v>0.01</v>
      </c>
      <c r="I1265" s="244">
        <v>0.03</v>
      </c>
      <c r="J1265" s="244">
        <v>0.16</v>
      </c>
      <c r="K1265" s="245" t="s">
        <v>298</v>
      </c>
      <c r="L1265" s="141">
        <v>12655.7</v>
      </c>
    </row>
    <row r="1266" spans="2:12" ht="20.100000000000001" customHeight="1" x14ac:dyDescent="0.25">
      <c r="B1266" s="71"/>
      <c r="C1266" s="245"/>
      <c r="D1266" s="250"/>
      <c r="E1266" s="255"/>
      <c r="F1266" s="251"/>
      <c r="G1266" s="171"/>
      <c r="H1266" s="244"/>
      <c r="I1266" s="244"/>
      <c r="J1266" s="244"/>
      <c r="K1266" s="245"/>
      <c r="L1266" s="141"/>
    </row>
    <row r="1267" spans="2:12" ht="20.100000000000001" customHeight="1" x14ac:dyDescent="0.25">
      <c r="B1267" s="134"/>
      <c r="C1267" s="135"/>
      <c r="D1267" s="261"/>
      <c r="E1267" s="262"/>
      <c r="F1267" s="263"/>
      <c r="G1267" s="171"/>
      <c r="H1267" s="244"/>
      <c r="I1267" s="244"/>
      <c r="J1267" s="244"/>
      <c r="K1267" s="245"/>
      <c r="L1267" s="141"/>
    </row>
    <row r="1268" spans="2:12" ht="20.100000000000001" customHeight="1" x14ac:dyDescent="0.25">
      <c r="B1268" s="134"/>
      <c r="C1268" s="135"/>
      <c r="D1268" s="261"/>
      <c r="E1268" s="262"/>
      <c r="F1268" s="263"/>
      <c r="G1268" s="171"/>
      <c r="H1268" s="244"/>
      <c r="I1268" s="244"/>
      <c r="J1268" s="244"/>
      <c r="K1268" s="245"/>
      <c r="L1268" s="141"/>
    </row>
    <row r="1269" spans="2:12" ht="20.100000000000001" customHeight="1" x14ac:dyDescent="0.25">
      <c r="B1269" s="71"/>
      <c r="C1269" s="245"/>
      <c r="D1269" s="244">
        <v>0.12</v>
      </c>
      <c r="E1269" s="244">
        <v>0.16</v>
      </c>
      <c r="F1269" s="244">
        <v>0.13</v>
      </c>
      <c r="G1269" s="171"/>
      <c r="H1269" s="244">
        <v>0</v>
      </c>
      <c r="I1269" s="244">
        <v>0</v>
      </c>
      <c r="J1269" s="244">
        <v>0.2</v>
      </c>
      <c r="K1269" s="245" t="s">
        <v>297</v>
      </c>
      <c r="L1269" s="141"/>
    </row>
    <row r="1270" spans="2:12" ht="20.100000000000001" customHeight="1" x14ac:dyDescent="0.25">
      <c r="B1270" s="71"/>
      <c r="C1270" s="252"/>
      <c r="D1270" s="253"/>
      <c r="E1270" s="253"/>
      <c r="F1270" s="253"/>
      <c r="G1270" s="253"/>
      <c r="H1270" s="253"/>
      <c r="I1270" s="253"/>
      <c r="J1270" s="253"/>
      <c r="K1270" s="253"/>
      <c r="L1270" s="254"/>
    </row>
    <row r="1271" spans="2:12" ht="20.100000000000001" customHeight="1" x14ac:dyDescent="0.25">
      <c r="B1271" s="71"/>
      <c r="C1271" s="245"/>
      <c r="D1271" s="244">
        <v>0.33</v>
      </c>
      <c r="E1271" s="244">
        <v>0.65</v>
      </c>
      <c r="F1271" s="244">
        <v>0.44</v>
      </c>
      <c r="G1271" s="171"/>
      <c r="H1271" s="250"/>
      <c r="I1271" s="255"/>
      <c r="J1271" s="251"/>
      <c r="K1271" s="245" t="s">
        <v>298</v>
      </c>
      <c r="L1271" s="141">
        <v>12661.6</v>
      </c>
    </row>
    <row r="1272" spans="2:12" ht="20.100000000000001" customHeight="1" x14ac:dyDescent="0.25">
      <c r="B1272" s="71"/>
      <c r="C1272" s="245"/>
      <c r="D1272" s="244">
        <v>0.01</v>
      </c>
      <c r="E1272" s="244">
        <v>0.05</v>
      </c>
      <c r="F1272" s="244">
        <v>0.16</v>
      </c>
      <c r="G1272" s="171"/>
      <c r="H1272" s="244">
        <v>0</v>
      </c>
      <c r="I1272" s="244">
        <v>0.01</v>
      </c>
      <c r="J1272" s="244">
        <v>0.04</v>
      </c>
      <c r="K1272" s="245" t="s">
        <v>297</v>
      </c>
      <c r="L1272" s="141"/>
    </row>
    <row r="1273" spans="2:12" ht="20.100000000000001" customHeight="1" x14ac:dyDescent="0.25">
      <c r="B1273" s="71"/>
      <c r="C1273" s="252"/>
      <c r="D1273" s="253"/>
      <c r="E1273" s="253"/>
      <c r="F1273" s="253"/>
      <c r="G1273" s="253"/>
      <c r="H1273" s="253"/>
      <c r="I1273" s="253"/>
      <c r="J1273" s="253"/>
      <c r="K1273" s="253"/>
      <c r="L1273" s="254"/>
    </row>
    <row r="1274" spans="2:12" ht="20.100000000000001" customHeight="1" x14ac:dyDescent="0.25">
      <c r="B1274" s="71"/>
      <c r="C1274" s="245"/>
      <c r="D1274" s="244">
        <v>0.02</v>
      </c>
      <c r="E1274" s="244">
        <v>0.37</v>
      </c>
      <c r="F1274" s="244">
        <v>0.43</v>
      </c>
      <c r="G1274" s="171"/>
      <c r="H1274" s="250"/>
      <c r="I1274" s="255"/>
      <c r="J1274" s="251"/>
      <c r="K1274" s="245" t="s">
        <v>297</v>
      </c>
      <c r="L1274" s="141"/>
    </row>
    <row r="1275" spans="2:12" ht="20.100000000000001" customHeight="1" x14ac:dyDescent="0.25">
      <c r="B1275" s="71"/>
      <c r="C1275" s="245"/>
      <c r="D1275" s="250"/>
      <c r="E1275" s="255"/>
      <c r="F1275" s="251"/>
      <c r="G1275" s="171"/>
      <c r="H1275" s="250"/>
      <c r="I1275" s="255"/>
      <c r="J1275" s="251"/>
      <c r="K1275" s="245" t="s">
        <v>298</v>
      </c>
      <c r="L1275" s="141">
        <v>12665.4</v>
      </c>
    </row>
    <row r="1276" spans="2:12" ht="20.100000000000001" customHeight="1" x14ac:dyDescent="0.25">
      <c r="B1276" s="71"/>
      <c r="C1276" s="245"/>
      <c r="D1276" s="244">
        <v>0.01</v>
      </c>
      <c r="E1276" s="244">
        <v>0.41</v>
      </c>
      <c r="F1276" s="244">
        <v>0.37</v>
      </c>
      <c r="G1276" s="171"/>
      <c r="H1276" s="244">
        <v>0</v>
      </c>
      <c r="I1276" s="244">
        <v>0.03</v>
      </c>
      <c r="J1276" s="244">
        <v>7.0000000000000007E-2</v>
      </c>
      <c r="K1276" s="245" t="s">
        <v>297</v>
      </c>
      <c r="L1276" s="141"/>
    </row>
    <row r="1277" spans="2:12" ht="20.100000000000001" customHeight="1" x14ac:dyDescent="0.25">
      <c r="B1277" s="71"/>
      <c r="C1277" s="245"/>
      <c r="D1277" s="244">
        <v>0.02</v>
      </c>
      <c r="E1277" s="244">
        <v>0.39</v>
      </c>
      <c r="F1277" s="244">
        <v>0.43</v>
      </c>
      <c r="G1277" s="171"/>
      <c r="H1277" s="244">
        <v>0</v>
      </c>
      <c r="I1277" s="244">
        <v>0</v>
      </c>
      <c r="J1277" s="244">
        <v>0.1</v>
      </c>
      <c r="K1277" s="245" t="s">
        <v>298</v>
      </c>
      <c r="L1277" s="141">
        <v>12670.7</v>
      </c>
    </row>
    <row r="1278" spans="2:12" ht="20.100000000000001" customHeight="1" x14ac:dyDescent="0.25">
      <c r="B1278" s="71"/>
      <c r="C1278" s="245"/>
      <c r="D1278" s="244">
        <v>0.06</v>
      </c>
      <c r="E1278" s="244">
        <v>0.38</v>
      </c>
      <c r="F1278" s="244">
        <v>0.13</v>
      </c>
      <c r="G1278" s="171"/>
      <c r="H1278" s="244">
        <v>0</v>
      </c>
      <c r="I1278" s="244">
        <v>0.01</v>
      </c>
      <c r="J1278" s="244">
        <v>0.12</v>
      </c>
      <c r="K1278" s="245" t="s">
        <v>297</v>
      </c>
      <c r="L1278" s="141"/>
    </row>
    <row r="1279" spans="2:12" ht="20.100000000000001" customHeight="1" x14ac:dyDescent="0.25">
      <c r="B1279" s="71"/>
      <c r="C1279" s="245"/>
      <c r="D1279" s="244">
        <v>0.03</v>
      </c>
      <c r="E1279" s="244">
        <v>0.38</v>
      </c>
      <c r="F1279" s="244">
        <v>0.38</v>
      </c>
      <c r="G1279" s="171"/>
      <c r="H1279" s="244">
        <v>0</v>
      </c>
      <c r="I1279" s="244">
        <v>0</v>
      </c>
      <c r="J1279" s="244">
        <v>0.21</v>
      </c>
      <c r="K1279" s="245" t="s">
        <v>297</v>
      </c>
      <c r="L1279" s="141"/>
    </row>
    <row r="1280" spans="2:12" ht="20.100000000000001" customHeight="1" x14ac:dyDescent="0.25">
      <c r="B1280" s="71"/>
      <c r="C1280" s="245"/>
      <c r="D1280" s="250"/>
      <c r="E1280" s="255"/>
      <c r="F1280" s="251"/>
      <c r="G1280" s="171"/>
      <c r="H1280" s="244"/>
      <c r="I1280" s="244"/>
      <c r="J1280" s="244"/>
      <c r="K1280" s="245"/>
      <c r="L1280" s="141"/>
    </row>
    <row r="1281" spans="2:12" ht="20.100000000000001" customHeight="1" x14ac:dyDescent="0.25">
      <c r="B1281" s="71"/>
      <c r="C1281" s="245"/>
      <c r="D1281" s="244">
        <v>0</v>
      </c>
      <c r="E1281" s="244">
        <v>0.04</v>
      </c>
      <c r="F1281" s="244">
        <v>0.08</v>
      </c>
      <c r="G1281" s="171"/>
      <c r="H1281" s="244">
        <v>0.01</v>
      </c>
      <c r="I1281" s="244">
        <v>0</v>
      </c>
      <c r="J1281" s="244">
        <v>0.23</v>
      </c>
      <c r="K1281" s="245" t="s">
        <v>297</v>
      </c>
      <c r="L1281" s="141"/>
    </row>
    <row r="1282" spans="2:12" ht="20.100000000000001" customHeight="1" x14ac:dyDescent="0.25">
      <c r="B1282" s="71"/>
      <c r="C1282" s="245"/>
      <c r="D1282" s="244">
        <v>0.03</v>
      </c>
      <c r="E1282" s="244">
        <v>0.05</v>
      </c>
      <c r="F1282" s="244">
        <v>0.23</v>
      </c>
      <c r="G1282" s="171"/>
      <c r="H1282" s="244">
        <v>0</v>
      </c>
      <c r="I1282" s="244">
        <v>0.01</v>
      </c>
      <c r="J1282" s="244">
        <v>0.21</v>
      </c>
      <c r="K1282" s="245" t="s">
        <v>298</v>
      </c>
      <c r="L1282" s="141">
        <v>12678.5</v>
      </c>
    </row>
    <row r="1283" spans="2:12" ht="20.100000000000001" customHeight="1" x14ac:dyDescent="0.25">
      <c r="B1283" s="134"/>
      <c r="C1283" s="135"/>
      <c r="D1283" s="261"/>
      <c r="E1283" s="262"/>
      <c r="F1283" s="263"/>
      <c r="G1283" s="171"/>
      <c r="H1283" s="244"/>
      <c r="I1283" s="244"/>
      <c r="J1283" s="244"/>
      <c r="K1283" s="245"/>
      <c r="L1283" s="141"/>
    </row>
    <row r="1284" spans="2:12" ht="20.100000000000001" customHeight="1" x14ac:dyDescent="0.25">
      <c r="B1284" s="134"/>
      <c r="C1284" s="135"/>
      <c r="D1284" s="261"/>
      <c r="E1284" s="262"/>
      <c r="F1284" s="263"/>
      <c r="G1284" s="171"/>
      <c r="H1284" s="244"/>
      <c r="I1284" s="244"/>
      <c r="J1284" s="244"/>
      <c r="K1284" s="245"/>
      <c r="L1284" s="141"/>
    </row>
    <row r="1285" spans="2:12" ht="20.100000000000001" customHeight="1" x14ac:dyDescent="0.25">
      <c r="B1285" s="71"/>
      <c r="C1285" s="245"/>
      <c r="D1285" s="244">
        <v>0.01</v>
      </c>
      <c r="E1285" s="244">
        <v>0.02</v>
      </c>
      <c r="F1285" s="244">
        <v>0.11</v>
      </c>
      <c r="G1285" s="171"/>
      <c r="H1285" s="244">
        <v>0</v>
      </c>
      <c r="I1285" s="244">
        <v>0.02</v>
      </c>
      <c r="J1285" s="244">
        <v>0.14000000000000001</v>
      </c>
      <c r="K1285" s="245" t="s">
        <v>297</v>
      </c>
      <c r="L1285" s="141"/>
    </row>
    <row r="1286" spans="2:12" ht="20.100000000000001" customHeight="1" x14ac:dyDescent="0.25">
      <c r="B1286" s="71"/>
      <c r="C1286" s="245"/>
      <c r="D1286" s="244">
        <v>0.01</v>
      </c>
      <c r="E1286" s="244">
        <v>0.03</v>
      </c>
      <c r="F1286" s="244">
        <v>0.09</v>
      </c>
      <c r="G1286" s="171"/>
      <c r="H1286" s="244">
        <v>0</v>
      </c>
      <c r="I1286" s="244">
        <v>0.01</v>
      </c>
      <c r="J1286" s="244">
        <v>0.14000000000000001</v>
      </c>
      <c r="K1286" s="245" t="s">
        <v>298</v>
      </c>
      <c r="L1286" s="141">
        <v>12682.4</v>
      </c>
    </row>
    <row r="1287" spans="2:12" ht="20.100000000000001" customHeight="1" x14ac:dyDescent="0.25">
      <c r="B1287" s="71"/>
      <c r="C1287" s="252"/>
      <c r="D1287" s="253"/>
      <c r="E1287" s="253"/>
      <c r="F1287" s="253"/>
      <c r="G1287" s="253"/>
      <c r="H1287" s="253"/>
      <c r="I1287" s="253"/>
      <c r="J1287" s="253"/>
      <c r="K1287" s="253"/>
      <c r="L1287" s="254"/>
    </row>
    <row r="1288" spans="2:12" ht="20.100000000000001" customHeight="1" x14ac:dyDescent="0.25">
      <c r="B1288" s="71"/>
      <c r="C1288" s="245"/>
      <c r="D1288" s="244">
        <v>0.17</v>
      </c>
      <c r="E1288" s="244">
        <v>0.53</v>
      </c>
      <c r="F1288" s="244">
        <v>0.48</v>
      </c>
      <c r="G1288" s="171"/>
      <c r="H1288" s="244">
        <v>0.04</v>
      </c>
      <c r="I1288" s="244">
        <v>0.03</v>
      </c>
      <c r="J1288" s="244"/>
      <c r="K1288" s="245"/>
      <c r="L1288" s="141"/>
    </row>
    <row r="1289" spans="2:12" ht="20.100000000000001" customHeight="1" x14ac:dyDescent="0.25">
      <c r="B1289" s="71"/>
      <c r="C1289" s="252"/>
      <c r="D1289" s="253"/>
      <c r="E1289" s="253"/>
      <c r="F1289" s="253"/>
      <c r="G1289" s="253"/>
      <c r="H1289" s="253"/>
      <c r="I1289" s="253"/>
      <c r="J1289" s="253"/>
      <c r="K1289" s="253"/>
      <c r="L1289" s="254"/>
    </row>
    <row r="1290" spans="2:12" ht="20.100000000000001" customHeight="1" x14ac:dyDescent="0.25">
      <c r="B1290" s="71"/>
      <c r="C1290" s="245"/>
      <c r="D1290" s="244">
        <v>0.02</v>
      </c>
      <c r="E1290" s="244">
        <v>0.5</v>
      </c>
      <c r="F1290" s="244">
        <v>0.55000000000000004</v>
      </c>
      <c r="G1290" s="171"/>
      <c r="H1290" s="244">
        <v>0</v>
      </c>
      <c r="I1290" s="244">
        <v>0.01</v>
      </c>
      <c r="J1290" s="244">
        <v>0.18</v>
      </c>
      <c r="K1290" s="245" t="s">
        <v>298</v>
      </c>
      <c r="L1290" s="141">
        <v>12691.9</v>
      </c>
    </row>
    <row r="1291" spans="2:12" ht="20.100000000000001" customHeight="1" x14ac:dyDescent="0.25">
      <c r="B1291" s="71"/>
      <c r="C1291" s="245"/>
      <c r="D1291" s="250"/>
      <c r="E1291" s="255"/>
      <c r="F1291" s="251"/>
      <c r="G1291" s="171"/>
      <c r="H1291" s="244"/>
      <c r="I1291" s="244"/>
      <c r="J1291" s="244"/>
      <c r="K1291" s="245"/>
      <c r="L1291" s="141"/>
    </row>
    <row r="1292" spans="2:12" ht="20.100000000000001" customHeight="1" x14ac:dyDescent="0.25">
      <c r="B1292" s="71"/>
      <c r="C1292" s="245"/>
      <c r="D1292" s="244">
        <v>0.02</v>
      </c>
      <c r="E1292" s="244">
        <v>0.22</v>
      </c>
      <c r="F1292" s="244">
        <v>0.22</v>
      </c>
      <c r="G1292" s="171"/>
      <c r="H1292" s="244">
        <v>0</v>
      </c>
      <c r="I1292" s="244">
        <v>0.01</v>
      </c>
      <c r="J1292" s="244">
        <v>0.09</v>
      </c>
      <c r="K1292" s="245" t="s">
        <v>297</v>
      </c>
      <c r="L1292" s="141"/>
    </row>
    <row r="1293" spans="2:12" ht="20.100000000000001" customHeight="1" x14ac:dyDescent="0.25">
      <c r="B1293" s="71"/>
      <c r="C1293" s="245"/>
      <c r="D1293" s="244">
        <v>0.02</v>
      </c>
      <c r="E1293" s="244">
        <v>0.01</v>
      </c>
      <c r="F1293" s="244">
        <v>0.48</v>
      </c>
      <c r="G1293" s="171"/>
      <c r="H1293" s="244">
        <v>0</v>
      </c>
      <c r="I1293" s="244">
        <v>0.01</v>
      </c>
      <c r="J1293" s="244">
        <v>0.08</v>
      </c>
      <c r="K1293" s="245" t="s">
        <v>298</v>
      </c>
      <c r="L1293" s="141">
        <v>12697.9</v>
      </c>
    </row>
    <row r="1294" spans="2:12" ht="20.100000000000001" customHeight="1" x14ac:dyDescent="0.25">
      <c r="B1294" s="71"/>
      <c r="C1294" s="245"/>
      <c r="D1294" s="244">
        <v>0.02</v>
      </c>
      <c r="E1294" s="244">
        <v>0.17</v>
      </c>
      <c r="F1294" s="244">
        <v>0.28999999999999998</v>
      </c>
      <c r="G1294" s="171"/>
      <c r="H1294" s="244">
        <v>0.01</v>
      </c>
      <c r="I1294" s="244">
        <v>0.01</v>
      </c>
      <c r="J1294" s="244">
        <v>0.26</v>
      </c>
      <c r="K1294" s="245" t="s">
        <v>297</v>
      </c>
      <c r="L1294" s="141"/>
    </row>
    <row r="1295" spans="2:12" ht="20.100000000000001" customHeight="1" x14ac:dyDescent="0.25">
      <c r="B1295" s="71"/>
      <c r="C1295" s="245"/>
      <c r="D1295" s="244">
        <v>0.02</v>
      </c>
      <c r="E1295" s="244">
        <v>0.18</v>
      </c>
      <c r="F1295" s="244">
        <v>0.27</v>
      </c>
      <c r="G1295" s="171"/>
      <c r="H1295" s="244">
        <v>0</v>
      </c>
      <c r="I1295" s="244">
        <v>0.01</v>
      </c>
      <c r="J1295" s="244">
        <v>0.18</v>
      </c>
      <c r="K1295" s="245" t="s">
        <v>298</v>
      </c>
      <c r="L1295" s="141">
        <v>12710</v>
      </c>
    </row>
    <row r="1296" spans="2:12" ht="20.100000000000001" customHeight="1" x14ac:dyDescent="0.25">
      <c r="B1296" s="71"/>
      <c r="C1296" s="245"/>
      <c r="D1296" s="244">
        <v>0.04</v>
      </c>
      <c r="E1296" s="244">
        <v>0.15</v>
      </c>
      <c r="F1296" s="244">
        <v>0.14000000000000001</v>
      </c>
      <c r="G1296" s="171"/>
      <c r="H1296" s="244">
        <v>0.02</v>
      </c>
      <c r="I1296" s="244">
        <v>0.06</v>
      </c>
      <c r="J1296" s="244">
        <v>0.14000000000000001</v>
      </c>
      <c r="K1296" s="245" t="s">
        <v>297</v>
      </c>
      <c r="L1296" s="141"/>
    </row>
    <row r="1297" spans="2:12" ht="20.100000000000001" customHeight="1" x14ac:dyDescent="0.25">
      <c r="B1297" s="134"/>
      <c r="C1297" s="135"/>
      <c r="D1297" s="261"/>
      <c r="E1297" s="262"/>
      <c r="F1297" s="263"/>
      <c r="G1297" s="171"/>
      <c r="H1297" s="244"/>
      <c r="I1297" s="244"/>
      <c r="J1297" s="244"/>
      <c r="K1297" s="245"/>
      <c r="L1297" s="141"/>
    </row>
    <row r="1298" spans="2:12" ht="20.100000000000001" customHeight="1" x14ac:dyDescent="0.25">
      <c r="B1298" s="134"/>
      <c r="C1298" s="135"/>
      <c r="D1298" s="261"/>
      <c r="E1298" s="262"/>
      <c r="F1298" s="263"/>
      <c r="G1298" s="171"/>
      <c r="H1298" s="244"/>
      <c r="I1298" s="244"/>
      <c r="J1298" s="244"/>
      <c r="K1298" s="245"/>
      <c r="L1298" s="141"/>
    </row>
    <row r="1299" spans="2:12" ht="20.100000000000001" customHeight="1" x14ac:dyDescent="0.25">
      <c r="B1299" s="71"/>
      <c r="C1299" s="245"/>
      <c r="D1299" s="244">
        <v>0.01</v>
      </c>
      <c r="E1299" s="244">
        <v>0.1</v>
      </c>
      <c r="F1299" s="244">
        <v>0.25</v>
      </c>
      <c r="G1299" s="171"/>
      <c r="H1299" s="244">
        <v>0</v>
      </c>
      <c r="I1299" s="244">
        <v>0.01</v>
      </c>
      <c r="J1299" s="244">
        <v>0.15</v>
      </c>
      <c r="K1299" s="245" t="s">
        <v>297</v>
      </c>
      <c r="L1299" s="141"/>
    </row>
    <row r="1300" spans="2:12" ht="20.100000000000001" customHeight="1" x14ac:dyDescent="0.25">
      <c r="B1300" s="71"/>
      <c r="C1300" s="252"/>
      <c r="D1300" s="253"/>
      <c r="E1300" s="253"/>
      <c r="F1300" s="253"/>
      <c r="G1300" s="253"/>
      <c r="H1300" s="253"/>
      <c r="I1300" s="253"/>
      <c r="J1300" s="253"/>
      <c r="K1300" s="253"/>
      <c r="L1300" s="254"/>
    </row>
    <row r="1301" spans="2:12" ht="20.100000000000001" customHeight="1" x14ac:dyDescent="0.25">
      <c r="B1301" s="71"/>
      <c r="C1301" s="245"/>
      <c r="D1301" s="244">
        <v>0.76</v>
      </c>
      <c r="E1301" s="244">
        <v>0.64</v>
      </c>
      <c r="F1301" s="244"/>
      <c r="G1301" s="171"/>
      <c r="H1301" s="244">
        <v>0</v>
      </c>
      <c r="I1301" s="244">
        <v>0.01</v>
      </c>
      <c r="J1301" s="244">
        <v>0.14000000000000001</v>
      </c>
      <c r="K1301" s="245" t="s">
        <v>298</v>
      </c>
      <c r="L1301" s="141">
        <v>12717.6</v>
      </c>
    </row>
    <row r="1302" spans="2:12" ht="20.100000000000001" customHeight="1" x14ac:dyDescent="0.25">
      <c r="B1302" s="71"/>
      <c r="C1302" s="245"/>
      <c r="D1302" s="244">
        <v>0.06</v>
      </c>
      <c r="E1302" s="244">
        <v>0.47</v>
      </c>
      <c r="F1302" s="244">
        <v>0.45</v>
      </c>
      <c r="G1302" s="171"/>
      <c r="H1302" s="244">
        <v>0</v>
      </c>
      <c r="I1302" s="244">
        <v>0</v>
      </c>
      <c r="J1302" s="244">
        <v>0.17</v>
      </c>
      <c r="K1302" s="245" t="s">
        <v>297</v>
      </c>
      <c r="L1302" s="141"/>
    </row>
    <row r="1303" spans="2:12" ht="20.100000000000001" customHeight="1" x14ac:dyDescent="0.25">
      <c r="B1303" s="71"/>
      <c r="C1303" s="245"/>
      <c r="D1303" s="250"/>
      <c r="E1303" s="255"/>
      <c r="F1303" s="251"/>
      <c r="G1303" s="171"/>
      <c r="H1303" s="244"/>
      <c r="I1303" s="244"/>
      <c r="J1303" s="244"/>
      <c r="K1303" s="245"/>
      <c r="L1303" s="141"/>
    </row>
    <row r="1304" spans="2:12" ht="20.100000000000001" customHeight="1" x14ac:dyDescent="0.25">
      <c r="B1304" s="71"/>
      <c r="C1304" s="245"/>
      <c r="D1304" s="244">
        <v>0.08</v>
      </c>
      <c r="E1304" s="244">
        <v>0.47</v>
      </c>
      <c r="F1304" s="244"/>
      <c r="G1304" s="171"/>
      <c r="H1304" s="244"/>
      <c r="I1304" s="244"/>
      <c r="J1304" s="244"/>
      <c r="K1304" s="245"/>
      <c r="L1304" s="141"/>
    </row>
    <row r="1305" spans="2:12" ht="20.100000000000001" customHeight="1" x14ac:dyDescent="0.25">
      <c r="B1305" s="71"/>
      <c r="C1305" s="245"/>
      <c r="D1305" s="250"/>
      <c r="E1305" s="255"/>
      <c r="F1305" s="251"/>
      <c r="G1305" s="171"/>
      <c r="H1305" s="244"/>
      <c r="I1305" s="244"/>
      <c r="J1305" s="244"/>
      <c r="K1305" s="245"/>
      <c r="L1305" s="141"/>
    </row>
    <row r="1306" spans="2:12" ht="20.100000000000001" customHeight="1" x14ac:dyDescent="0.25">
      <c r="B1306" s="71"/>
      <c r="C1306" s="245"/>
      <c r="D1306" s="244">
        <v>0.26</v>
      </c>
      <c r="E1306" s="244">
        <v>0.44</v>
      </c>
      <c r="F1306" s="244"/>
      <c r="G1306" s="171"/>
      <c r="H1306" s="244"/>
      <c r="I1306" s="244"/>
      <c r="J1306" s="244"/>
      <c r="K1306" s="245"/>
      <c r="L1306" s="141"/>
    </row>
    <row r="1307" spans="2:12" ht="20.100000000000001" customHeight="1" x14ac:dyDescent="0.25">
      <c r="B1307" s="71"/>
      <c r="C1307" s="245"/>
      <c r="D1307" s="244">
        <v>0.11</v>
      </c>
      <c r="E1307" s="244">
        <v>0.17</v>
      </c>
      <c r="F1307" s="244">
        <v>0.11</v>
      </c>
      <c r="G1307" s="171"/>
      <c r="H1307" s="244">
        <v>0</v>
      </c>
      <c r="I1307" s="244">
        <v>0</v>
      </c>
      <c r="J1307" s="244">
        <v>7.0000000000000007E-2</v>
      </c>
      <c r="K1307" s="245" t="s">
        <v>298</v>
      </c>
      <c r="L1307" s="141">
        <v>12721.9</v>
      </c>
    </row>
    <row r="1308" spans="2:12" ht="20.100000000000001" customHeight="1" x14ac:dyDescent="0.25">
      <c r="B1308" s="71"/>
      <c r="C1308" s="245"/>
      <c r="D1308" s="244">
        <v>0.09</v>
      </c>
      <c r="E1308" s="244">
        <v>0.12</v>
      </c>
      <c r="F1308" s="244">
        <v>0.12</v>
      </c>
      <c r="G1308" s="171"/>
      <c r="H1308" s="244">
        <v>0</v>
      </c>
      <c r="I1308" s="244">
        <v>0.02</v>
      </c>
      <c r="J1308" s="244">
        <v>0.19</v>
      </c>
      <c r="K1308" s="245" t="s">
        <v>297</v>
      </c>
      <c r="L1308" s="141"/>
    </row>
    <row r="1309" spans="2:12" ht="20.100000000000001" customHeight="1" x14ac:dyDescent="0.25">
      <c r="B1309" s="71"/>
      <c r="C1309" s="245"/>
      <c r="D1309" s="244">
        <v>0.06</v>
      </c>
      <c r="E1309" s="244">
        <v>0.09</v>
      </c>
      <c r="F1309" s="244">
        <v>0.33</v>
      </c>
      <c r="G1309" s="171"/>
      <c r="H1309" s="244">
        <v>0</v>
      </c>
      <c r="I1309" s="244">
        <v>0.01</v>
      </c>
      <c r="J1309" s="244">
        <v>0.38</v>
      </c>
      <c r="K1309" s="245" t="s">
        <v>298</v>
      </c>
      <c r="L1309" s="141">
        <v>12728.2</v>
      </c>
    </row>
    <row r="1310" spans="2:12" ht="20.100000000000001" customHeight="1" x14ac:dyDescent="0.25">
      <c r="B1310" s="71"/>
      <c r="C1310" s="245"/>
      <c r="D1310" s="244">
        <v>0.03</v>
      </c>
      <c r="E1310" s="244">
        <v>0.08</v>
      </c>
      <c r="F1310" s="244">
        <v>0.13</v>
      </c>
      <c r="G1310" s="171"/>
      <c r="H1310" s="244">
        <v>0</v>
      </c>
      <c r="I1310" s="244">
        <v>0</v>
      </c>
      <c r="J1310" s="244">
        <v>0.24</v>
      </c>
      <c r="K1310" s="245" t="s">
        <v>297</v>
      </c>
      <c r="L1310" s="141"/>
    </row>
    <row r="1311" spans="2:12" ht="20.100000000000001" customHeight="1" x14ac:dyDescent="0.25">
      <c r="B1311" s="71"/>
      <c r="C1311" s="245"/>
      <c r="D1311" s="250"/>
      <c r="E1311" s="255"/>
      <c r="F1311" s="251"/>
      <c r="G1311" s="171"/>
      <c r="H1311" s="244"/>
      <c r="I1311" s="244"/>
      <c r="J1311" s="244"/>
      <c r="K1311" s="245"/>
      <c r="L1311" s="141"/>
    </row>
    <row r="1312" spans="2:12" ht="20.100000000000001" customHeight="1" x14ac:dyDescent="0.25">
      <c r="B1312" s="71"/>
      <c r="C1312" s="245"/>
      <c r="D1312" s="244">
        <v>0.04</v>
      </c>
      <c r="E1312" s="244">
        <v>0.05</v>
      </c>
      <c r="F1312" s="244">
        <v>0.05</v>
      </c>
      <c r="G1312" s="171"/>
      <c r="H1312" s="244">
        <v>0.03</v>
      </c>
      <c r="I1312" s="244">
        <v>0.03</v>
      </c>
      <c r="J1312" s="244">
        <v>0.04</v>
      </c>
      <c r="K1312" s="245" t="s">
        <v>297</v>
      </c>
      <c r="L1312" s="141"/>
    </row>
    <row r="1313" spans="2:12" ht="20.100000000000001" customHeight="1" x14ac:dyDescent="0.25">
      <c r="B1313" s="71"/>
      <c r="C1313" s="252"/>
      <c r="D1313" s="253"/>
      <c r="E1313" s="253"/>
      <c r="F1313" s="253"/>
      <c r="G1313" s="253"/>
      <c r="H1313" s="253"/>
      <c r="I1313" s="253"/>
      <c r="J1313" s="253"/>
      <c r="K1313" s="253"/>
      <c r="L1313" s="254"/>
    </row>
    <row r="1314" spans="2:12" ht="20.100000000000001" customHeight="1" x14ac:dyDescent="0.25">
      <c r="B1314" s="134"/>
      <c r="C1314" s="135"/>
      <c r="D1314" s="261"/>
      <c r="E1314" s="262"/>
      <c r="F1314" s="263"/>
      <c r="G1314" s="171"/>
      <c r="H1314" s="244"/>
      <c r="I1314" s="244"/>
      <c r="J1314" s="244"/>
      <c r="K1314" s="245"/>
      <c r="L1314" s="141"/>
    </row>
    <row r="1315" spans="2:12" ht="20.100000000000001" customHeight="1" x14ac:dyDescent="0.25">
      <c r="B1315" s="134"/>
      <c r="C1315" s="135"/>
      <c r="D1315" s="261"/>
      <c r="E1315" s="262"/>
      <c r="F1315" s="263"/>
      <c r="G1315" s="171"/>
      <c r="H1315" s="244"/>
      <c r="I1315" s="244"/>
      <c r="J1315" s="244"/>
      <c r="K1315" s="245"/>
      <c r="L1315" s="141"/>
    </row>
    <row r="1316" spans="2:12" ht="20.100000000000001" customHeight="1" x14ac:dyDescent="0.25">
      <c r="B1316" s="71"/>
      <c r="C1316" s="245"/>
      <c r="D1316" s="244">
        <v>0.03</v>
      </c>
      <c r="E1316" s="244">
        <v>0.28000000000000003</v>
      </c>
      <c r="F1316" s="244">
        <v>0.45</v>
      </c>
      <c r="G1316" s="171"/>
      <c r="H1316" s="244">
        <v>0</v>
      </c>
      <c r="I1316" s="244">
        <v>0</v>
      </c>
      <c r="J1316" s="244">
        <v>0.26</v>
      </c>
      <c r="K1316" s="245" t="s">
        <v>297</v>
      </c>
      <c r="L1316" s="141"/>
    </row>
    <row r="1317" spans="2:12" ht="20.100000000000001" customHeight="1" x14ac:dyDescent="0.25">
      <c r="B1317" s="71"/>
      <c r="C1317" s="245"/>
      <c r="D1317" s="250"/>
      <c r="E1317" s="255"/>
      <c r="F1317" s="251"/>
      <c r="G1317" s="171"/>
      <c r="H1317" s="244"/>
      <c r="I1317" s="244"/>
      <c r="J1317" s="244"/>
      <c r="K1317" s="245"/>
      <c r="L1317" s="141"/>
    </row>
    <row r="1318" spans="2:12" ht="20.100000000000001" customHeight="1" x14ac:dyDescent="0.25">
      <c r="B1318" s="71"/>
      <c r="C1318" s="245"/>
      <c r="D1318" s="238">
        <v>0.17</v>
      </c>
      <c r="E1318" s="239">
        <v>0.34</v>
      </c>
      <c r="F1318" s="240">
        <v>0.22</v>
      </c>
      <c r="G1318" s="171"/>
      <c r="H1318" s="244">
        <v>0</v>
      </c>
      <c r="I1318" s="244">
        <v>0</v>
      </c>
      <c r="J1318" s="244">
        <v>0.2</v>
      </c>
      <c r="K1318" s="245" t="s">
        <v>298</v>
      </c>
      <c r="L1318" s="141">
        <v>12741.2</v>
      </c>
    </row>
    <row r="1319" spans="2:12" ht="20.100000000000001" customHeight="1" x14ac:dyDescent="0.25">
      <c r="D1319" s="242">
        <v>0.08</v>
      </c>
      <c r="E1319" s="242">
        <v>0.12</v>
      </c>
      <c r="F1319" s="242">
        <v>0.18</v>
      </c>
      <c r="G1319" s="175"/>
      <c r="H1319" s="244">
        <v>0</v>
      </c>
      <c r="I1319" s="244">
        <v>0.03</v>
      </c>
      <c r="J1319" s="244">
        <v>0.23</v>
      </c>
      <c r="K1319" s="245" t="s">
        <v>298</v>
      </c>
      <c r="L1319" s="176">
        <v>12745.6</v>
      </c>
    </row>
    <row r="1320" spans="2:12" ht="20.100000000000001" customHeight="1" x14ac:dyDescent="0.25">
      <c r="D1320" s="242">
        <v>0.48</v>
      </c>
      <c r="E1320" s="242">
        <v>0.55000000000000004</v>
      </c>
      <c r="F1320" s="242">
        <v>0.2</v>
      </c>
      <c r="G1320" s="175"/>
      <c r="H1320" s="244">
        <v>0</v>
      </c>
      <c r="I1320" s="244">
        <v>0</v>
      </c>
      <c r="J1320" s="244">
        <v>0.12</v>
      </c>
      <c r="K1320" s="245" t="s">
        <v>297</v>
      </c>
    </row>
    <row r="1321" spans="2:12" ht="20.100000000000001" customHeight="1" x14ac:dyDescent="0.25">
      <c r="D1321" s="242">
        <v>0.23</v>
      </c>
      <c r="E1321" s="242">
        <v>0.4</v>
      </c>
      <c r="F1321" s="242">
        <v>0.32</v>
      </c>
      <c r="G1321" s="175"/>
      <c r="H1321" s="279"/>
      <c r="I1321" s="279"/>
      <c r="J1321" s="279"/>
      <c r="K1321" s="245" t="s">
        <v>298</v>
      </c>
      <c r="L1321" s="176">
        <v>12750.5</v>
      </c>
    </row>
    <row r="1322" spans="2:12" ht="20.100000000000001" customHeight="1" x14ac:dyDescent="0.25">
      <c r="D1322" s="242">
        <v>0.03</v>
      </c>
      <c r="E1322" s="242">
        <v>0.08</v>
      </c>
      <c r="F1322" s="242">
        <v>0.15</v>
      </c>
      <c r="G1322" s="175"/>
      <c r="H1322" s="244">
        <v>0</v>
      </c>
      <c r="I1322" s="244">
        <v>0</v>
      </c>
      <c r="J1322" s="244">
        <v>0.06</v>
      </c>
      <c r="K1322" s="245" t="s">
        <v>297</v>
      </c>
    </row>
    <row r="1323" spans="2:12" ht="20.100000000000001" customHeight="1" x14ac:dyDescent="0.25">
      <c r="D1323" s="280"/>
      <c r="E1323" s="280"/>
      <c r="F1323" s="280"/>
      <c r="G1323" s="280"/>
      <c r="H1323" s="280"/>
      <c r="I1323" s="280"/>
      <c r="J1323" s="280"/>
      <c r="K1323" s="280"/>
      <c r="L1323" s="280"/>
    </row>
    <row r="1324" spans="2:12" ht="20.100000000000001" customHeight="1" x14ac:dyDescent="0.25">
      <c r="D1324" s="242">
        <v>0.25</v>
      </c>
      <c r="E1324" s="242">
        <v>0.84</v>
      </c>
      <c r="F1324" s="242">
        <v>0.75</v>
      </c>
      <c r="G1324" s="175"/>
      <c r="H1324" s="280"/>
      <c r="I1324" s="280"/>
      <c r="J1324" s="280"/>
      <c r="K1324" s="280"/>
      <c r="L1324" s="280"/>
    </row>
    <row r="1325" spans="2:12" ht="20.100000000000001" customHeight="1" x14ac:dyDescent="0.25">
      <c r="D1325" s="280"/>
      <c r="E1325" s="280"/>
      <c r="F1325" s="280"/>
      <c r="G1325" s="175"/>
      <c r="H1325" s="244">
        <v>0.11</v>
      </c>
      <c r="I1325" s="244">
        <v>0.1</v>
      </c>
      <c r="J1325" s="244">
        <v>0.3</v>
      </c>
      <c r="K1325" s="245" t="s">
        <v>298</v>
      </c>
      <c r="L1325" s="141">
        <v>12754.9</v>
      </c>
    </row>
    <row r="1326" spans="2:12" ht="20.100000000000001" customHeight="1" x14ac:dyDescent="0.25">
      <c r="B1326" s="134"/>
      <c r="C1326" s="135"/>
      <c r="D1326" s="261"/>
      <c r="E1326" s="262"/>
      <c r="F1326" s="263"/>
      <c r="G1326" s="175"/>
      <c r="H1326" s="244"/>
      <c r="I1326" s="244"/>
      <c r="J1326" s="244"/>
      <c r="K1326" s="245"/>
      <c r="L1326" s="141"/>
    </row>
    <row r="1327" spans="2:12" ht="20.100000000000001" customHeight="1" x14ac:dyDescent="0.25">
      <c r="B1327" s="134"/>
      <c r="C1327" s="135"/>
      <c r="D1327" s="261"/>
      <c r="E1327" s="262"/>
      <c r="F1327" s="263"/>
      <c r="G1327" s="175"/>
      <c r="H1327" s="244"/>
      <c r="I1327" s="244"/>
      <c r="J1327" s="244"/>
      <c r="K1327" s="245"/>
      <c r="L1327" s="141"/>
    </row>
    <row r="1328" spans="2:12" ht="20.100000000000001" customHeight="1" x14ac:dyDescent="0.25">
      <c r="B1328" s="193"/>
      <c r="C1328" s="194"/>
      <c r="D1328" s="281"/>
      <c r="E1328" s="282"/>
      <c r="F1328" s="283"/>
      <c r="G1328" s="175"/>
      <c r="H1328" s="244"/>
      <c r="I1328" s="244"/>
      <c r="J1328" s="244"/>
      <c r="K1328" s="245"/>
      <c r="L1328" s="141"/>
    </row>
    <row r="1329" spans="2:12" ht="20.100000000000001" customHeight="1" x14ac:dyDescent="0.25">
      <c r="B1329" s="71"/>
      <c r="C1329" s="245"/>
      <c r="D1329" s="244">
        <v>0.02</v>
      </c>
      <c r="E1329" s="244">
        <v>0.11</v>
      </c>
      <c r="F1329" s="244">
        <v>0.15</v>
      </c>
      <c r="G1329" s="171"/>
      <c r="H1329" s="244">
        <v>0</v>
      </c>
      <c r="I1329" s="244">
        <v>0</v>
      </c>
      <c r="J1329" s="244">
        <v>0.04</v>
      </c>
      <c r="K1329" s="245" t="s">
        <v>297</v>
      </c>
      <c r="L1329" s="141"/>
    </row>
    <row r="1330" spans="2:12" ht="20.100000000000001" customHeight="1" x14ac:dyDescent="0.25">
      <c r="B1330" s="71"/>
      <c r="C1330" s="245"/>
      <c r="D1330" s="244">
        <v>0.03</v>
      </c>
      <c r="E1330" s="244">
        <v>0.03</v>
      </c>
      <c r="F1330" s="244">
        <v>0.05</v>
      </c>
      <c r="G1330" s="171"/>
      <c r="H1330" s="244">
        <v>0</v>
      </c>
      <c r="I1330" s="244">
        <v>0</v>
      </c>
      <c r="J1330" s="244">
        <v>0.04</v>
      </c>
      <c r="K1330" s="245" t="s">
        <v>297</v>
      </c>
      <c r="L1330" s="141"/>
    </row>
    <row r="1331" spans="2:12" ht="20.100000000000001" customHeight="1" x14ac:dyDescent="0.25">
      <c r="B1331" s="71"/>
      <c r="C1331" s="245"/>
      <c r="D1331" s="284"/>
      <c r="E1331" s="284"/>
      <c r="F1331" s="284"/>
      <c r="G1331" s="171"/>
      <c r="H1331" s="284"/>
      <c r="I1331" s="284"/>
      <c r="J1331" s="284"/>
      <c r="K1331" s="245" t="s">
        <v>298</v>
      </c>
      <c r="L1331" s="141">
        <v>12759.1</v>
      </c>
    </row>
    <row r="1332" spans="2:12" ht="20.100000000000001" customHeight="1" x14ac:dyDescent="0.25">
      <c r="B1332" s="71"/>
      <c r="C1332" s="245"/>
      <c r="D1332" s="244">
        <v>0.01</v>
      </c>
      <c r="E1332" s="244">
        <v>0.03</v>
      </c>
      <c r="F1332" s="244">
        <v>0.12</v>
      </c>
      <c r="G1332" s="171"/>
      <c r="H1332" s="244">
        <v>0</v>
      </c>
      <c r="I1332" s="244">
        <v>0</v>
      </c>
      <c r="J1332" s="244">
        <v>0.13</v>
      </c>
      <c r="K1332" s="245" t="s">
        <v>297</v>
      </c>
      <c r="L1332" s="141"/>
    </row>
    <row r="1333" spans="2:12" ht="20.100000000000001" customHeight="1" x14ac:dyDescent="0.25">
      <c r="B1333" s="71"/>
      <c r="C1333" s="245"/>
      <c r="D1333" s="284"/>
      <c r="E1333" s="284"/>
      <c r="F1333" s="284"/>
      <c r="G1333" s="171"/>
      <c r="H1333" s="284"/>
      <c r="I1333" s="284"/>
      <c r="J1333" s="284"/>
      <c r="K1333" s="245" t="s">
        <v>298</v>
      </c>
      <c r="L1333" s="141">
        <v>12762.8</v>
      </c>
    </row>
    <row r="1334" spans="2:12" ht="20.100000000000001" customHeight="1" x14ac:dyDescent="0.25">
      <c r="B1334" s="134"/>
      <c r="C1334" s="135"/>
      <c r="D1334" s="261"/>
      <c r="E1334" s="262"/>
      <c r="F1334" s="263"/>
      <c r="G1334" s="171"/>
      <c r="H1334" s="244"/>
      <c r="I1334" s="244"/>
      <c r="J1334" s="244"/>
      <c r="K1334" s="245"/>
      <c r="L1334" s="141"/>
    </row>
    <row r="1335" spans="2:12" ht="20.100000000000001" customHeight="1" x14ac:dyDescent="0.25">
      <c r="B1335" s="134"/>
      <c r="C1335" s="135"/>
      <c r="D1335" s="261"/>
      <c r="E1335" s="262"/>
      <c r="F1335" s="263"/>
      <c r="G1335" s="171"/>
      <c r="H1335" s="244"/>
      <c r="I1335" s="244"/>
      <c r="J1335" s="244"/>
      <c r="K1335" s="245"/>
      <c r="L1335" s="141"/>
    </row>
    <row r="1336" spans="2:12" ht="20.100000000000001" customHeight="1" x14ac:dyDescent="0.25">
      <c r="B1336" s="193"/>
      <c r="C1336" s="194"/>
      <c r="D1336" s="281"/>
      <c r="E1336" s="282"/>
      <c r="F1336" s="283"/>
      <c r="G1336" s="171"/>
      <c r="H1336" s="244"/>
      <c r="I1336" s="244"/>
      <c r="J1336" s="244"/>
      <c r="K1336" s="245"/>
      <c r="L1336" s="141"/>
    </row>
    <row r="1337" spans="2:12" ht="20.100000000000001" customHeight="1" x14ac:dyDescent="0.25">
      <c r="B1337" s="193"/>
      <c r="C1337" s="194"/>
      <c r="D1337" s="281"/>
      <c r="E1337" s="282"/>
      <c r="F1337" s="283"/>
      <c r="G1337" s="195"/>
      <c r="H1337" s="196"/>
      <c r="I1337" s="196"/>
      <c r="J1337" s="196"/>
      <c r="K1337" s="197"/>
      <c r="L1337" s="198"/>
    </row>
    <row r="1338" spans="2:12" ht="20.100000000000001" customHeight="1" x14ac:dyDescent="0.25">
      <c r="B1338" s="71"/>
      <c r="C1338" s="245"/>
      <c r="D1338" s="279"/>
      <c r="E1338" s="279"/>
      <c r="F1338" s="279"/>
      <c r="G1338" s="279"/>
      <c r="H1338" s="279"/>
      <c r="I1338" s="279"/>
      <c r="J1338" s="279"/>
      <c r="K1338" s="279"/>
      <c r="L1338" s="279"/>
    </row>
    <row r="1339" spans="2:12" ht="20.100000000000001" customHeight="1" x14ac:dyDescent="0.25">
      <c r="B1339" s="71"/>
      <c r="C1339" s="245"/>
      <c r="D1339" s="244"/>
      <c r="E1339" s="244"/>
      <c r="F1339" s="244"/>
      <c r="G1339" s="171"/>
      <c r="H1339" s="250"/>
      <c r="I1339" s="255"/>
      <c r="J1339" s="251"/>
      <c r="K1339" s="245" t="s">
        <v>298</v>
      </c>
      <c r="L1339" s="141">
        <v>12767.2</v>
      </c>
    </row>
    <row r="1340" spans="2:12" ht="20.100000000000001" customHeight="1" x14ac:dyDescent="0.25">
      <c r="B1340" s="71"/>
      <c r="C1340" s="245"/>
      <c r="D1340" s="244">
        <v>0.05</v>
      </c>
      <c r="E1340" s="244">
        <v>0.26</v>
      </c>
      <c r="F1340" s="244">
        <v>0.39</v>
      </c>
      <c r="G1340" s="171"/>
      <c r="H1340" s="244">
        <v>0.01</v>
      </c>
      <c r="I1340" s="244">
        <v>0.03</v>
      </c>
      <c r="J1340" s="244">
        <v>0.2</v>
      </c>
      <c r="K1340" s="245" t="s">
        <v>298</v>
      </c>
      <c r="L1340" s="141">
        <v>12772.8</v>
      </c>
    </row>
    <row r="1341" spans="2:12" ht="20.100000000000001" customHeight="1" x14ac:dyDescent="0.25">
      <c r="B1341" s="71"/>
      <c r="C1341" s="245"/>
      <c r="D1341" s="279"/>
      <c r="E1341" s="279"/>
      <c r="F1341" s="279"/>
      <c r="G1341" s="171"/>
      <c r="H1341" s="244">
        <v>0.28000000000000003</v>
      </c>
      <c r="I1341" s="244">
        <v>0.59</v>
      </c>
      <c r="J1341" s="244">
        <v>0.31</v>
      </c>
      <c r="K1341" s="245"/>
      <c r="L1341" s="141"/>
    </row>
    <row r="1342" spans="2:12" ht="20.100000000000001" customHeight="1" x14ac:dyDescent="0.25">
      <c r="B1342" s="71"/>
      <c r="C1342" s="245"/>
      <c r="D1342" s="244">
        <v>0.05</v>
      </c>
      <c r="E1342" s="244">
        <v>0.06</v>
      </c>
      <c r="F1342" s="244">
        <v>0.14000000000000001</v>
      </c>
      <c r="G1342" s="171"/>
      <c r="H1342" s="244">
        <v>0</v>
      </c>
      <c r="I1342" s="244">
        <v>0.01</v>
      </c>
      <c r="J1342" s="244">
        <v>0.05</v>
      </c>
      <c r="K1342" s="245" t="s">
        <v>298</v>
      </c>
      <c r="L1342" s="141">
        <v>12777.5</v>
      </c>
    </row>
    <row r="1343" spans="2:12" ht="20.100000000000001" customHeight="1" x14ac:dyDescent="0.25">
      <c r="B1343" s="71"/>
      <c r="C1343" s="245"/>
      <c r="D1343" s="244">
        <v>0</v>
      </c>
      <c r="E1343" s="244">
        <v>0.05</v>
      </c>
      <c r="F1343" s="244">
        <v>7.0000000000000007E-2</v>
      </c>
      <c r="G1343" s="171"/>
      <c r="H1343" s="244">
        <v>0</v>
      </c>
      <c r="I1343" s="244">
        <v>0.02</v>
      </c>
      <c r="J1343" s="244">
        <v>7.0000000000000007E-2</v>
      </c>
      <c r="K1343" s="245" t="s">
        <v>298</v>
      </c>
      <c r="L1343" s="141">
        <v>12783.6</v>
      </c>
    </row>
    <row r="1344" spans="2:12" ht="20.100000000000001" customHeight="1" x14ac:dyDescent="0.25">
      <c r="B1344" s="134"/>
      <c r="C1344" s="135"/>
      <c r="D1344" s="261"/>
      <c r="E1344" s="262"/>
      <c r="F1344" s="263"/>
      <c r="G1344" s="171"/>
      <c r="H1344" s="244"/>
      <c r="I1344" s="244"/>
      <c r="J1344" s="244"/>
      <c r="K1344" s="245"/>
      <c r="L1344" s="141"/>
    </row>
    <row r="1345" spans="2:12" ht="20.100000000000001" customHeight="1" x14ac:dyDescent="0.25">
      <c r="B1345" s="193"/>
      <c r="C1345" s="194"/>
      <c r="D1345" s="281"/>
      <c r="E1345" s="282"/>
      <c r="F1345" s="283"/>
      <c r="G1345" s="171"/>
      <c r="H1345" s="244"/>
      <c r="I1345" s="244"/>
      <c r="J1345" s="244"/>
      <c r="K1345" s="245"/>
      <c r="L1345" s="141"/>
    </row>
    <row r="1346" spans="2:12" ht="20.100000000000001" customHeight="1" x14ac:dyDescent="0.25">
      <c r="B1346" s="71"/>
      <c r="C1346" s="252"/>
      <c r="D1346" s="253"/>
      <c r="E1346" s="253"/>
      <c r="F1346" s="254"/>
      <c r="G1346" s="171"/>
      <c r="H1346" s="250"/>
      <c r="I1346" s="255"/>
      <c r="J1346" s="255"/>
      <c r="K1346" s="255"/>
      <c r="L1346" s="251"/>
    </row>
    <row r="1347" spans="2:12" ht="20.100000000000001" customHeight="1" x14ac:dyDescent="0.25">
      <c r="B1347" s="71"/>
      <c r="C1347" s="252"/>
      <c r="D1347" s="253"/>
      <c r="E1347" s="253"/>
      <c r="F1347" s="254"/>
      <c r="G1347" s="171"/>
      <c r="H1347" s="250"/>
      <c r="I1347" s="255"/>
      <c r="J1347" s="255"/>
      <c r="K1347" s="255"/>
      <c r="L1347" s="251"/>
    </row>
    <row r="1348" spans="2:12" ht="20.100000000000001" customHeight="1" x14ac:dyDescent="0.25">
      <c r="B1348" s="71"/>
      <c r="C1348" s="252"/>
      <c r="D1348" s="253"/>
      <c r="E1348" s="253"/>
      <c r="F1348" s="254"/>
      <c r="G1348" s="171"/>
      <c r="H1348" s="250"/>
      <c r="I1348" s="255"/>
      <c r="J1348" s="255"/>
      <c r="K1348" s="255"/>
      <c r="L1348" s="251"/>
    </row>
    <row r="1349" spans="2:12" ht="20.100000000000001" customHeight="1" x14ac:dyDescent="0.25">
      <c r="B1349" s="71"/>
      <c r="C1349" s="245"/>
      <c r="D1349" s="244"/>
      <c r="E1349" s="244">
        <v>0.59</v>
      </c>
      <c r="F1349" s="244">
        <v>0.11</v>
      </c>
      <c r="G1349" s="171"/>
      <c r="H1349" s="244"/>
      <c r="I1349" s="244"/>
      <c r="J1349" s="244"/>
      <c r="K1349" s="245" t="s">
        <v>298</v>
      </c>
      <c r="L1349" s="141">
        <v>12816.8</v>
      </c>
    </row>
    <row r="1350" spans="2:12" ht="20.100000000000001" customHeight="1" x14ac:dyDescent="0.25">
      <c r="B1350" s="222"/>
      <c r="C1350" s="135"/>
      <c r="D1350" s="261"/>
      <c r="E1350" s="262"/>
      <c r="F1350" s="263"/>
      <c r="G1350" s="171"/>
      <c r="H1350" s="244"/>
      <c r="I1350" s="244"/>
      <c r="J1350" s="244"/>
      <c r="K1350" s="245"/>
      <c r="L1350" s="141"/>
    </row>
    <row r="1351" spans="2:12" ht="20.100000000000001" customHeight="1" x14ac:dyDescent="0.25">
      <c r="B1351" s="134"/>
      <c r="C1351" s="135"/>
      <c r="D1351" s="261"/>
      <c r="E1351" s="262"/>
      <c r="F1351" s="263"/>
      <c r="G1351" s="171"/>
      <c r="H1351" s="244"/>
      <c r="I1351" s="244"/>
      <c r="J1351" s="244"/>
      <c r="K1351" s="245"/>
      <c r="L1351" s="141"/>
    </row>
    <row r="1352" spans="2:12" ht="20.100000000000001" customHeight="1" x14ac:dyDescent="0.25">
      <c r="B1352" s="193"/>
      <c r="C1352" s="194"/>
      <c r="D1352" s="281"/>
      <c r="E1352" s="282"/>
      <c r="F1352" s="283"/>
      <c r="G1352" s="171"/>
      <c r="H1352" s="244"/>
      <c r="I1352" s="244"/>
      <c r="J1352" s="244"/>
      <c r="K1352" s="245"/>
      <c r="L1352" s="141"/>
    </row>
    <row r="1353" spans="2:12" ht="20.100000000000001" customHeight="1" x14ac:dyDescent="0.25">
      <c r="B1353" s="193"/>
      <c r="C1353" s="194"/>
      <c r="D1353" s="281"/>
      <c r="E1353" s="282"/>
      <c r="F1353" s="283"/>
      <c r="G1353" s="171"/>
      <c r="H1353" s="244"/>
      <c r="I1353" s="244"/>
      <c r="J1353" s="244"/>
      <c r="K1353" s="245"/>
      <c r="L1353" s="141"/>
    </row>
    <row r="1354" spans="2:12" ht="20.100000000000001" customHeight="1" x14ac:dyDescent="0.25">
      <c r="B1354" s="71"/>
      <c r="C1354" s="245"/>
      <c r="D1354" s="244">
        <v>0.4</v>
      </c>
      <c r="E1354" s="244">
        <v>0.37</v>
      </c>
      <c r="F1354" s="244">
        <v>0.3</v>
      </c>
      <c r="G1354" s="171"/>
      <c r="H1354" s="244">
        <v>0</v>
      </c>
      <c r="I1354" s="244">
        <v>0.03</v>
      </c>
      <c r="J1354" s="244">
        <v>0.2</v>
      </c>
      <c r="K1354" s="245" t="s">
        <v>500</v>
      </c>
      <c r="L1354" s="141">
        <v>12821.2</v>
      </c>
    </row>
    <row r="1355" spans="2:12" ht="20.100000000000001" customHeight="1" x14ac:dyDescent="0.25">
      <c r="B1355" s="71"/>
      <c r="C1355" s="245"/>
      <c r="D1355" s="244">
        <v>0.31</v>
      </c>
      <c r="E1355" s="244">
        <v>0.34</v>
      </c>
      <c r="F1355" s="244">
        <v>0.23</v>
      </c>
      <c r="G1355" s="171"/>
      <c r="H1355" s="244">
        <v>0</v>
      </c>
      <c r="I1355" s="244">
        <v>0.02</v>
      </c>
      <c r="J1355" s="244">
        <v>0.08</v>
      </c>
      <c r="K1355" s="245" t="s">
        <v>500</v>
      </c>
      <c r="L1355" s="141">
        <v>12825.4</v>
      </c>
    </row>
    <row r="1356" spans="2:12" ht="20.100000000000001" customHeight="1" x14ac:dyDescent="0.25">
      <c r="B1356" s="222"/>
      <c r="C1356" s="223"/>
      <c r="D1356" s="281"/>
      <c r="E1356" s="282"/>
      <c r="F1356" s="283"/>
      <c r="G1356" s="171"/>
      <c r="H1356" s="244"/>
      <c r="I1356" s="244"/>
      <c r="J1356" s="244"/>
      <c r="K1356" s="245"/>
      <c r="L1356" s="141"/>
    </row>
    <row r="1357" spans="2:12" ht="20.100000000000001" customHeight="1" x14ac:dyDescent="0.25">
      <c r="B1357" s="71"/>
      <c r="C1357" s="245"/>
      <c r="D1357" s="244">
        <v>0.26</v>
      </c>
      <c r="E1357" s="244">
        <v>0.28999999999999998</v>
      </c>
      <c r="F1357" s="244">
        <v>0.21</v>
      </c>
      <c r="G1357" s="171"/>
      <c r="H1357" s="244">
        <v>0</v>
      </c>
      <c r="I1357" s="244">
        <v>0.02</v>
      </c>
      <c r="J1357" s="244">
        <v>0.21</v>
      </c>
      <c r="K1357" s="245" t="s">
        <v>500</v>
      </c>
      <c r="L1357" s="141">
        <v>12829.4</v>
      </c>
    </row>
    <row r="1358" spans="2:12" ht="20.100000000000001" customHeight="1" x14ac:dyDescent="0.25">
      <c r="B1358" s="134"/>
      <c r="C1358" s="135"/>
      <c r="D1358" s="261"/>
      <c r="E1358" s="262"/>
      <c r="F1358" s="263"/>
      <c r="G1358" s="171"/>
      <c r="H1358" s="244"/>
      <c r="I1358" s="244"/>
      <c r="J1358" s="244"/>
      <c r="K1358" s="245"/>
      <c r="L1358" s="141"/>
    </row>
    <row r="1359" spans="2:12" ht="20.100000000000001" customHeight="1" x14ac:dyDescent="0.25">
      <c r="B1359" s="193"/>
      <c r="C1359" s="194"/>
      <c r="D1359" s="281"/>
      <c r="E1359" s="282"/>
      <c r="F1359" s="283"/>
      <c r="G1359" s="171"/>
      <c r="H1359" s="244"/>
      <c r="I1359" s="244"/>
      <c r="J1359" s="244"/>
      <c r="K1359" s="245"/>
      <c r="L1359" s="141"/>
    </row>
    <row r="1360" spans="2:12" ht="20.100000000000001" customHeight="1" x14ac:dyDescent="0.25">
      <c r="B1360" s="193"/>
      <c r="C1360" s="194"/>
      <c r="D1360" s="281"/>
      <c r="E1360" s="282"/>
      <c r="F1360" s="283"/>
      <c r="G1360" s="171"/>
      <c r="H1360" s="244"/>
      <c r="I1360" s="244"/>
      <c r="J1360" s="244"/>
      <c r="K1360" s="245"/>
      <c r="L1360" s="141"/>
    </row>
    <row r="1361" spans="2:12" ht="20.100000000000001" customHeight="1" x14ac:dyDescent="0.25">
      <c r="B1361" s="71"/>
      <c r="C1361" s="245"/>
      <c r="D1361" s="244">
        <v>0.16</v>
      </c>
      <c r="E1361" s="244">
        <v>0.22</v>
      </c>
      <c r="F1361" s="244">
        <v>0.1</v>
      </c>
      <c r="G1361" s="171"/>
      <c r="H1361" s="244">
        <v>0</v>
      </c>
      <c r="I1361" s="244">
        <v>0.02</v>
      </c>
      <c r="J1361" s="244">
        <v>0.1</v>
      </c>
      <c r="K1361" s="245" t="s">
        <v>500</v>
      </c>
      <c r="L1361" s="141">
        <v>12833.6</v>
      </c>
    </row>
    <row r="1362" spans="2:12" ht="20.100000000000001" customHeight="1" x14ac:dyDescent="0.25">
      <c r="B1362" s="71"/>
      <c r="C1362" s="245"/>
      <c r="D1362" s="244">
        <v>0.01</v>
      </c>
      <c r="E1362" s="244">
        <v>0.03</v>
      </c>
      <c r="F1362" s="244">
        <v>0.26</v>
      </c>
      <c r="G1362" s="171"/>
      <c r="H1362" s="244">
        <v>0</v>
      </c>
      <c r="I1362" s="244">
        <v>0.02</v>
      </c>
      <c r="J1362" s="244">
        <v>0.18</v>
      </c>
      <c r="K1362" s="245" t="s">
        <v>500</v>
      </c>
      <c r="L1362" s="141">
        <v>12844.4</v>
      </c>
    </row>
    <row r="1363" spans="2:12" ht="20.100000000000001" customHeight="1" x14ac:dyDescent="0.25">
      <c r="B1363" s="71"/>
      <c r="C1363" s="245"/>
      <c r="D1363" s="245">
        <v>0.01</v>
      </c>
      <c r="E1363" s="245">
        <v>0.03</v>
      </c>
      <c r="F1363" s="245">
        <v>0.17</v>
      </c>
      <c r="G1363" s="174"/>
      <c r="H1363" s="244">
        <v>0</v>
      </c>
      <c r="I1363" s="244">
        <v>0.01</v>
      </c>
      <c r="J1363" s="245">
        <v>7.0000000000000007E-2</v>
      </c>
      <c r="K1363" s="245" t="s">
        <v>500</v>
      </c>
      <c r="L1363" s="141">
        <v>12850.7</v>
      </c>
    </row>
    <row r="1364" spans="2:12" ht="20.100000000000001" customHeight="1" x14ac:dyDescent="0.25">
      <c r="B1364" s="71"/>
      <c r="C1364" s="252"/>
      <c r="D1364" s="253"/>
      <c r="E1364" s="253"/>
      <c r="F1364" s="253"/>
      <c r="G1364" s="253"/>
      <c r="H1364" s="253"/>
      <c r="I1364" s="253"/>
      <c r="J1364" s="253"/>
      <c r="K1364" s="253"/>
      <c r="L1364" s="254"/>
    </row>
    <row r="1365" spans="2:12" ht="20.100000000000001" customHeight="1" x14ac:dyDescent="0.25">
      <c r="B1365" s="71"/>
      <c r="C1365" s="245"/>
      <c r="D1365" s="245">
        <v>0.04</v>
      </c>
      <c r="E1365" s="245">
        <v>0.27</v>
      </c>
      <c r="F1365" s="245">
        <v>0.38</v>
      </c>
      <c r="G1365" s="174"/>
      <c r="H1365" s="250"/>
      <c r="I1365" s="255"/>
      <c r="J1365" s="251"/>
      <c r="K1365" s="245"/>
      <c r="L1365" s="141"/>
    </row>
    <row r="1366" spans="2:12" ht="20.100000000000001" customHeight="1" x14ac:dyDescent="0.25">
      <c r="B1366" s="134"/>
      <c r="C1366" s="135"/>
      <c r="D1366" s="261"/>
      <c r="E1366" s="262"/>
      <c r="F1366" s="263"/>
      <c r="G1366" s="174"/>
      <c r="H1366" s="244"/>
      <c r="I1366" s="244"/>
      <c r="J1366" s="245"/>
      <c r="K1366" s="245"/>
      <c r="L1366" s="141"/>
    </row>
    <row r="1367" spans="2:12" ht="20.100000000000001" customHeight="1" x14ac:dyDescent="0.25">
      <c r="B1367" s="193"/>
      <c r="C1367" s="194"/>
      <c r="D1367" s="281"/>
      <c r="E1367" s="282"/>
      <c r="F1367" s="283"/>
      <c r="G1367" s="174"/>
      <c r="H1367" s="244"/>
      <c r="I1367" s="244"/>
      <c r="J1367" s="245"/>
      <c r="K1367" s="245"/>
      <c r="L1367" s="141"/>
    </row>
    <row r="1368" spans="2:12" ht="20.100000000000001" customHeight="1" x14ac:dyDescent="0.25">
      <c r="B1368" s="71"/>
      <c r="C1368" s="245"/>
      <c r="D1368" s="245">
        <v>0.01</v>
      </c>
      <c r="E1368" s="245">
        <v>0.21</v>
      </c>
      <c r="F1368" s="245"/>
      <c r="G1368" s="174"/>
      <c r="H1368" s="244"/>
      <c r="I1368" s="244"/>
      <c r="J1368" s="245"/>
      <c r="K1368" s="245"/>
      <c r="L1368" s="141"/>
    </row>
    <row r="1369" spans="2:12" ht="20.100000000000001" customHeight="1" x14ac:dyDescent="0.25">
      <c r="B1369" s="134"/>
      <c r="C1369" s="135"/>
      <c r="D1369" s="261"/>
      <c r="E1369" s="262"/>
      <c r="F1369" s="263"/>
      <c r="G1369" s="174"/>
      <c r="H1369" s="244"/>
      <c r="I1369" s="244"/>
      <c r="J1369" s="245"/>
      <c r="K1369" s="245"/>
      <c r="L1369" s="141"/>
    </row>
    <row r="1370" spans="2:12" ht="20.100000000000001" customHeight="1" x14ac:dyDescent="0.25">
      <c r="B1370" s="134"/>
      <c r="C1370" s="194"/>
      <c r="D1370" s="281"/>
      <c r="E1370" s="282"/>
      <c r="F1370" s="283"/>
      <c r="G1370" s="174"/>
      <c r="H1370" s="244"/>
      <c r="I1370" s="244"/>
      <c r="J1370" s="245"/>
      <c r="K1370" s="245"/>
      <c r="L1370" s="141"/>
    </row>
    <row r="1371" spans="2:12" ht="20.100000000000001" customHeight="1" x14ac:dyDescent="0.25">
      <c r="B1371" s="71"/>
      <c r="C1371" s="245"/>
      <c r="D1371" s="245">
        <v>0</v>
      </c>
      <c r="E1371" s="245">
        <v>0.06</v>
      </c>
      <c r="F1371" s="245">
        <v>0.22</v>
      </c>
      <c r="G1371" s="174"/>
      <c r="H1371" s="244">
        <v>0</v>
      </c>
      <c r="I1371" s="244">
        <v>0.01</v>
      </c>
      <c r="J1371" s="245">
        <v>0.04</v>
      </c>
      <c r="K1371" s="245" t="s">
        <v>504</v>
      </c>
      <c r="L1371" s="141"/>
    </row>
    <row r="1372" spans="2:12" ht="20.100000000000001" customHeight="1" x14ac:dyDescent="0.25">
      <c r="B1372" s="71"/>
      <c r="C1372" s="252"/>
      <c r="D1372" s="253"/>
      <c r="E1372" s="253"/>
      <c r="F1372" s="253"/>
      <c r="G1372" s="253"/>
      <c r="H1372" s="253"/>
      <c r="I1372" s="253"/>
      <c r="J1372" s="253"/>
      <c r="K1372" s="253"/>
      <c r="L1372" s="254"/>
    </row>
    <row r="1373" spans="2:12" ht="20.100000000000001" customHeight="1" x14ac:dyDescent="0.25">
      <c r="B1373" s="71"/>
      <c r="C1373" s="245"/>
      <c r="D1373" s="245">
        <v>7.0000000000000007E-2</v>
      </c>
      <c r="E1373" s="245">
        <v>0.75</v>
      </c>
      <c r="F1373" s="245">
        <v>0.67</v>
      </c>
      <c r="G1373" s="174"/>
      <c r="H1373" s="244"/>
      <c r="I1373" s="244"/>
      <c r="J1373" s="245"/>
      <c r="K1373" s="245"/>
      <c r="L1373" s="141"/>
    </row>
    <row r="1374" spans="2:12" ht="20.100000000000001" customHeight="1" x14ac:dyDescent="0.25">
      <c r="B1374" s="71"/>
      <c r="C1374" s="245"/>
      <c r="D1374" s="252"/>
      <c r="E1374" s="253"/>
      <c r="F1374" s="254"/>
      <c r="G1374" s="174"/>
      <c r="H1374" s="250"/>
      <c r="I1374" s="255"/>
      <c r="J1374" s="251"/>
      <c r="K1374" s="245" t="s">
        <v>500</v>
      </c>
      <c r="L1374" s="141">
        <v>12870.8</v>
      </c>
    </row>
    <row r="1375" spans="2:12" ht="20.100000000000001" customHeight="1" x14ac:dyDescent="0.25">
      <c r="B1375" s="134"/>
      <c r="C1375" s="135"/>
      <c r="D1375" s="261"/>
      <c r="E1375" s="262"/>
      <c r="F1375" s="263"/>
      <c r="G1375" s="174"/>
      <c r="H1375" s="244"/>
      <c r="I1375" s="244"/>
      <c r="J1375" s="245"/>
      <c r="K1375" s="245"/>
      <c r="L1375" s="141"/>
    </row>
    <row r="1376" spans="2:12" ht="20.100000000000001" customHeight="1" x14ac:dyDescent="0.25">
      <c r="B1376" s="193"/>
      <c r="C1376" s="194"/>
      <c r="D1376" s="281"/>
      <c r="E1376" s="282"/>
      <c r="F1376" s="283"/>
      <c r="G1376" s="174"/>
      <c r="H1376" s="244"/>
      <c r="I1376" s="244"/>
      <c r="J1376" s="245"/>
      <c r="K1376" s="245"/>
      <c r="L1376" s="141"/>
    </row>
    <row r="1377" spans="2:12" ht="20.100000000000001" customHeight="1" x14ac:dyDescent="0.25">
      <c r="B1377" s="71"/>
      <c r="C1377" s="245"/>
      <c r="D1377" s="245">
        <v>0.03</v>
      </c>
      <c r="E1377" s="245">
        <v>0.34</v>
      </c>
      <c r="F1377" s="245">
        <v>0.38</v>
      </c>
      <c r="G1377" s="174"/>
      <c r="H1377" s="244">
        <v>0.04</v>
      </c>
      <c r="I1377" s="244">
        <v>0.11</v>
      </c>
      <c r="J1377" s="245">
        <v>0.21</v>
      </c>
      <c r="K1377" s="245" t="s">
        <v>500</v>
      </c>
      <c r="L1377" s="141">
        <v>12876.5</v>
      </c>
    </row>
    <row r="1378" spans="2:12" ht="20.100000000000001" customHeight="1" x14ac:dyDescent="0.25">
      <c r="B1378" s="134"/>
      <c r="C1378" s="135"/>
      <c r="D1378" s="261"/>
      <c r="E1378" s="262"/>
      <c r="F1378" s="263"/>
      <c r="G1378" s="174"/>
      <c r="H1378" s="244"/>
      <c r="I1378" s="244"/>
      <c r="J1378" s="245"/>
      <c r="K1378" s="245"/>
      <c r="L1378" s="141"/>
    </row>
    <row r="1379" spans="2:12" ht="20.100000000000001" customHeight="1" x14ac:dyDescent="0.25">
      <c r="B1379" s="71"/>
      <c r="C1379" s="245"/>
      <c r="D1379" s="245">
        <v>0.02</v>
      </c>
      <c r="E1379" s="245">
        <v>0.3</v>
      </c>
      <c r="F1379" s="245">
        <v>0.34</v>
      </c>
      <c r="G1379" s="174"/>
      <c r="H1379" s="244">
        <v>0</v>
      </c>
      <c r="I1379" s="244">
        <v>0.04</v>
      </c>
      <c r="J1379" s="245">
        <v>0.04</v>
      </c>
      <c r="K1379" s="245" t="s">
        <v>500</v>
      </c>
      <c r="L1379" s="141">
        <v>12887.9</v>
      </c>
    </row>
  </sheetData>
  <mergeCells count="308">
    <mergeCell ref="C679:L679"/>
    <mergeCell ref="D681:F681"/>
    <mergeCell ref="H681:J681"/>
    <mergeCell ref="D682:F682"/>
    <mergeCell ref="D683:F683"/>
    <mergeCell ref="D685:F685"/>
    <mergeCell ref="C671:L671"/>
    <mergeCell ref="H672:J672"/>
    <mergeCell ref="D673:F673"/>
    <mergeCell ref="D674:F674"/>
    <mergeCell ref="D676:F676"/>
    <mergeCell ref="D677:F677"/>
    <mergeCell ref="D659:F659"/>
    <mergeCell ref="D660:F660"/>
    <mergeCell ref="D663:F663"/>
    <mergeCell ref="D665:F665"/>
    <mergeCell ref="D666:F666"/>
    <mergeCell ref="D667:F667"/>
    <mergeCell ref="C654:F654"/>
    <mergeCell ref="H654:L654"/>
    <mergeCell ref="C655:F655"/>
    <mergeCell ref="H655:L655"/>
    <mergeCell ref="D657:F657"/>
    <mergeCell ref="D658:F658"/>
    <mergeCell ref="D645:L645"/>
    <mergeCell ref="H646:J646"/>
    <mergeCell ref="D648:F648"/>
    <mergeCell ref="D651:F651"/>
    <mergeCell ref="D652:F652"/>
    <mergeCell ref="C653:F653"/>
    <mergeCell ref="H653:L653"/>
    <mergeCell ref="D640:F640"/>
    <mergeCell ref="H640:J640"/>
    <mergeCell ref="D641:F641"/>
    <mergeCell ref="D642:F642"/>
    <mergeCell ref="D643:F643"/>
    <mergeCell ref="D644:F644"/>
    <mergeCell ref="D632:F632"/>
    <mergeCell ref="D633:F633"/>
    <mergeCell ref="D634:F634"/>
    <mergeCell ref="D635:F635"/>
    <mergeCell ref="D638:F638"/>
    <mergeCell ref="H638:J638"/>
    <mergeCell ref="D621:F621"/>
    <mergeCell ref="D622:F622"/>
    <mergeCell ref="D624:F624"/>
    <mergeCell ref="H628:J628"/>
    <mergeCell ref="D630:L630"/>
    <mergeCell ref="H631:L631"/>
    <mergeCell ref="D605:F605"/>
    <mergeCell ref="C607:L607"/>
    <mergeCell ref="D610:F610"/>
    <mergeCell ref="D612:F612"/>
    <mergeCell ref="D618:F618"/>
    <mergeCell ref="C620:L620"/>
    <mergeCell ref="D590:F590"/>
    <mergeCell ref="D591:F591"/>
    <mergeCell ref="C594:L594"/>
    <mergeCell ref="C596:L596"/>
    <mergeCell ref="D598:F598"/>
    <mergeCell ref="D604:F604"/>
    <mergeCell ref="H578:J578"/>
    <mergeCell ref="C580:L580"/>
    <mergeCell ref="H581:J581"/>
    <mergeCell ref="D582:F582"/>
    <mergeCell ref="H582:J582"/>
    <mergeCell ref="D587:F587"/>
    <mergeCell ref="D568:F568"/>
    <mergeCell ref="D570:F570"/>
    <mergeCell ref="D573:F573"/>
    <mergeCell ref="D574:F574"/>
    <mergeCell ref="D575:F575"/>
    <mergeCell ref="C577:L577"/>
    <mergeCell ref="D555:F555"/>
    <mergeCell ref="D556:F556"/>
    <mergeCell ref="D558:F558"/>
    <mergeCell ref="D561:F561"/>
    <mergeCell ref="C564:L564"/>
    <mergeCell ref="D566:F566"/>
    <mergeCell ref="B540:F540"/>
    <mergeCell ref="D543:F543"/>
    <mergeCell ref="D544:F544"/>
    <mergeCell ref="D545:F545"/>
    <mergeCell ref="D548:L548"/>
    <mergeCell ref="D551:F551"/>
    <mergeCell ref="H529:J529"/>
    <mergeCell ref="D530:F530"/>
    <mergeCell ref="D534:F534"/>
    <mergeCell ref="D535:F535"/>
    <mergeCell ref="B538:F538"/>
    <mergeCell ref="B539:F539"/>
    <mergeCell ref="D513:F513"/>
    <mergeCell ref="H513:K513"/>
    <mergeCell ref="D515:F515"/>
    <mergeCell ref="D522:F522"/>
    <mergeCell ref="D523:F523"/>
    <mergeCell ref="D526:F526"/>
    <mergeCell ref="H526:J526"/>
    <mergeCell ref="D497:F497"/>
    <mergeCell ref="D498:F498"/>
    <mergeCell ref="D505:F505"/>
    <mergeCell ref="H505:K505"/>
    <mergeCell ref="D509:F509"/>
    <mergeCell ref="D510:F510"/>
    <mergeCell ref="D475:F475"/>
    <mergeCell ref="D476:F476"/>
    <mergeCell ref="D486:F486"/>
    <mergeCell ref="D487:F487"/>
    <mergeCell ref="D488:F488"/>
    <mergeCell ref="D492:F492"/>
    <mergeCell ref="D454:F454"/>
    <mergeCell ref="D462:F462"/>
    <mergeCell ref="D464:F464"/>
    <mergeCell ref="D465:F465"/>
    <mergeCell ref="D469:F469"/>
    <mergeCell ref="H470:K470"/>
    <mergeCell ref="B439:F439"/>
    <mergeCell ref="B440:F440"/>
    <mergeCell ref="D442:F442"/>
    <mergeCell ref="D443:F443"/>
    <mergeCell ref="D444:F444"/>
    <mergeCell ref="D453:F453"/>
    <mergeCell ref="C430:F430"/>
    <mergeCell ref="H430:K430"/>
    <mergeCell ref="D433:F433"/>
    <mergeCell ref="D434:F434"/>
    <mergeCell ref="B437:F437"/>
    <mergeCell ref="B438:F438"/>
    <mergeCell ref="D401:F401"/>
    <mergeCell ref="H406:K406"/>
    <mergeCell ref="D411:F411"/>
    <mergeCell ref="D412:F412"/>
    <mergeCell ref="D421:F421"/>
    <mergeCell ref="D422:F422"/>
    <mergeCell ref="D387:F387"/>
    <mergeCell ref="D388:F388"/>
    <mergeCell ref="D389:F389"/>
    <mergeCell ref="H398:K398"/>
    <mergeCell ref="H399:K399"/>
    <mergeCell ref="D400:F400"/>
    <mergeCell ref="C374:F374"/>
    <mergeCell ref="H374:K374"/>
    <mergeCell ref="C375:F375"/>
    <mergeCell ref="D377:F377"/>
    <mergeCell ref="D378:F378"/>
    <mergeCell ref="C386:F386"/>
    <mergeCell ref="H370:K370"/>
    <mergeCell ref="C371:F371"/>
    <mergeCell ref="H371:K371"/>
    <mergeCell ref="C372:F372"/>
    <mergeCell ref="H372:K372"/>
    <mergeCell ref="H373:K373"/>
    <mergeCell ref="B354:F354"/>
    <mergeCell ref="D355:F355"/>
    <mergeCell ref="D356:F356"/>
    <mergeCell ref="D367:F367"/>
    <mergeCell ref="D368:F368"/>
    <mergeCell ref="D370:F370"/>
    <mergeCell ref="H324:J324"/>
    <mergeCell ref="D327:F327"/>
    <mergeCell ref="D331:F331"/>
    <mergeCell ref="D332:F332"/>
    <mergeCell ref="D343:F343"/>
    <mergeCell ref="D344:F344"/>
    <mergeCell ref="M315:N315"/>
    <mergeCell ref="D317:F317"/>
    <mergeCell ref="D318:F318"/>
    <mergeCell ref="D320:F320"/>
    <mergeCell ref="H320:J320"/>
    <mergeCell ref="D321:F321"/>
    <mergeCell ref="H321:J321"/>
    <mergeCell ref="D305:F305"/>
    <mergeCell ref="D306:F306"/>
    <mergeCell ref="C310:F310"/>
    <mergeCell ref="B311:F311"/>
    <mergeCell ref="B312:F312"/>
    <mergeCell ref="D314:F314"/>
    <mergeCell ref="D283:F283"/>
    <mergeCell ref="D284:F284"/>
    <mergeCell ref="H286:K286"/>
    <mergeCell ref="D287:F287"/>
    <mergeCell ref="D294:F294"/>
    <mergeCell ref="D295:F295"/>
    <mergeCell ref="D262:F262"/>
    <mergeCell ref="D263:F263"/>
    <mergeCell ref="C269:F269"/>
    <mergeCell ref="H270:J270"/>
    <mergeCell ref="D274:F274"/>
    <mergeCell ref="D275:F275"/>
    <mergeCell ref="K244:L244"/>
    <mergeCell ref="D248:F248"/>
    <mergeCell ref="D249:F249"/>
    <mergeCell ref="D250:F250"/>
    <mergeCell ref="K251:L251"/>
    <mergeCell ref="D256:F256"/>
    <mergeCell ref="D239:F239"/>
    <mergeCell ref="H240:J240"/>
    <mergeCell ref="K241:L241"/>
    <mergeCell ref="D242:F242"/>
    <mergeCell ref="K242:L242"/>
    <mergeCell ref="D243:F243"/>
    <mergeCell ref="H243:J243"/>
    <mergeCell ref="D224:F224"/>
    <mergeCell ref="H224:K224"/>
    <mergeCell ref="D227:F227"/>
    <mergeCell ref="D228:F228"/>
    <mergeCell ref="D235:F235"/>
    <mergeCell ref="D236:F236"/>
    <mergeCell ref="D205:F205"/>
    <mergeCell ref="H205:J205"/>
    <mergeCell ref="D210:F210"/>
    <mergeCell ref="D215:F215"/>
    <mergeCell ref="D216:F216"/>
    <mergeCell ref="H223:L223"/>
    <mergeCell ref="B200:F200"/>
    <mergeCell ref="H200:J200"/>
    <mergeCell ref="B201:F201"/>
    <mergeCell ref="H201:J201"/>
    <mergeCell ref="H202:J202"/>
    <mergeCell ref="D204:F204"/>
    <mergeCell ref="H204:J204"/>
    <mergeCell ref="D196:F196"/>
    <mergeCell ref="H196:J196"/>
    <mergeCell ref="D197:F197"/>
    <mergeCell ref="H197:J197"/>
    <mergeCell ref="H198:J198"/>
    <mergeCell ref="D199:F199"/>
    <mergeCell ref="H199:J199"/>
    <mergeCell ref="D192:F192"/>
    <mergeCell ref="H192:J192"/>
    <mergeCell ref="D193:F193"/>
    <mergeCell ref="H193:J193"/>
    <mergeCell ref="H194:J194"/>
    <mergeCell ref="H195:J195"/>
    <mergeCell ref="D189:F189"/>
    <mergeCell ref="H189:J189"/>
    <mergeCell ref="D190:F190"/>
    <mergeCell ref="H190:J190"/>
    <mergeCell ref="D191:F191"/>
    <mergeCell ref="H191:J191"/>
    <mergeCell ref="H185:J185"/>
    <mergeCell ref="D186:F186"/>
    <mergeCell ref="H186:J186"/>
    <mergeCell ref="D187:F187"/>
    <mergeCell ref="H187:J187"/>
    <mergeCell ref="D188:F188"/>
    <mergeCell ref="H188:J188"/>
    <mergeCell ref="H177:K177"/>
    <mergeCell ref="C179:F179"/>
    <mergeCell ref="H179:J179"/>
    <mergeCell ref="D182:F182"/>
    <mergeCell ref="D183:F183"/>
    <mergeCell ref="H184:J184"/>
    <mergeCell ref="C172:F172"/>
    <mergeCell ref="D174:F174"/>
    <mergeCell ref="H174:J174"/>
    <mergeCell ref="D175:F175"/>
    <mergeCell ref="H175:J175"/>
    <mergeCell ref="C176:F176"/>
    <mergeCell ref="D162:F162"/>
    <mergeCell ref="H162:J162"/>
    <mergeCell ref="B166:F166"/>
    <mergeCell ref="H167:K167"/>
    <mergeCell ref="D170:F170"/>
    <mergeCell ref="D171:F171"/>
    <mergeCell ref="B153:F153"/>
    <mergeCell ref="C157:F157"/>
    <mergeCell ref="H157:J157"/>
    <mergeCell ref="C158:F158"/>
    <mergeCell ref="H158:J158"/>
    <mergeCell ref="B160:F160"/>
    <mergeCell ref="H160:K160"/>
    <mergeCell ref="D132:F132"/>
    <mergeCell ref="H132:J132"/>
    <mergeCell ref="D143:F143"/>
    <mergeCell ref="H143:J143"/>
    <mergeCell ref="D144:F144"/>
    <mergeCell ref="H144:J144"/>
    <mergeCell ref="D120:F120"/>
    <mergeCell ref="H120:J120"/>
    <mergeCell ref="B122:F122"/>
    <mergeCell ref="H122:J122"/>
    <mergeCell ref="D131:F131"/>
    <mergeCell ref="H131:J131"/>
    <mergeCell ref="N114:Q114"/>
    <mergeCell ref="N115:Q115"/>
    <mergeCell ref="B116:F116"/>
    <mergeCell ref="H116:L116"/>
    <mergeCell ref="D119:F119"/>
    <mergeCell ref="H119:J119"/>
    <mergeCell ref="D107:F107"/>
    <mergeCell ref="N109:Q109"/>
    <mergeCell ref="B110:F110"/>
    <mergeCell ref="N111:Q111"/>
    <mergeCell ref="N112:Q112"/>
    <mergeCell ref="N113:Q113"/>
    <mergeCell ref="C46:F46"/>
    <mergeCell ref="D56:F56"/>
    <mergeCell ref="B62:C62"/>
    <mergeCell ref="D77:F77"/>
    <mergeCell ref="D87:F87"/>
    <mergeCell ref="D104:F104"/>
    <mergeCell ref="A1:C1"/>
    <mergeCell ref="D1:F1"/>
    <mergeCell ref="H1:J1"/>
    <mergeCell ref="H10:I10"/>
    <mergeCell ref="D21:E21"/>
    <mergeCell ref="D39:E39"/>
  </mergeCells>
  <pageMargins left="0.7" right="0.7" top="0.75" bottom="0.75" header="0.3" footer="0.3"/>
  <pageSetup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"/>
    </sheetView>
  </sheetViews>
  <sheetFormatPr defaultRowHeight="15" x14ac:dyDescent="0.25"/>
  <cols>
    <col min="1" max="1" width="17.28515625" customWidth="1"/>
    <col min="2" max="2" width="10.5703125" customWidth="1"/>
    <col min="4" max="4" width="12.42578125" customWidth="1"/>
    <col min="5" max="5" width="13" customWidth="1"/>
    <col min="6" max="6" width="12" customWidth="1"/>
    <col min="7" max="9" width="12.7109375" customWidth="1"/>
    <col min="10" max="10" width="12.42578125" customWidth="1"/>
  </cols>
  <sheetData>
    <row r="1" spans="1:17" s="1" customFormat="1" x14ac:dyDescent="0.25">
      <c r="A1" t="s">
        <v>539</v>
      </c>
      <c r="D1" s="187" t="s">
        <v>540</v>
      </c>
      <c r="G1" s="187" t="s">
        <v>541</v>
      </c>
    </row>
    <row r="3" spans="1:17" ht="15.75" thickBot="1" x14ac:dyDescent="0.3">
      <c r="A3" s="105" t="s">
        <v>270</v>
      </c>
      <c r="J3" s="87"/>
      <c r="K3" s="87"/>
      <c r="L3" s="87"/>
      <c r="M3" s="87"/>
      <c r="N3" s="87"/>
      <c r="O3" s="87"/>
    </row>
    <row r="4" spans="1:17" s="155" customFormat="1" ht="30.75" thickTop="1" x14ac:dyDescent="0.25">
      <c r="A4" s="338" t="s">
        <v>56</v>
      </c>
      <c r="B4" s="166" t="s">
        <v>0</v>
      </c>
      <c r="C4" s="166" t="s">
        <v>12</v>
      </c>
      <c r="D4" s="166" t="s">
        <v>241</v>
      </c>
      <c r="E4" s="166" t="s">
        <v>242</v>
      </c>
      <c r="F4" s="166" t="s">
        <v>243</v>
      </c>
      <c r="G4" s="166" t="s">
        <v>244</v>
      </c>
      <c r="H4" s="166" t="s">
        <v>245</v>
      </c>
      <c r="I4" s="166" t="s">
        <v>246</v>
      </c>
      <c r="J4" s="354" t="s">
        <v>8</v>
      </c>
      <c r="K4" s="354"/>
      <c r="L4" s="354"/>
      <c r="M4" s="354"/>
      <c r="N4" s="354"/>
      <c r="O4" s="354"/>
    </row>
    <row r="5" spans="1:17" ht="15.75" thickBot="1" x14ac:dyDescent="0.3">
      <c r="A5" s="339"/>
      <c r="B5" s="168"/>
      <c r="C5" s="168"/>
      <c r="D5" s="168" t="s">
        <v>41</v>
      </c>
      <c r="E5" s="168" t="s">
        <v>41</v>
      </c>
      <c r="F5" s="168" t="s">
        <v>36</v>
      </c>
      <c r="G5" s="168" t="s">
        <v>36</v>
      </c>
      <c r="H5" s="168" t="s">
        <v>36</v>
      </c>
      <c r="I5" s="168" t="s">
        <v>36</v>
      </c>
      <c r="J5" s="355"/>
      <c r="K5" s="355"/>
      <c r="L5" s="355"/>
      <c r="M5" s="355"/>
      <c r="N5" s="355"/>
      <c r="O5" s="355"/>
    </row>
    <row r="6" spans="1:17" ht="15.75" thickTop="1" x14ac:dyDescent="0.25">
      <c r="A6" s="340" t="s">
        <v>53</v>
      </c>
      <c r="B6" s="43">
        <v>42486</v>
      </c>
      <c r="C6" s="44">
        <v>0.52083333333333337</v>
      </c>
      <c r="D6" s="45">
        <v>0</v>
      </c>
      <c r="E6" s="45">
        <v>0</v>
      </c>
      <c r="F6" s="45"/>
      <c r="G6" s="45"/>
      <c r="H6" s="45"/>
      <c r="I6" s="45"/>
      <c r="J6" s="154" t="s">
        <v>239</v>
      </c>
    </row>
    <row r="7" spans="1:17" x14ac:dyDescent="0.25">
      <c r="A7" s="341"/>
      <c r="B7" s="43">
        <v>42486</v>
      </c>
      <c r="C7" s="44">
        <v>0.52430555555555558</v>
      </c>
      <c r="D7" s="45">
        <f>1.7*10^6</f>
        <v>1700000</v>
      </c>
      <c r="E7" s="45">
        <f>1*10^7</f>
        <v>10000000</v>
      </c>
      <c r="F7" s="45"/>
      <c r="G7" s="45"/>
      <c r="H7" s="45"/>
      <c r="I7" s="45"/>
      <c r="J7" s="46" t="s">
        <v>268</v>
      </c>
    </row>
    <row r="8" spans="1:17" x14ac:dyDescent="0.25">
      <c r="A8" s="341"/>
      <c r="B8" s="43">
        <v>42486</v>
      </c>
      <c r="C8" s="53">
        <v>0.64583333333333337</v>
      </c>
      <c r="D8" s="154"/>
      <c r="E8" s="54">
        <f>8.6*10^5</f>
        <v>860000</v>
      </c>
      <c r="F8" s="54"/>
      <c r="G8" s="54"/>
      <c r="H8" s="54"/>
      <c r="I8" s="54"/>
      <c r="J8" s="46"/>
    </row>
    <row r="9" spans="1:17" x14ac:dyDescent="0.25">
      <c r="A9" s="341"/>
      <c r="B9" s="43">
        <v>42486</v>
      </c>
      <c r="C9" s="44">
        <v>0.64930555555555558</v>
      </c>
      <c r="D9" s="45">
        <f>1.7*10^6</f>
        <v>1700000</v>
      </c>
      <c r="E9" s="154"/>
      <c r="F9" s="45"/>
      <c r="G9" s="45"/>
      <c r="H9" s="45"/>
      <c r="I9" s="45"/>
      <c r="J9" s="47"/>
    </row>
    <row r="10" spans="1:17" x14ac:dyDescent="0.25">
      <c r="A10" s="341"/>
      <c r="B10" s="52">
        <v>42487</v>
      </c>
      <c r="C10" s="53">
        <v>0.40277777777777773</v>
      </c>
      <c r="D10" s="54"/>
      <c r="E10" s="54">
        <f>3.7*10^5</f>
        <v>370000</v>
      </c>
      <c r="F10" s="54"/>
      <c r="G10" s="54"/>
      <c r="H10" s="54"/>
      <c r="I10" s="54"/>
      <c r="J10" s="55"/>
    </row>
    <row r="11" spans="1:17" x14ac:dyDescent="0.25">
      <c r="A11" s="342"/>
      <c r="B11" s="48">
        <v>42487</v>
      </c>
      <c r="C11" s="49">
        <v>0.40625</v>
      </c>
      <c r="D11" s="50">
        <f>1.2*10^6</f>
        <v>1200000</v>
      </c>
      <c r="E11" s="50"/>
      <c r="F11" s="50"/>
      <c r="G11" s="50"/>
      <c r="H11" s="50"/>
      <c r="I11" s="50"/>
      <c r="J11" s="51"/>
    </row>
    <row r="12" spans="1:17" x14ac:dyDescent="0.25">
      <c r="A12" s="343" t="s">
        <v>54</v>
      </c>
      <c r="B12" s="61">
        <v>42487</v>
      </c>
      <c r="C12" s="62">
        <v>0.64583333333333337</v>
      </c>
      <c r="D12" s="63"/>
      <c r="E12" s="63"/>
      <c r="F12" s="63"/>
      <c r="G12" s="63"/>
      <c r="H12" s="63"/>
      <c r="I12" s="63"/>
      <c r="J12" s="64" t="s">
        <v>301</v>
      </c>
      <c r="K12" s="111"/>
      <c r="L12" s="111"/>
      <c r="M12" s="111"/>
      <c r="N12" s="111"/>
      <c r="O12" s="111"/>
      <c r="P12" s="111"/>
      <c r="Q12" s="111"/>
    </row>
    <row r="13" spans="1:17" x14ac:dyDescent="0.25">
      <c r="A13" s="344"/>
      <c r="B13" s="61">
        <v>42487</v>
      </c>
      <c r="C13" s="62">
        <v>0.64583333333333337</v>
      </c>
      <c r="D13" s="65"/>
      <c r="E13" s="65"/>
      <c r="F13" s="63">
        <v>0</v>
      </c>
      <c r="G13" s="63">
        <v>0</v>
      </c>
      <c r="H13" s="63">
        <v>738</v>
      </c>
      <c r="I13" s="63">
        <v>404.5</v>
      </c>
      <c r="J13" s="65" t="s">
        <v>42</v>
      </c>
    </row>
    <row r="14" spans="1:17" x14ac:dyDescent="0.25">
      <c r="A14" s="344"/>
      <c r="B14" s="61">
        <v>42487</v>
      </c>
      <c r="C14" s="62">
        <v>0.64583333333333337</v>
      </c>
      <c r="D14" s="65"/>
      <c r="E14" s="65"/>
      <c r="F14" s="63">
        <v>0</v>
      </c>
      <c r="G14" s="63">
        <v>0</v>
      </c>
      <c r="H14" s="63">
        <v>657.5</v>
      </c>
      <c r="I14" s="63">
        <v>13.5</v>
      </c>
      <c r="J14" s="65" t="s">
        <v>43</v>
      </c>
    </row>
    <row r="15" spans="1:17" x14ac:dyDescent="0.25">
      <c r="A15" s="344"/>
      <c r="B15" s="61">
        <v>42487</v>
      </c>
      <c r="C15" s="62">
        <v>0.64583333333333337</v>
      </c>
      <c r="D15" s="65"/>
      <c r="E15" s="65"/>
      <c r="F15" s="63">
        <v>0</v>
      </c>
      <c r="G15" s="63">
        <v>0</v>
      </c>
      <c r="H15" s="63">
        <v>0</v>
      </c>
      <c r="I15" s="63">
        <v>0</v>
      </c>
      <c r="J15" s="65" t="s">
        <v>44</v>
      </c>
    </row>
    <row r="16" spans="1:17" x14ac:dyDescent="0.25">
      <c r="A16" s="344"/>
      <c r="B16" s="61">
        <v>42487</v>
      </c>
      <c r="C16" s="62">
        <v>0.64583333333333337</v>
      </c>
      <c r="D16" s="65"/>
      <c r="E16" s="65"/>
      <c r="F16" s="63">
        <v>0</v>
      </c>
      <c r="G16" s="63">
        <v>0</v>
      </c>
      <c r="H16" s="63">
        <v>738</v>
      </c>
      <c r="I16" s="63" t="s">
        <v>302</v>
      </c>
      <c r="J16" s="65" t="s">
        <v>45</v>
      </c>
    </row>
    <row r="17" spans="1:15" x14ac:dyDescent="0.25">
      <c r="A17" s="344"/>
      <c r="B17" s="61">
        <v>42487</v>
      </c>
      <c r="C17" s="62">
        <v>0.64583333333333337</v>
      </c>
      <c r="D17" s="65"/>
      <c r="E17" s="65"/>
      <c r="F17" s="63">
        <v>0</v>
      </c>
      <c r="G17" s="63">
        <v>0</v>
      </c>
      <c r="H17" s="63">
        <v>0</v>
      </c>
      <c r="I17" s="63">
        <v>0</v>
      </c>
      <c r="J17" s="65" t="s">
        <v>46</v>
      </c>
    </row>
    <row r="18" spans="1:15" x14ac:dyDescent="0.25">
      <c r="A18" s="344"/>
      <c r="B18" s="61">
        <v>42487</v>
      </c>
      <c r="C18" s="62">
        <v>0.64583333333333337</v>
      </c>
      <c r="D18" s="65"/>
      <c r="E18" s="65"/>
      <c r="F18" s="63">
        <v>0</v>
      </c>
      <c r="G18" s="63">
        <v>0</v>
      </c>
      <c r="H18" s="63">
        <v>37</v>
      </c>
      <c r="I18" s="63">
        <v>156</v>
      </c>
      <c r="J18" s="65" t="s">
        <v>47</v>
      </c>
    </row>
    <row r="19" spans="1:15" x14ac:dyDescent="0.25">
      <c r="A19" s="344"/>
      <c r="B19" s="61">
        <v>42487</v>
      </c>
      <c r="C19" s="62">
        <v>0.64583333333333337</v>
      </c>
      <c r="D19" s="65"/>
      <c r="E19" s="65"/>
      <c r="F19" s="63">
        <v>0</v>
      </c>
      <c r="G19" s="63"/>
      <c r="H19" s="156">
        <v>2800</v>
      </c>
      <c r="I19" s="63"/>
      <c r="J19" s="64" t="s">
        <v>240</v>
      </c>
      <c r="K19" s="356"/>
      <c r="L19" s="356"/>
      <c r="M19" s="356"/>
      <c r="N19" s="356"/>
      <c r="O19" s="356"/>
    </row>
    <row r="20" spans="1:15" x14ac:dyDescent="0.25">
      <c r="A20" s="345"/>
      <c r="B20" s="66">
        <v>42487</v>
      </c>
      <c r="C20" s="67">
        <v>0.64583333333333337</v>
      </c>
      <c r="D20" s="68"/>
      <c r="E20" s="68"/>
      <c r="F20" s="157">
        <f>8.8*10^1</f>
        <v>88</v>
      </c>
      <c r="G20" s="69"/>
      <c r="H20" s="157">
        <v>27500</v>
      </c>
      <c r="I20" s="69"/>
      <c r="J20" s="68" t="s">
        <v>48</v>
      </c>
      <c r="K20" s="356"/>
      <c r="L20" s="356"/>
      <c r="M20" s="356"/>
      <c r="N20" s="356"/>
      <c r="O20" s="356"/>
    </row>
    <row r="21" spans="1:15" ht="15" customHeight="1" x14ac:dyDescent="0.25">
      <c r="A21" s="353" t="s">
        <v>55</v>
      </c>
      <c r="B21" s="56">
        <v>42488</v>
      </c>
      <c r="C21" s="57">
        <v>0.37152777777777773</v>
      </c>
      <c r="D21" s="58"/>
      <c r="E21" s="58">
        <v>0</v>
      </c>
      <c r="F21" s="60"/>
      <c r="G21" s="60"/>
      <c r="H21" s="60"/>
      <c r="I21" s="60"/>
      <c r="J21" s="59" t="s">
        <v>57</v>
      </c>
    </row>
    <row r="22" spans="1:15" x14ac:dyDescent="0.25">
      <c r="A22" s="346"/>
      <c r="B22" s="56">
        <v>42488</v>
      </c>
      <c r="C22" s="57">
        <v>0.375</v>
      </c>
      <c r="D22" s="156">
        <v>2</v>
      </c>
      <c r="E22" s="58"/>
      <c r="F22" s="60"/>
      <c r="G22" s="60"/>
      <c r="H22" s="60"/>
      <c r="I22" s="60"/>
      <c r="J22" s="59" t="s">
        <v>272</v>
      </c>
    </row>
    <row r="24" spans="1:15" x14ac:dyDescent="0.25">
      <c r="D24" s="111"/>
      <c r="E24" s="111"/>
      <c r="F24" s="111"/>
    </row>
    <row r="25" spans="1:15" x14ac:dyDescent="0.25">
      <c r="A25" s="167"/>
      <c r="B25" s="94"/>
      <c r="D25" s="84"/>
      <c r="E25" s="178"/>
      <c r="F25" s="159"/>
      <c r="G25" s="94"/>
    </row>
    <row r="26" spans="1:15" x14ac:dyDescent="0.25">
      <c r="A26" s="95"/>
      <c r="B26" s="29"/>
      <c r="D26" s="84"/>
      <c r="E26" s="178"/>
      <c r="F26" s="159"/>
      <c r="G26" s="96"/>
      <c r="H26" s="94"/>
      <c r="I26" s="94"/>
      <c r="J26" s="94"/>
    </row>
    <row r="27" spans="1:15" x14ac:dyDescent="0.25">
      <c r="A27" s="95"/>
      <c r="B27" s="96"/>
      <c r="D27" s="84"/>
      <c r="E27" s="178"/>
      <c r="F27" s="159"/>
      <c r="G27" s="96"/>
      <c r="H27" s="98"/>
      <c r="I27" s="98"/>
      <c r="J27" s="96"/>
    </row>
    <row r="28" spans="1:15" x14ac:dyDescent="0.25">
      <c r="A28" s="95"/>
      <c r="B28" s="96"/>
      <c r="D28" s="84"/>
      <c r="E28" s="178"/>
      <c r="F28" s="159"/>
      <c r="G28" s="96"/>
      <c r="H28" s="98"/>
      <c r="I28" s="98"/>
      <c r="J28" s="96"/>
    </row>
    <row r="29" spans="1:15" x14ac:dyDescent="0.25">
      <c r="A29" s="95"/>
      <c r="B29" s="96"/>
      <c r="D29" s="84"/>
      <c r="E29" s="178"/>
      <c r="F29" s="178"/>
      <c r="G29" s="96"/>
      <c r="H29" s="98"/>
      <c r="I29" s="98"/>
      <c r="J29" s="98"/>
    </row>
    <row r="30" spans="1:15" x14ac:dyDescent="0.25">
      <c r="A30" s="95"/>
      <c r="B30" s="96"/>
      <c r="D30" s="84"/>
      <c r="E30" s="178"/>
      <c r="F30" s="178"/>
      <c r="G30" s="96"/>
      <c r="H30" s="98"/>
      <c r="I30" s="98"/>
      <c r="J30" s="98"/>
    </row>
    <row r="31" spans="1:15" x14ac:dyDescent="0.25">
      <c r="A31" s="95"/>
      <c r="B31" s="96"/>
      <c r="D31" s="84"/>
      <c r="E31" s="178"/>
      <c r="F31" s="159"/>
      <c r="G31" s="98"/>
      <c r="H31" s="98"/>
      <c r="I31" s="98"/>
      <c r="J31" s="98"/>
    </row>
    <row r="32" spans="1:15" x14ac:dyDescent="0.25">
      <c r="A32" s="95"/>
      <c r="B32" s="29"/>
      <c r="D32" s="84"/>
      <c r="E32" s="178"/>
      <c r="F32" s="159"/>
      <c r="G32" s="96"/>
      <c r="H32" s="98"/>
      <c r="I32" s="98"/>
      <c r="J32" s="98"/>
    </row>
    <row r="33" spans="1:10" x14ac:dyDescent="0.25">
      <c r="A33" s="95"/>
      <c r="B33" s="98"/>
      <c r="D33" s="84"/>
      <c r="E33" s="178"/>
      <c r="F33" s="178"/>
      <c r="G33" s="96"/>
      <c r="H33" s="98"/>
      <c r="I33" s="98"/>
      <c r="J33" s="98"/>
    </row>
    <row r="34" spans="1:10" x14ac:dyDescent="0.25">
      <c r="A34" s="95"/>
      <c r="B34" s="29"/>
      <c r="D34" s="84"/>
      <c r="E34" s="178"/>
      <c r="F34" s="178"/>
      <c r="G34" s="96"/>
      <c r="H34" s="98"/>
      <c r="I34" s="98"/>
      <c r="J34" s="98"/>
    </row>
    <row r="35" spans="1:10" x14ac:dyDescent="0.25">
      <c r="D35" s="84"/>
      <c r="E35" s="178"/>
      <c r="F35" s="159"/>
      <c r="G35" s="96"/>
      <c r="H35" s="98"/>
      <c r="I35" s="98"/>
      <c r="J35" s="96"/>
    </row>
    <row r="36" spans="1:10" x14ac:dyDescent="0.25">
      <c r="D36" s="84"/>
      <c r="E36" s="178"/>
      <c r="F36" s="159"/>
      <c r="G36" s="98"/>
      <c r="H36" s="98"/>
      <c r="I36" s="98"/>
      <c r="J36" s="96"/>
    </row>
    <row r="37" spans="1:10" x14ac:dyDescent="0.25">
      <c r="D37" s="84"/>
      <c r="E37" s="178"/>
      <c r="F37" s="159"/>
      <c r="G37" s="98"/>
      <c r="H37" s="98"/>
      <c r="I37" s="98"/>
      <c r="J37" s="98"/>
    </row>
    <row r="38" spans="1:10" x14ac:dyDescent="0.25">
      <c r="D38" s="84"/>
      <c r="E38" s="179"/>
      <c r="F38" s="159"/>
      <c r="G38" s="96"/>
      <c r="H38" s="98"/>
      <c r="I38" s="98"/>
      <c r="J38" s="98"/>
    </row>
    <row r="39" spans="1:10" x14ac:dyDescent="0.25">
      <c r="B39" s="118"/>
      <c r="C39" s="118"/>
      <c r="D39" s="180"/>
      <c r="E39" s="84"/>
      <c r="F39" s="179"/>
      <c r="G39" s="96"/>
      <c r="H39" s="98"/>
      <c r="I39" s="98"/>
      <c r="J39" s="29"/>
    </row>
    <row r="40" spans="1:10" x14ac:dyDescent="0.25">
      <c r="B40" s="118"/>
      <c r="C40" s="118"/>
      <c r="D40" s="180"/>
      <c r="E40" s="84"/>
      <c r="F40" s="84"/>
      <c r="G40" s="153"/>
      <c r="H40" s="153"/>
      <c r="I40" s="153"/>
      <c r="J40" s="29"/>
    </row>
    <row r="41" spans="1:10" x14ac:dyDescent="0.25">
      <c r="B41" s="118"/>
      <c r="C41" s="118"/>
      <c r="D41" s="180"/>
      <c r="E41" s="111"/>
      <c r="F41" s="111"/>
    </row>
    <row r="42" spans="1:10" x14ac:dyDescent="0.25">
      <c r="D42" s="111"/>
      <c r="E42" s="111"/>
      <c r="F42" s="111"/>
    </row>
  </sheetData>
  <mergeCells count="7">
    <mergeCell ref="A21:A22"/>
    <mergeCell ref="A4:A5"/>
    <mergeCell ref="J4:O4"/>
    <mergeCell ref="J5:O5"/>
    <mergeCell ref="A6:A11"/>
    <mergeCell ref="A12:A20"/>
    <mergeCell ref="K19:O20"/>
  </mergeCells>
  <pageMargins left="0.7" right="0.7" top="0.75" bottom="0.75" header="0.3" footer="0.3"/>
  <pageSetup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"/>
    </sheetView>
  </sheetViews>
  <sheetFormatPr defaultRowHeight="15" x14ac:dyDescent="0.25"/>
  <cols>
    <col min="1" max="1" width="17.28515625" customWidth="1"/>
    <col min="2" max="2" width="10.5703125" customWidth="1"/>
    <col min="4" max="4" width="12.42578125" customWidth="1"/>
    <col min="5" max="5" width="13" customWidth="1"/>
    <col min="6" max="6" width="12" customWidth="1"/>
    <col min="7" max="9" width="12.7109375" customWidth="1"/>
    <col min="10" max="10" width="12.42578125" customWidth="1"/>
  </cols>
  <sheetData>
    <row r="1" spans="1:17" s="1" customFormat="1" x14ac:dyDescent="0.25">
      <c r="A1" t="s">
        <v>539</v>
      </c>
      <c r="D1" s="187" t="s">
        <v>540</v>
      </c>
      <c r="G1" s="187" t="s">
        <v>541</v>
      </c>
    </row>
    <row r="3" spans="1:17" ht="15.75" thickBot="1" x14ac:dyDescent="0.3">
      <c r="A3" s="105" t="s">
        <v>270</v>
      </c>
      <c r="J3" s="87"/>
      <c r="K3" s="87"/>
      <c r="L3" s="87"/>
      <c r="M3" s="87"/>
      <c r="N3" s="87"/>
      <c r="O3" s="87"/>
    </row>
    <row r="4" spans="1:17" s="155" customFormat="1" ht="30.75" thickTop="1" x14ac:dyDescent="0.25">
      <c r="A4" s="338" t="s">
        <v>56</v>
      </c>
      <c r="B4" s="184" t="s">
        <v>0</v>
      </c>
      <c r="C4" s="184" t="s">
        <v>12</v>
      </c>
      <c r="D4" s="184" t="s">
        <v>241</v>
      </c>
      <c r="E4" s="184" t="s">
        <v>242</v>
      </c>
      <c r="F4" s="184" t="s">
        <v>243</v>
      </c>
      <c r="G4" s="184" t="s">
        <v>244</v>
      </c>
      <c r="H4" s="184" t="s">
        <v>245</v>
      </c>
      <c r="I4" s="184" t="s">
        <v>246</v>
      </c>
      <c r="J4" s="354" t="s">
        <v>8</v>
      </c>
      <c r="K4" s="354"/>
      <c r="L4" s="354"/>
      <c r="M4" s="354"/>
      <c r="N4" s="354"/>
      <c r="O4" s="354"/>
    </row>
    <row r="5" spans="1:17" ht="15.75" thickBot="1" x14ac:dyDescent="0.3">
      <c r="A5" s="339"/>
      <c r="B5" s="186"/>
      <c r="C5" s="186"/>
      <c r="D5" s="186" t="s">
        <v>41</v>
      </c>
      <c r="E5" s="186" t="s">
        <v>41</v>
      </c>
      <c r="F5" s="186" t="s">
        <v>36</v>
      </c>
      <c r="G5" s="186" t="s">
        <v>36</v>
      </c>
      <c r="H5" s="186" t="s">
        <v>36</v>
      </c>
      <c r="I5" s="186" t="s">
        <v>36</v>
      </c>
      <c r="J5" s="355"/>
      <c r="K5" s="355"/>
      <c r="L5" s="355"/>
      <c r="M5" s="355"/>
      <c r="N5" s="355"/>
      <c r="O5" s="355"/>
    </row>
    <row r="6" spans="1:17" ht="15.75" thickTop="1" x14ac:dyDescent="0.25">
      <c r="A6" s="340" t="s">
        <v>53</v>
      </c>
      <c r="B6" s="43">
        <v>42549</v>
      </c>
      <c r="C6" s="44">
        <v>0.49652777777777773</v>
      </c>
      <c r="D6" s="45">
        <v>0</v>
      </c>
      <c r="E6" s="45">
        <v>0</v>
      </c>
      <c r="F6" s="45"/>
      <c r="G6" s="45"/>
      <c r="H6" s="45"/>
      <c r="I6" s="45"/>
      <c r="J6" s="154" t="s">
        <v>239</v>
      </c>
    </row>
    <row r="7" spans="1:17" x14ac:dyDescent="0.25">
      <c r="A7" s="341"/>
      <c r="B7" s="43">
        <v>42549</v>
      </c>
      <c r="C7" s="44">
        <v>0.5</v>
      </c>
      <c r="D7" s="45">
        <f>9.6*10^5</f>
        <v>960000</v>
      </c>
      <c r="E7" s="45">
        <f>1.1*10^6</f>
        <v>1100000</v>
      </c>
      <c r="F7" s="45"/>
      <c r="G7" s="45"/>
      <c r="H7" s="45"/>
      <c r="I7" s="45"/>
      <c r="J7" s="46" t="s">
        <v>372</v>
      </c>
    </row>
    <row r="8" spans="1:17" x14ac:dyDescent="0.25">
      <c r="A8" s="341"/>
      <c r="B8" s="43">
        <v>42549</v>
      </c>
      <c r="C8" s="53">
        <v>0.63888888888888895</v>
      </c>
      <c r="D8" s="154"/>
      <c r="E8" s="54">
        <f>5.2*10^5</f>
        <v>520000</v>
      </c>
      <c r="F8" s="54"/>
      <c r="G8" s="54"/>
      <c r="H8" s="54"/>
      <c r="I8" s="54"/>
      <c r="J8" s="46"/>
    </row>
    <row r="9" spans="1:17" x14ac:dyDescent="0.25">
      <c r="A9" s="341"/>
      <c r="B9" s="43">
        <v>42549</v>
      </c>
      <c r="C9" s="44">
        <v>0.64236111111111105</v>
      </c>
      <c r="D9" s="45">
        <f>1.3*10^6</f>
        <v>1300000</v>
      </c>
      <c r="E9" s="154"/>
      <c r="F9" s="45"/>
      <c r="G9" s="45"/>
      <c r="H9" s="45"/>
      <c r="I9" s="45"/>
      <c r="J9" s="47"/>
    </row>
    <row r="10" spans="1:17" x14ac:dyDescent="0.25">
      <c r="A10" s="341"/>
      <c r="B10" s="52">
        <v>42550</v>
      </c>
      <c r="C10" s="53">
        <v>0.41666666666666669</v>
      </c>
      <c r="D10" s="54"/>
      <c r="E10" s="54">
        <f>6.2*10^5</f>
        <v>620000</v>
      </c>
      <c r="F10" s="54"/>
      <c r="G10" s="54"/>
      <c r="H10" s="54"/>
      <c r="I10" s="54"/>
      <c r="J10" s="55"/>
    </row>
    <row r="11" spans="1:17" x14ac:dyDescent="0.25">
      <c r="A11" s="342"/>
      <c r="B11" s="48">
        <v>42550</v>
      </c>
      <c r="C11" s="49">
        <v>0.4201388888888889</v>
      </c>
      <c r="D11" s="50">
        <f>9.9*10^5</f>
        <v>990000</v>
      </c>
      <c r="E11" s="50"/>
      <c r="F11" s="50"/>
      <c r="G11" s="50"/>
      <c r="H11" s="50"/>
      <c r="I11" s="50"/>
      <c r="J11" s="51"/>
    </row>
    <row r="12" spans="1:17" x14ac:dyDescent="0.25">
      <c r="A12" s="343" t="s">
        <v>54</v>
      </c>
      <c r="B12" s="61">
        <v>42550</v>
      </c>
      <c r="C12" s="62">
        <v>0.64583333333333337</v>
      </c>
      <c r="D12" s="63"/>
      <c r="E12" s="63"/>
      <c r="F12" s="63"/>
      <c r="G12" s="63"/>
      <c r="H12" s="63"/>
      <c r="I12" s="63"/>
      <c r="J12" s="64" t="s">
        <v>469</v>
      </c>
      <c r="K12" s="111"/>
      <c r="L12" s="111"/>
      <c r="M12" s="111"/>
      <c r="N12" s="111"/>
      <c r="O12" s="111"/>
      <c r="P12" s="111"/>
      <c r="Q12" s="111"/>
    </row>
    <row r="13" spans="1:17" x14ac:dyDescent="0.25">
      <c r="A13" s="344"/>
      <c r="B13" s="61">
        <v>42550</v>
      </c>
      <c r="C13" s="62">
        <v>0.64583333333333337</v>
      </c>
      <c r="D13" s="65"/>
      <c r="E13" s="65"/>
      <c r="F13" s="63">
        <v>0</v>
      </c>
      <c r="G13" s="63">
        <v>0</v>
      </c>
      <c r="H13" s="63">
        <f>2.4*10^2</f>
        <v>240</v>
      </c>
      <c r="I13" s="63">
        <v>0</v>
      </c>
      <c r="J13" s="65" t="s">
        <v>42</v>
      </c>
    </row>
    <row r="14" spans="1:17" x14ac:dyDescent="0.25">
      <c r="A14" s="344"/>
      <c r="B14" s="61">
        <v>42550</v>
      </c>
      <c r="C14" s="62">
        <v>0.64583333333333337</v>
      </c>
      <c r="D14" s="65"/>
      <c r="E14" s="65"/>
      <c r="F14" s="63">
        <v>0</v>
      </c>
      <c r="G14" s="63">
        <v>0</v>
      </c>
      <c r="H14" s="63">
        <v>0</v>
      </c>
      <c r="I14" s="63">
        <v>0</v>
      </c>
      <c r="J14" s="65" t="s">
        <v>43</v>
      </c>
    </row>
    <row r="15" spans="1:17" x14ac:dyDescent="0.25">
      <c r="A15" s="344"/>
      <c r="B15" s="61">
        <v>42550</v>
      </c>
      <c r="C15" s="62">
        <v>0.64583333333333337</v>
      </c>
      <c r="D15" s="65"/>
      <c r="E15" s="65"/>
      <c r="F15" s="63">
        <v>0</v>
      </c>
      <c r="G15" s="63">
        <v>0</v>
      </c>
      <c r="H15" s="63">
        <v>0</v>
      </c>
      <c r="I15" s="63">
        <v>0</v>
      </c>
      <c r="J15" s="65" t="s">
        <v>44</v>
      </c>
    </row>
    <row r="16" spans="1:17" x14ac:dyDescent="0.25">
      <c r="A16" s="344"/>
      <c r="B16" s="61">
        <v>42550</v>
      </c>
      <c r="C16" s="62">
        <v>0.64583333333333337</v>
      </c>
      <c r="D16" s="65"/>
      <c r="E16" s="65"/>
      <c r="F16" s="63">
        <v>0</v>
      </c>
      <c r="G16" s="63">
        <v>0</v>
      </c>
      <c r="H16" s="63">
        <f>4.3*10^1</f>
        <v>43</v>
      </c>
      <c r="I16" s="63">
        <v>0</v>
      </c>
      <c r="J16" s="65" t="s">
        <v>45</v>
      </c>
    </row>
    <row r="17" spans="1:15" x14ac:dyDescent="0.25">
      <c r="A17" s="344"/>
      <c r="B17" s="61">
        <v>42550</v>
      </c>
      <c r="C17" s="62">
        <v>0.64583333333333337</v>
      </c>
      <c r="D17" s="65"/>
      <c r="E17" s="65"/>
      <c r="F17" s="63">
        <v>0</v>
      </c>
      <c r="G17" s="63">
        <v>0</v>
      </c>
      <c r="H17" s="63">
        <v>0</v>
      </c>
      <c r="I17" s="63">
        <v>0</v>
      </c>
      <c r="J17" s="65" t="s">
        <v>46</v>
      </c>
    </row>
    <row r="18" spans="1:15" x14ac:dyDescent="0.25">
      <c r="A18" s="344"/>
      <c r="B18" s="61">
        <v>42550</v>
      </c>
      <c r="C18" s="62">
        <v>0.64583333333333337</v>
      </c>
      <c r="D18" s="65"/>
      <c r="E18" s="65"/>
      <c r="F18" s="63">
        <v>0</v>
      </c>
      <c r="G18" s="63">
        <v>0</v>
      </c>
      <c r="H18" s="63">
        <v>0</v>
      </c>
      <c r="I18" s="63">
        <v>0</v>
      </c>
      <c r="J18" s="65" t="s">
        <v>47</v>
      </c>
    </row>
    <row r="19" spans="1:15" x14ac:dyDescent="0.25">
      <c r="A19" s="344"/>
      <c r="B19" s="61">
        <v>42550</v>
      </c>
      <c r="C19" s="62">
        <v>0.64583333333333337</v>
      </c>
      <c r="D19" s="65"/>
      <c r="E19" s="65"/>
      <c r="F19" s="63">
        <v>0</v>
      </c>
      <c r="G19" s="63">
        <v>0</v>
      </c>
      <c r="H19" s="63" t="s">
        <v>373</v>
      </c>
      <c r="I19" s="63"/>
      <c r="J19" s="64" t="s">
        <v>240</v>
      </c>
      <c r="K19" s="356"/>
      <c r="L19" s="356"/>
      <c r="M19" s="356"/>
      <c r="N19" s="356"/>
      <c r="O19" s="356"/>
    </row>
    <row r="20" spans="1:15" x14ac:dyDescent="0.25">
      <c r="A20" s="345"/>
      <c r="B20" s="66">
        <v>42550</v>
      </c>
      <c r="C20" s="67">
        <v>0.64583333333333337</v>
      </c>
      <c r="D20" s="68"/>
      <c r="E20" s="68"/>
      <c r="F20" s="69">
        <v>0</v>
      </c>
      <c r="G20" s="69">
        <v>0</v>
      </c>
      <c r="H20" s="69">
        <f>1.1*10^3</f>
        <v>1100</v>
      </c>
      <c r="I20" s="69"/>
      <c r="J20" s="68" t="s">
        <v>48</v>
      </c>
      <c r="K20" s="356"/>
      <c r="L20" s="356"/>
      <c r="M20" s="356"/>
      <c r="N20" s="356"/>
      <c r="O20" s="356"/>
    </row>
    <row r="21" spans="1:15" ht="15" customHeight="1" x14ac:dyDescent="0.25">
      <c r="A21" s="353" t="s">
        <v>55</v>
      </c>
      <c r="B21" s="56">
        <v>42551</v>
      </c>
      <c r="C21" s="57">
        <v>0.37152777777777773</v>
      </c>
      <c r="D21" s="58"/>
      <c r="E21" s="58">
        <v>0</v>
      </c>
      <c r="F21" s="60"/>
      <c r="G21" s="60"/>
      <c r="H21" s="60"/>
      <c r="I21" s="60"/>
      <c r="J21" s="59" t="s">
        <v>57</v>
      </c>
    </row>
    <row r="22" spans="1:15" x14ac:dyDescent="0.25">
      <c r="A22" s="346"/>
      <c r="B22" s="56">
        <v>42551</v>
      </c>
      <c r="C22" s="57">
        <v>0.375</v>
      </c>
      <c r="D22" s="58">
        <v>0</v>
      </c>
      <c r="E22" s="58"/>
      <c r="F22" s="60"/>
      <c r="G22" s="60"/>
      <c r="H22" s="60"/>
      <c r="I22" s="60"/>
      <c r="J22" s="59" t="s">
        <v>272</v>
      </c>
    </row>
    <row r="24" spans="1:15" x14ac:dyDescent="0.25">
      <c r="D24" s="111"/>
      <c r="E24" s="111"/>
      <c r="F24" s="111"/>
    </row>
    <row r="25" spans="1:15" x14ac:dyDescent="0.25">
      <c r="A25" s="185"/>
      <c r="B25" s="94"/>
      <c r="D25" s="84"/>
      <c r="E25" s="178"/>
      <c r="F25" s="159"/>
      <c r="G25" s="94"/>
    </row>
    <row r="26" spans="1:15" x14ac:dyDescent="0.25">
      <c r="A26" s="95"/>
      <c r="B26" s="29"/>
      <c r="D26" s="84"/>
      <c r="E26" s="178"/>
      <c r="F26" s="159"/>
      <c r="G26" s="96"/>
      <c r="H26" s="94"/>
      <c r="I26" s="94"/>
      <c r="J26" s="94"/>
    </row>
    <row r="27" spans="1:15" x14ac:dyDescent="0.25">
      <c r="A27" s="95"/>
      <c r="B27" s="96"/>
      <c r="D27" s="84"/>
      <c r="E27" s="178"/>
      <c r="F27" s="159"/>
      <c r="G27" s="96"/>
      <c r="H27" s="98"/>
      <c r="I27" s="98"/>
      <c r="J27" s="96"/>
    </row>
    <row r="28" spans="1:15" x14ac:dyDescent="0.25">
      <c r="A28" s="95"/>
      <c r="B28" s="96"/>
      <c r="D28" s="84"/>
      <c r="E28" s="178"/>
      <c r="F28" s="159"/>
      <c r="G28" s="96"/>
      <c r="H28" s="98"/>
      <c r="I28" s="98"/>
      <c r="J28" s="96"/>
    </row>
    <row r="29" spans="1:15" x14ac:dyDescent="0.25">
      <c r="A29" s="95"/>
      <c r="B29" s="96"/>
      <c r="D29" s="84"/>
      <c r="E29" s="178"/>
      <c r="F29" s="178"/>
      <c r="G29" s="96"/>
      <c r="H29" s="98"/>
      <c r="I29" s="98"/>
      <c r="J29" s="98"/>
    </row>
    <row r="30" spans="1:15" x14ac:dyDescent="0.25">
      <c r="A30" s="95"/>
      <c r="B30" s="96"/>
      <c r="D30" s="84"/>
      <c r="E30" s="178"/>
      <c r="F30" s="178"/>
      <c r="G30" s="96"/>
      <c r="H30" s="98"/>
      <c r="I30" s="98"/>
      <c r="J30" s="98"/>
    </row>
    <row r="31" spans="1:15" x14ac:dyDescent="0.25">
      <c r="A31" s="95"/>
      <c r="B31" s="96"/>
      <c r="D31" s="84"/>
      <c r="E31" s="178"/>
      <c r="F31" s="159"/>
      <c r="G31" s="98"/>
      <c r="H31" s="98"/>
      <c r="I31" s="98"/>
      <c r="J31" s="98"/>
    </row>
    <row r="32" spans="1:15" x14ac:dyDescent="0.25">
      <c r="A32" s="95"/>
      <c r="B32" s="29"/>
      <c r="D32" s="84"/>
      <c r="E32" s="178"/>
      <c r="F32" s="159"/>
      <c r="G32" s="96"/>
      <c r="H32" s="98"/>
      <c r="I32" s="98"/>
      <c r="J32" s="98"/>
    </row>
    <row r="33" spans="1:10" x14ac:dyDescent="0.25">
      <c r="A33" s="95"/>
      <c r="B33" s="98"/>
      <c r="D33" s="84"/>
      <c r="E33" s="178"/>
      <c r="F33" s="178"/>
      <c r="G33" s="96"/>
      <c r="H33" s="98"/>
      <c r="I33" s="98"/>
      <c r="J33" s="98"/>
    </row>
    <row r="34" spans="1:10" x14ac:dyDescent="0.25">
      <c r="A34" s="95"/>
      <c r="B34" s="29"/>
      <c r="D34" s="84"/>
      <c r="E34" s="178"/>
      <c r="F34" s="178"/>
      <c r="G34" s="96"/>
      <c r="H34" s="98"/>
      <c r="I34" s="98"/>
      <c r="J34" s="98"/>
    </row>
    <row r="35" spans="1:10" x14ac:dyDescent="0.25">
      <c r="D35" s="84"/>
      <c r="E35" s="178"/>
      <c r="F35" s="159"/>
      <c r="G35" s="96"/>
      <c r="H35" s="98"/>
      <c r="I35" s="98"/>
      <c r="J35" s="96"/>
    </row>
    <row r="36" spans="1:10" x14ac:dyDescent="0.25">
      <c r="D36" s="84"/>
      <c r="E36" s="178"/>
      <c r="F36" s="159"/>
      <c r="G36" s="98"/>
      <c r="H36" s="98"/>
      <c r="I36" s="98"/>
      <c r="J36" s="96"/>
    </row>
    <row r="37" spans="1:10" x14ac:dyDescent="0.25">
      <c r="D37" s="84"/>
      <c r="E37" s="178"/>
      <c r="F37" s="159"/>
      <c r="G37" s="98"/>
      <c r="H37" s="98"/>
      <c r="I37" s="98"/>
      <c r="J37" s="98"/>
    </row>
    <row r="38" spans="1:10" x14ac:dyDescent="0.25">
      <c r="D38" s="84"/>
      <c r="E38" s="179"/>
      <c r="F38" s="159"/>
      <c r="G38" s="96"/>
      <c r="H38" s="98"/>
      <c r="I38" s="98"/>
      <c r="J38" s="98"/>
    </row>
    <row r="39" spans="1:10" x14ac:dyDescent="0.25">
      <c r="B39" s="118"/>
      <c r="C39" s="118"/>
      <c r="D39" s="180"/>
      <c r="E39" s="84"/>
      <c r="F39" s="179"/>
      <c r="G39" s="96"/>
      <c r="H39" s="98"/>
      <c r="I39" s="98"/>
      <c r="J39" s="29"/>
    </row>
    <row r="40" spans="1:10" x14ac:dyDescent="0.25">
      <c r="B40" s="118"/>
      <c r="C40" s="118"/>
      <c r="D40" s="180"/>
      <c r="E40" s="84"/>
      <c r="F40" s="84"/>
      <c r="G40" s="153"/>
      <c r="H40" s="153"/>
      <c r="I40" s="153"/>
      <c r="J40" s="29"/>
    </row>
    <row r="41" spans="1:10" x14ac:dyDescent="0.25">
      <c r="B41" s="118"/>
      <c r="C41" s="118"/>
      <c r="D41" s="180"/>
      <c r="E41" s="111"/>
      <c r="F41" s="111"/>
    </row>
    <row r="42" spans="1:10" x14ac:dyDescent="0.25">
      <c r="D42" s="111"/>
      <c r="E42" s="111"/>
      <c r="F42" s="111"/>
    </row>
  </sheetData>
  <mergeCells count="7">
    <mergeCell ref="A21:A22"/>
    <mergeCell ref="A4:A5"/>
    <mergeCell ref="J4:O4"/>
    <mergeCell ref="J5:O5"/>
    <mergeCell ref="A6:A11"/>
    <mergeCell ref="A12:A20"/>
    <mergeCell ref="K19:O20"/>
  </mergeCells>
  <pageMargins left="0.7" right="0.7" top="0.75" bottom="0.75" header="0.3" footer="0.3"/>
  <pageSetup orientation="portrait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L10" sqref="L10"/>
    </sheetView>
  </sheetViews>
  <sheetFormatPr defaultRowHeight="15" x14ac:dyDescent="0.25"/>
  <cols>
    <col min="2" max="2" width="9.7109375" bestFit="1" customWidth="1"/>
  </cols>
  <sheetData>
    <row r="1" spans="1:15" s="1" customFormat="1" x14ac:dyDescent="0.25">
      <c r="A1" t="s">
        <v>539</v>
      </c>
      <c r="D1" s="187" t="s">
        <v>540</v>
      </c>
      <c r="G1" s="187" t="s">
        <v>541</v>
      </c>
    </row>
    <row r="3" spans="1:15" ht="15.75" thickBot="1" x14ac:dyDescent="0.3">
      <c r="A3" s="105" t="s">
        <v>270</v>
      </c>
      <c r="J3" s="87"/>
      <c r="K3" s="87"/>
      <c r="L3" s="87"/>
      <c r="M3" s="87"/>
      <c r="N3" s="87"/>
      <c r="O3" s="87"/>
    </row>
    <row r="4" spans="1:15" ht="45.75" thickTop="1" x14ac:dyDescent="0.25">
      <c r="A4" s="338" t="s">
        <v>56</v>
      </c>
      <c r="B4" s="190" t="s">
        <v>0</v>
      </c>
      <c r="C4" s="190" t="s">
        <v>12</v>
      </c>
      <c r="D4" s="190" t="s">
        <v>241</v>
      </c>
      <c r="E4" s="190" t="s">
        <v>242</v>
      </c>
      <c r="F4" s="190" t="s">
        <v>243</v>
      </c>
      <c r="G4" s="190" t="s">
        <v>244</v>
      </c>
      <c r="H4" s="190" t="s">
        <v>245</v>
      </c>
      <c r="I4" s="190" t="s">
        <v>246</v>
      </c>
      <c r="J4" s="354" t="s">
        <v>8</v>
      </c>
      <c r="K4" s="354"/>
      <c r="L4" s="354"/>
      <c r="M4" s="354"/>
      <c r="N4" s="354"/>
      <c r="O4" s="354"/>
    </row>
    <row r="5" spans="1:15" ht="15.75" thickBot="1" x14ac:dyDescent="0.3">
      <c r="A5" s="339"/>
      <c r="B5" s="192"/>
      <c r="C5" s="192"/>
      <c r="D5" s="192" t="s">
        <v>41</v>
      </c>
      <c r="E5" s="192" t="s">
        <v>41</v>
      </c>
      <c r="F5" s="192" t="s">
        <v>36</v>
      </c>
      <c r="G5" s="192" t="s">
        <v>36</v>
      </c>
      <c r="H5" s="192" t="s">
        <v>36</v>
      </c>
      <c r="I5" s="192" t="s">
        <v>36</v>
      </c>
      <c r="J5" s="355"/>
      <c r="K5" s="355"/>
      <c r="L5" s="355"/>
      <c r="M5" s="355"/>
      <c r="N5" s="355"/>
      <c r="O5" s="355"/>
    </row>
    <row r="6" spans="1:15" ht="15.75" thickTop="1" x14ac:dyDescent="0.25">
      <c r="A6" s="340" t="s">
        <v>53</v>
      </c>
      <c r="B6" s="43">
        <v>42612</v>
      </c>
      <c r="C6" s="44">
        <v>0.37152777777777773</v>
      </c>
      <c r="D6" s="45">
        <v>0</v>
      </c>
      <c r="E6" s="45">
        <v>0</v>
      </c>
      <c r="F6" s="45"/>
      <c r="G6" s="45"/>
      <c r="H6" s="45"/>
      <c r="I6" s="45"/>
      <c r="J6" s="154" t="s">
        <v>239</v>
      </c>
    </row>
    <row r="7" spans="1:15" x14ac:dyDescent="0.25">
      <c r="A7" s="341"/>
      <c r="B7" s="43">
        <v>42612</v>
      </c>
      <c r="C7" s="44"/>
      <c r="D7" s="45"/>
      <c r="E7" s="45"/>
      <c r="F7" s="45"/>
      <c r="G7" s="45"/>
      <c r="H7" s="45"/>
      <c r="I7" s="45"/>
      <c r="J7" s="46" t="s">
        <v>372</v>
      </c>
    </row>
    <row r="8" spans="1:15" x14ac:dyDescent="0.25">
      <c r="A8" s="341"/>
      <c r="B8" s="43">
        <v>42612</v>
      </c>
      <c r="C8" s="53">
        <v>0.375</v>
      </c>
      <c r="D8" s="154"/>
      <c r="E8" s="54">
        <f>1.2*10^5</f>
        <v>120000</v>
      </c>
      <c r="F8" s="54"/>
      <c r="G8" s="54"/>
      <c r="H8" s="54"/>
      <c r="I8" s="54"/>
      <c r="J8" s="46"/>
    </row>
    <row r="9" spans="1:15" x14ac:dyDescent="0.25">
      <c r="A9" s="341"/>
      <c r="B9" s="43">
        <v>42612</v>
      </c>
      <c r="C9" s="44">
        <v>0.37847222222222227</v>
      </c>
      <c r="D9" s="45">
        <f>2.2*10^5</f>
        <v>220000.00000000003</v>
      </c>
      <c r="E9" s="154"/>
      <c r="F9" s="45"/>
      <c r="G9" s="45"/>
      <c r="H9" s="45"/>
      <c r="I9" s="45"/>
      <c r="J9" s="47"/>
    </row>
    <row r="10" spans="1:15" x14ac:dyDescent="0.25">
      <c r="A10" s="341"/>
      <c r="B10" s="52">
        <v>42612</v>
      </c>
      <c r="C10" s="53">
        <v>0.60416666666666663</v>
      </c>
      <c r="D10" s="54"/>
      <c r="E10" s="54">
        <f>4.8*10^4</f>
        <v>48000</v>
      </c>
      <c r="F10" s="54"/>
      <c r="G10" s="54"/>
      <c r="H10" s="54"/>
      <c r="I10" s="54"/>
      <c r="J10" s="55"/>
    </row>
    <row r="11" spans="1:15" x14ac:dyDescent="0.25">
      <c r="A11" s="342"/>
      <c r="B11" s="48">
        <v>42612</v>
      </c>
      <c r="C11" s="49">
        <v>0.60763888888888895</v>
      </c>
      <c r="D11" s="50">
        <f>5.9*10^5</f>
        <v>590000</v>
      </c>
      <c r="E11" s="50"/>
      <c r="F11" s="50"/>
      <c r="G11" s="50"/>
      <c r="H11" s="50"/>
      <c r="I11" s="50"/>
      <c r="J11" s="51"/>
    </row>
    <row r="12" spans="1:15" x14ac:dyDescent="0.25">
      <c r="A12" s="343" t="s">
        <v>54</v>
      </c>
      <c r="B12" s="61">
        <v>42613</v>
      </c>
      <c r="C12" s="62">
        <v>0.64583333333333337</v>
      </c>
      <c r="D12" s="63"/>
      <c r="E12" s="63"/>
      <c r="F12" s="63"/>
      <c r="G12" s="63"/>
      <c r="H12" s="63"/>
      <c r="I12" s="63"/>
      <c r="J12" s="64" t="s">
        <v>470</v>
      </c>
      <c r="K12" s="111"/>
      <c r="L12" s="111"/>
      <c r="M12" s="111"/>
      <c r="N12" s="111"/>
      <c r="O12" s="111"/>
    </row>
    <row r="13" spans="1:15" x14ac:dyDescent="0.25">
      <c r="A13" s="344"/>
      <c r="B13" s="61">
        <v>42613</v>
      </c>
      <c r="C13" s="62">
        <v>0.64583333333333337</v>
      </c>
      <c r="D13" s="65"/>
      <c r="E13" s="65"/>
      <c r="F13" s="63">
        <v>0</v>
      </c>
      <c r="G13" s="63">
        <v>0</v>
      </c>
      <c r="H13" s="63">
        <f>2*10^0</f>
        <v>2</v>
      </c>
      <c r="I13" s="63">
        <v>0</v>
      </c>
      <c r="J13" s="65" t="s">
        <v>42</v>
      </c>
    </row>
    <row r="14" spans="1:15" x14ac:dyDescent="0.25">
      <c r="A14" s="344"/>
      <c r="B14" s="61">
        <v>42613</v>
      </c>
      <c r="C14" s="62">
        <v>0.64583333333333337</v>
      </c>
      <c r="D14" s="65"/>
      <c r="E14" s="65"/>
      <c r="F14" s="63">
        <v>0</v>
      </c>
      <c r="G14" s="63">
        <v>0</v>
      </c>
      <c r="H14" s="63">
        <f>1.4*10^1</f>
        <v>14</v>
      </c>
      <c r="I14" s="63">
        <v>8</v>
      </c>
      <c r="J14" s="65" t="s">
        <v>43</v>
      </c>
    </row>
    <row r="15" spans="1:15" x14ac:dyDescent="0.25">
      <c r="A15" s="344"/>
      <c r="B15" s="61">
        <v>42613</v>
      </c>
      <c r="C15" s="62">
        <v>0.64583333333333337</v>
      </c>
      <c r="D15" s="65"/>
      <c r="E15" s="65"/>
      <c r="F15" s="63">
        <v>0</v>
      </c>
      <c r="G15" s="63">
        <v>0</v>
      </c>
      <c r="H15" s="63">
        <v>38</v>
      </c>
      <c r="I15" s="63">
        <v>13</v>
      </c>
      <c r="J15" s="65" t="s">
        <v>44</v>
      </c>
    </row>
    <row r="16" spans="1:15" x14ac:dyDescent="0.25">
      <c r="A16" s="344"/>
      <c r="B16" s="61">
        <v>42613</v>
      </c>
      <c r="C16" s="62">
        <v>0.64583333333333337</v>
      </c>
      <c r="D16" s="65"/>
      <c r="E16" s="65"/>
      <c r="F16" s="63">
        <v>0</v>
      </c>
      <c r="G16" s="63">
        <v>0</v>
      </c>
      <c r="H16" s="63">
        <v>2</v>
      </c>
      <c r="I16" s="63">
        <v>0</v>
      </c>
      <c r="J16" s="65" t="s">
        <v>45</v>
      </c>
    </row>
    <row r="17" spans="1:15" x14ac:dyDescent="0.25">
      <c r="A17" s="344"/>
      <c r="B17" s="61">
        <v>42613</v>
      </c>
      <c r="C17" s="62">
        <v>0.64583333333333337</v>
      </c>
      <c r="D17" s="65"/>
      <c r="E17" s="65"/>
      <c r="F17" s="63">
        <v>0</v>
      </c>
      <c r="G17" s="63">
        <v>0</v>
      </c>
      <c r="H17" s="63">
        <f>4.1*10^1</f>
        <v>41</v>
      </c>
      <c r="I17" s="63">
        <f>3</f>
        <v>3</v>
      </c>
      <c r="J17" s="65" t="s">
        <v>46</v>
      </c>
    </row>
    <row r="18" spans="1:15" x14ac:dyDescent="0.25">
      <c r="A18" s="344"/>
      <c r="B18" s="61">
        <v>42613</v>
      </c>
      <c r="C18" s="62">
        <v>0.64583333333333337</v>
      </c>
      <c r="D18" s="65"/>
      <c r="E18" s="65"/>
      <c r="F18" s="63">
        <v>0</v>
      </c>
      <c r="G18" s="63">
        <v>0</v>
      </c>
      <c r="H18" s="63">
        <v>0</v>
      </c>
      <c r="I18" s="63">
        <v>0</v>
      </c>
      <c r="J18" s="65" t="s">
        <v>47</v>
      </c>
    </row>
    <row r="19" spans="1:15" x14ac:dyDescent="0.25">
      <c r="A19" s="344"/>
      <c r="B19" s="61">
        <v>42613</v>
      </c>
      <c r="C19" s="62">
        <v>0.64583333333333337</v>
      </c>
      <c r="D19" s="65"/>
      <c r="E19" s="65"/>
      <c r="F19" s="63">
        <v>0</v>
      </c>
      <c r="G19" s="63">
        <v>0</v>
      </c>
      <c r="H19" s="63">
        <f>3*10^2</f>
        <v>300</v>
      </c>
      <c r="I19" s="63"/>
      <c r="J19" s="64" t="s">
        <v>240</v>
      </c>
      <c r="K19" s="356"/>
      <c r="L19" s="356"/>
      <c r="M19" s="356"/>
      <c r="N19" s="356"/>
      <c r="O19" s="356"/>
    </row>
    <row r="20" spans="1:15" x14ac:dyDescent="0.25">
      <c r="A20" s="345"/>
      <c r="B20" s="66">
        <v>42613</v>
      </c>
      <c r="C20" s="67">
        <v>0.64583333333333337</v>
      </c>
      <c r="D20" s="68"/>
      <c r="E20" s="68"/>
      <c r="F20" s="69">
        <v>0</v>
      </c>
      <c r="G20" s="69">
        <v>0</v>
      </c>
      <c r="H20" s="69">
        <f>3.4*10^3</f>
        <v>3400</v>
      </c>
      <c r="I20" s="69"/>
      <c r="J20" s="68" t="s">
        <v>48</v>
      </c>
      <c r="K20" s="356"/>
      <c r="L20" s="356"/>
      <c r="M20" s="356"/>
      <c r="N20" s="356"/>
      <c r="O20" s="356"/>
    </row>
    <row r="21" spans="1:15" x14ac:dyDescent="0.25">
      <c r="A21" s="353" t="s">
        <v>55</v>
      </c>
      <c r="B21" s="56">
        <v>42614</v>
      </c>
      <c r="C21" s="57">
        <v>0.37152777777777773</v>
      </c>
      <c r="D21" s="58"/>
      <c r="E21" s="58">
        <v>0</v>
      </c>
      <c r="F21" s="60"/>
      <c r="G21" s="60"/>
      <c r="H21" s="60"/>
      <c r="I21" s="60"/>
      <c r="J21" s="59" t="s">
        <v>57</v>
      </c>
    </row>
    <row r="22" spans="1:15" x14ac:dyDescent="0.25">
      <c r="A22" s="346"/>
      <c r="B22" s="56">
        <v>42614</v>
      </c>
      <c r="C22" s="57">
        <v>0.375</v>
      </c>
      <c r="D22" s="58">
        <v>0</v>
      </c>
      <c r="E22" s="58"/>
      <c r="F22" s="60"/>
      <c r="G22" s="60"/>
      <c r="H22" s="60"/>
      <c r="I22" s="60"/>
      <c r="J22" s="59" t="s">
        <v>272</v>
      </c>
    </row>
    <row r="24" spans="1:15" x14ac:dyDescent="0.25">
      <c r="G24" s="191"/>
      <c r="H24" s="94"/>
      <c r="I24" s="94"/>
    </row>
    <row r="25" spans="1:15" x14ac:dyDescent="0.25">
      <c r="G25" s="1"/>
      <c r="H25" s="153"/>
      <c r="I25" s="153"/>
    </row>
    <row r="26" spans="1:15" x14ac:dyDescent="0.25">
      <c r="G26" s="1"/>
      <c r="H26" s="153"/>
      <c r="I26" s="96"/>
    </row>
    <row r="27" spans="1:15" x14ac:dyDescent="0.25">
      <c r="G27" s="1"/>
      <c r="H27" s="153"/>
      <c r="I27" s="96"/>
    </row>
    <row r="28" spans="1:15" x14ac:dyDescent="0.25">
      <c r="G28" s="1"/>
      <c r="H28" s="153"/>
      <c r="I28" s="96"/>
    </row>
    <row r="29" spans="1:15" x14ac:dyDescent="0.25">
      <c r="G29" s="1"/>
      <c r="H29" s="153"/>
      <c r="I29" s="96"/>
    </row>
    <row r="30" spans="1:15" x14ac:dyDescent="0.25">
      <c r="G30" s="1"/>
      <c r="H30" s="153"/>
      <c r="I30" s="96"/>
    </row>
    <row r="31" spans="1:15" x14ac:dyDescent="0.25">
      <c r="G31" s="1"/>
      <c r="H31" s="153"/>
      <c r="I31" s="98"/>
    </row>
    <row r="32" spans="1:15" x14ac:dyDescent="0.25">
      <c r="G32" s="1"/>
      <c r="H32" s="153"/>
      <c r="I32" s="96"/>
    </row>
    <row r="33" spans="7:9" x14ac:dyDescent="0.25">
      <c r="G33" s="1"/>
      <c r="H33" s="153"/>
      <c r="I33" s="201"/>
    </row>
    <row r="34" spans="7:9" x14ac:dyDescent="0.25">
      <c r="G34" s="1"/>
      <c r="H34" s="153"/>
      <c r="I34" s="96"/>
    </row>
    <row r="35" spans="7:9" x14ac:dyDescent="0.25">
      <c r="G35" s="1"/>
      <c r="H35" s="153"/>
      <c r="I35" s="98"/>
    </row>
    <row r="36" spans="7:9" x14ac:dyDescent="0.25">
      <c r="G36" s="1"/>
      <c r="H36" s="153"/>
      <c r="I36" s="1"/>
    </row>
    <row r="37" spans="7:9" x14ac:dyDescent="0.25">
      <c r="G37" s="1"/>
      <c r="H37" s="153"/>
      <c r="I37" s="96"/>
    </row>
    <row r="38" spans="7:9" x14ac:dyDescent="0.25">
      <c r="G38" s="1"/>
      <c r="H38" s="153"/>
      <c r="I38" s="96"/>
    </row>
  </sheetData>
  <mergeCells count="7">
    <mergeCell ref="A21:A22"/>
    <mergeCell ref="A4:A5"/>
    <mergeCell ref="J4:O4"/>
    <mergeCell ref="J5:O5"/>
    <mergeCell ref="A6:A11"/>
    <mergeCell ref="A12:A20"/>
    <mergeCell ref="K19:O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pane ySplit="3" topLeftCell="A4" activePane="bottomLeft" state="frozen"/>
      <selection pane="bottomLeft" activeCell="F2" sqref="F2:G2"/>
    </sheetView>
  </sheetViews>
  <sheetFormatPr defaultRowHeight="15" x14ac:dyDescent="0.25"/>
  <cols>
    <col min="1" max="1" width="20.85546875" style="1" customWidth="1"/>
    <col min="2" max="4" width="10.140625" style="1" bestFit="1" customWidth="1"/>
    <col min="5" max="16384" width="9.140625" style="1"/>
  </cols>
  <sheetData>
    <row r="1" spans="1:14" ht="15.75" thickBot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4.25" customHeight="1" thickTop="1" x14ac:dyDescent="0.35">
      <c r="A2" s="3" t="s">
        <v>0</v>
      </c>
      <c r="B2" s="334" t="s">
        <v>528</v>
      </c>
      <c r="C2" s="335"/>
      <c r="D2" s="334" t="s">
        <v>529</v>
      </c>
      <c r="E2" s="335"/>
      <c r="F2" s="357" t="s">
        <v>530</v>
      </c>
      <c r="G2" s="358"/>
      <c r="H2" s="336" t="s">
        <v>4</v>
      </c>
      <c r="I2" s="335"/>
      <c r="J2" s="336" t="s">
        <v>5</v>
      </c>
      <c r="K2" s="335"/>
      <c r="L2" s="332" t="s">
        <v>8</v>
      </c>
      <c r="M2" s="333"/>
      <c r="N2" s="333"/>
    </row>
    <row r="3" spans="1:14" ht="15.75" thickBot="1" x14ac:dyDescent="0.3">
      <c r="A3" s="19"/>
      <c r="B3" s="18" t="s">
        <v>1</v>
      </c>
      <c r="C3" s="19" t="s">
        <v>2</v>
      </c>
      <c r="D3" s="18" t="s">
        <v>1</v>
      </c>
      <c r="E3" s="19" t="s">
        <v>2</v>
      </c>
      <c r="F3" s="20" t="s">
        <v>1</v>
      </c>
      <c r="G3" s="19" t="s">
        <v>2</v>
      </c>
      <c r="H3" s="20" t="s">
        <v>1</v>
      </c>
      <c r="I3" s="19" t="s">
        <v>2</v>
      </c>
      <c r="J3" s="20" t="s">
        <v>1</v>
      </c>
      <c r="K3" s="19" t="s">
        <v>2</v>
      </c>
      <c r="L3" s="18"/>
      <c r="M3" s="18"/>
      <c r="N3" s="18"/>
    </row>
    <row r="4" spans="1:14" ht="15.75" thickTop="1" x14ac:dyDescent="0.25">
      <c r="A4" s="4">
        <v>42220</v>
      </c>
      <c r="B4" s="8" t="s">
        <v>3</v>
      </c>
      <c r="C4" s="3" t="s">
        <v>3</v>
      </c>
      <c r="D4" s="8">
        <v>3.83</v>
      </c>
      <c r="E4" s="3">
        <v>3.86</v>
      </c>
      <c r="F4" s="5">
        <v>0</v>
      </c>
      <c r="G4" s="25">
        <f>(589+3175)/2</f>
        <v>1882</v>
      </c>
      <c r="H4" s="9">
        <f>(8.28+8.29)/2</f>
        <v>8.2850000000000001</v>
      </c>
      <c r="I4" s="6">
        <f>(8.14+8.14)/2</f>
        <v>8.14</v>
      </c>
      <c r="J4" s="9">
        <f>(2.33+2.48)/2</f>
        <v>2.4050000000000002</v>
      </c>
      <c r="K4" s="3">
        <v>0.57999999999999996</v>
      </c>
      <c r="L4" s="2" t="s">
        <v>6</v>
      </c>
    </row>
    <row r="5" spans="1:14" x14ac:dyDescent="0.25">
      <c r="A5" s="4">
        <v>42227</v>
      </c>
      <c r="B5" s="8" t="s">
        <v>3</v>
      </c>
      <c r="C5" s="3" t="s">
        <v>3</v>
      </c>
      <c r="D5" s="8">
        <v>3.64</v>
      </c>
      <c r="E5" s="6">
        <v>3.9</v>
      </c>
      <c r="F5" s="5">
        <f>(0+2)/2</f>
        <v>1</v>
      </c>
      <c r="G5" s="7">
        <v>10000</v>
      </c>
      <c r="H5" s="9">
        <f>(8.15+8.16)/2</f>
        <v>8.1550000000000011</v>
      </c>
      <c r="I5" s="6">
        <f>(8.03+8.04)/2</f>
        <v>8.0350000000000001</v>
      </c>
      <c r="J5" s="5">
        <v>3.31</v>
      </c>
      <c r="K5" s="3">
        <v>0.66</v>
      </c>
    </row>
    <row r="6" spans="1:14" x14ac:dyDescent="0.25">
      <c r="A6" s="4">
        <v>42234</v>
      </c>
      <c r="B6" s="8" t="s">
        <v>3</v>
      </c>
      <c r="C6" s="3" t="s">
        <v>3</v>
      </c>
      <c r="D6" s="8">
        <v>3.61</v>
      </c>
      <c r="E6" s="3">
        <v>3.71</v>
      </c>
      <c r="F6" s="5">
        <f>(0+2)/2</f>
        <v>1</v>
      </c>
      <c r="G6" s="25">
        <f>(7.4*10^3+7.7*10^3)/2</f>
        <v>7550</v>
      </c>
      <c r="H6" s="9">
        <f>(8.16+8.16)/2</f>
        <v>8.16</v>
      </c>
      <c r="I6" s="6">
        <f>(8+8)/2</f>
        <v>8</v>
      </c>
      <c r="J6" s="5">
        <f>(2.12+2.02)/2</f>
        <v>2.0700000000000003</v>
      </c>
      <c r="K6" s="3">
        <v>1.08</v>
      </c>
      <c r="L6" s="8"/>
      <c r="M6" s="8"/>
      <c r="N6" s="8"/>
    </row>
    <row r="7" spans="1:14" x14ac:dyDescent="0.25">
      <c r="A7" s="10">
        <v>42241</v>
      </c>
      <c r="B7" s="11" t="s">
        <v>3</v>
      </c>
      <c r="C7" s="12" t="s">
        <v>3</v>
      </c>
      <c r="D7" s="11">
        <v>3.37</v>
      </c>
      <c r="E7" s="12">
        <v>3.63</v>
      </c>
      <c r="F7" s="13">
        <f>(6+10)/2</f>
        <v>8</v>
      </c>
      <c r="G7" s="14">
        <f>(507+738)/2</f>
        <v>622.5</v>
      </c>
      <c r="H7" s="15">
        <f>(8.15+8.18)/2</f>
        <v>8.1649999999999991</v>
      </c>
      <c r="I7" s="16">
        <f>(8+8.02)/2</f>
        <v>8.01</v>
      </c>
      <c r="J7" s="13">
        <f>(2.74+2.64)/2</f>
        <v>2.6900000000000004</v>
      </c>
      <c r="K7" s="12">
        <v>1.31</v>
      </c>
      <c r="L7" s="17" t="s">
        <v>7</v>
      </c>
      <c r="M7" s="11"/>
      <c r="N7" s="11"/>
    </row>
    <row r="8" spans="1:14" x14ac:dyDescent="0.25">
      <c r="A8" s="4">
        <v>42248</v>
      </c>
      <c r="B8" s="8" t="s">
        <v>3</v>
      </c>
      <c r="C8" s="3" t="s">
        <v>3</v>
      </c>
      <c r="D8" s="8">
        <v>3.28</v>
      </c>
      <c r="E8" s="3">
        <v>3.26</v>
      </c>
      <c r="F8" s="5">
        <v>2</v>
      </c>
      <c r="G8" s="3">
        <v>7400</v>
      </c>
      <c r="H8" s="9">
        <f>(8.32+8.31)/2</f>
        <v>8.3150000000000013</v>
      </c>
      <c r="I8" s="6">
        <f>(8.19+8.17)/2</f>
        <v>8.18</v>
      </c>
      <c r="J8" s="9">
        <f>(2.29+2.34)/2</f>
        <v>2.3149999999999999</v>
      </c>
      <c r="K8" s="3">
        <v>0.75</v>
      </c>
    </row>
    <row r="9" spans="1:14" x14ac:dyDescent="0.25">
      <c r="A9" s="4">
        <v>42255</v>
      </c>
      <c r="B9" s="26" t="s">
        <v>3</v>
      </c>
      <c r="C9" s="27" t="s">
        <v>3</v>
      </c>
      <c r="D9" s="31">
        <v>2.8216000000000001</v>
      </c>
      <c r="E9" s="31">
        <v>2.8843000000000001</v>
      </c>
      <c r="F9" s="5">
        <v>25</v>
      </c>
      <c r="G9" s="3">
        <f>(5350+9000)/2</f>
        <v>7175</v>
      </c>
      <c r="H9" s="9">
        <f>(8.1+8.11)/2</f>
        <v>8.1050000000000004</v>
      </c>
      <c r="I9" s="6">
        <f>(8.08+8.1)/2</f>
        <v>8.09</v>
      </c>
      <c r="J9" s="9">
        <f>(3.09+3.34)/2</f>
        <v>3.2149999999999999</v>
      </c>
      <c r="K9" s="6">
        <f>(2.87+2.72)/2</f>
        <v>2.7949999999999999</v>
      </c>
    </row>
    <row r="10" spans="1:14" x14ac:dyDescent="0.25">
      <c r="A10" s="4">
        <v>42262</v>
      </c>
      <c r="B10" s="31">
        <v>0.37080000000000002</v>
      </c>
      <c r="C10" s="6">
        <v>0.35449999999999998</v>
      </c>
      <c r="D10" s="36">
        <v>2.8687</v>
      </c>
      <c r="E10" s="36">
        <v>3.0606</v>
      </c>
      <c r="F10" s="32">
        <f>(124+151)/2</f>
        <v>137.5</v>
      </c>
      <c r="G10" s="3">
        <f>(1.1*10^5+1.3*10^5)/2</f>
        <v>120000</v>
      </c>
      <c r="H10" s="9">
        <f>(8.15+8.18)/2</f>
        <v>8.1649999999999991</v>
      </c>
      <c r="I10" s="6">
        <f>(8.05+8.09)/2</f>
        <v>8.07</v>
      </c>
      <c r="J10" s="9">
        <f>(2.36+2.45)/2</f>
        <v>2.4050000000000002</v>
      </c>
      <c r="K10" s="3">
        <v>1.0900000000000001</v>
      </c>
    </row>
    <row r="11" spans="1:14" x14ac:dyDescent="0.25">
      <c r="A11" s="4">
        <v>42269</v>
      </c>
      <c r="B11" s="78">
        <v>0.44590000000000002</v>
      </c>
      <c r="C11" s="79">
        <v>0</v>
      </c>
      <c r="D11" s="78">
        <v>2.8972000000000002</v>
      </c>
      <c r="E11" s="78">
        <v>3.3079000000000001</v>
      </c>
      <c r="F11" s="35">
        <f>3.6*10^3</f>
        <v>3600</v>
      </c>
      <c r="G11" s="34">
        <f>1.3*10^5</f>
        <v>130000</v>
      </c>
      <c r="H11" s="9">
        <f>(8.13+8.05)/2</f>
        <v>8.09</v>
      </c>
      <c r="I11" s="6">
        <f>(8.04+8.03)/2</f>
        <v>8.0350000000000001</v>
      </c>
      <c r="J11" s="35">
        <v>1.1499999999999999</v>
      </c>
      <c r="K11" s="34">
        <v>0.97</v>
      </c>
      <c r="L11" s="33"/>
      <c r="M11" s="33"/>
      <c r="N11" s="33"/>
    </row>
    <row r="12" spans="1:14" x14ac:dyDescent="0.25">
      <c r="A12" s="10">
        <v>42276</v>
      </c>
      <c r="B12" s="80">
        <v>0.59319999999999995</v>
      </c>
      <c r="C12" s="81">
        <v>0</v>
      </c>
      <c r="D12" s="80">
        <v>2.8795000000000002</v>
      </c>
      <c r="E12" s="80">
        <v>3.2229999999999999</v>
      </c>
      <c r="F12" s="13">
        <f>(513+520)/2</f>
        <v>516.5</v>
      </c>
      <c r="G12" s="12">
        <v>200000</v>
      </c>
      <c r="H12" s="15"/>
      <c r="I12" s="16"/>
      <c r="J12" s="13"/>
      <c r="K12" s="12"/>
      <c r="L12" s="17" t="s">
        <v>37</v>
      </c>
      <c r="M12" s="11"/>
      <c r="N12" s="11"/>
    </row>
    <row r="13" spans="1:14" x14ac:dyDescent="0.25">
      <c r="A13" s="4">
        <v>42283</v>
      </c>
      <c r="B13" s="78"/>
      <c r="C13" s="79"/>
      <c r="D13" s="82"/>
      <c r="E13" s="82"/>
      <c r="F13" s="5"/>
      <c r="G13" s="3"/>
      <c r="J13" s="5"/>
      <c r="K13" s="3"/>
    </row>
    <row r="14" spans="1:14" x14ac:dyDescent="0.25">
      <c r="A14" s="37">
        <v>42283.361111111109</v>
      </c>
      <c r="B14" s="78">
        <v>0</v>
      </c>
      <c r="C14" s="79">
        <v>0</v>
      </c>
      <c r="D14" s="82">
        <v>2.8138000000000001</v>
      </c>
      <c r="E14" s="82">
        <v>2.8344</v>
      </c>
      <c r="F14" s="5"/>
      <c r="G14" s="3"/>
      <c r="H14" s="6">
        <f>(8.09+8.1)/2</f>
        <v>8.0949999999999989</v>
      </c>
      <c r="I14" s="6">
        <f>(8.09+8.11)/2</f>
        <v>8.1</v>
      </c>
      <c r="J14" s="5">
        <v>0.83</v>
      </c>
      <c r="K14" s="6">
        <v>1.1000000000000001</v>
      </c>
      <c r="L14" s="2" t="s">
        <v>38</v>
      </c>
    </row>
    <row r="15" spans="1:14" x14ac:dyDescent="0.25">
      <c r="A15" s="37">
        <v>0.44097222222222227</v>
      </c>
      <c r="B15" s="78"/>
      <c r="C15" s="79"/>
      <c r="D15" s="82"/>
      <c r="E15" s="82"/>
      <c r="F15" s="5"/>
      <c r="G15" s="3"/>
      <c r="H15" s="9"/>
      <c r="I15" s="6"/>
      <c r="J15" s="5">
        <v>1.45</v>
      </c>
      <c r="K15" s="3">
        <v>1.66</v>
      </c>
    </row>
    <row r="16" spans="1:14" x14ac:dyDescent="0.25">
      <c r="A16" s="37">
        <v>0.66666666666666663</v>
      </c>
      <c r="B16" s="78">
        <v>0</v>
      </c>
      <c r="C16" s="79">
        <v>0</v>
      </c>
      <c r="D16" s="82">
        <v>2.8454999999999999</v>
      </c>
      <c r="E16" s="82">
        <v>2.9022000000000001</v>
      </c>
      <c r="F16" s="5"/>
      <c r="G16" s="3"/>
      <c r="H16" s="9">
        <f>(8.25+8.23)/2</f>
        <v>8.24</v>
      </c>
      <c r="I16" s="6">
        <f>(8.18+8.16)/2</f>
        <v>8.17</v>
      </c>
      <c r="J16" s="5">
        <v>1.1499999999999999</v>
      </c>
      <c r="K16" s="3">
        <v>1.08</v>
      </c>
    </row>
    <row r="17" spans="1:15" x14ac:dyDescent="0.25">
      <c r="A17" s="4">
        <v>42284</v>
      </c>
      <c r="B17" s="78"/>
      <c r="C17" s="79"/>
      <c r="D17" s="82"/>
      <c r="E17" s="82"/>
      <c r="F17" s="5"/>
      <c r="G17" s="3"/>
      <c r="H17" s="9"/>
      <c r="I17" s="6"/>
      <c r="J17" s="5"/>
      <c r="K17" s="3"/>
    </row>
    <row r="18" spans="1:15" x14ac:dyDescent="0.25">
      <c r="A18" s="37">
        <v>0.3611111111111111</v>
      </c>
      <c r="B18" s="78">
        <v>0</v>
      </c>
      <c r="C18" s="79">
        <v>0</v>
      </c>
      <c r="D18" s="82">
        <v>2.903</v>
      </c>
      <c r="E18" s="82">
        <v>2.8887999999999998</v>
      </c>
      <c r="F18" s="5"/>
      <c r="G18" s="3"/>
      <c r="H18" s="9">
        <f>(8.29+8.3)/2</f>
        <v>8.2949999999999999</v>
      </c>
      <c r="I18" s="6">
        <f>(8.26+8.25)/2</f>
        <v>8.254999999999999</v>
      </c>
      <c r="J18" s="5"/>
      <c r="K18" s="3"/>
    </row>
    <row r="19" spans="1:15" x14ac:dyDescent="0.25">
      <c r="A19" s="39">
        <v>0.66666666666666663</v>
      </c>
      <c r="B19" s="82">
        <v>0</v>
      </c>
      <c r="C19" s="82">
        <v>0</v>
      </c>
      <c r="D19" s="82">
        <v>2.9140999999999999</v>
      </c>
      <c r="E19" s="82">
        <v>2.9137</v>
      </c>
      <c r="H19" s="38">
        <f>(8.21+8.24)/2</f>
        <v>8.2250000000000014</v>
      </c>
      <c r="I19" s="38">
        <f>(8.1+8.15)/2</f>
        <v>8.125</v>
      </c>
      <c r="J19" s="38">
        <f>(0.51+0.49)/2</f>
        <v>0.5</v>
      </c>
      <c r="K19" s="1">
        <f>(0.54+0.56)/2</f>
        <v>0.55000000000000004</v>
      </c>
    </row>
    <row r="20" spans="1:15" x14ac:dyDescent="0.25">
      <c r="A20" s="75">
        <v>42285</v>
      </c>
      <c r="B20" s="80"/>
      <c r="C20" s="80"/>
      <c r="D20" s="80"/>
      <c r="E20" s="80"/>
      <c r="F20" s="11"/>
      <c r="G20" s="11"/>
      <c r="H20" s="11"/>
      <c r="I20" s="11"/>
      <c r="J20" s="11">
        <f>(0.33+0.35)/2</f>
        <v>0.33999999999999997</v>
      </c>
      <c r="K20" s="11">
        <f>(0.38+0.32)/2</f>
        <v>0.35</v>
      </c>
      <c r="L20" s="76" t="s">
        <v>59</v>
      </c>
      <c r="M20" s="11"/>
      <c r="N20" s="11"/>
    </row>
    <row r="21" spans="1:15" x14ac:dyDescent="0.25">
      <c r="A21" s="28">
        <v>42290</v>
      </c>
      <c r="B21" s="82">
        <v>0</v>
      </c>
      <c r="C21" s="82">
        <v>0</v>
      </c>
      <c r="D21" s="82">
        <v>2.5609999999999999</v>
      </c>
      <c r="E21" s="82">
        <v>2.5114999999999998</v>
      </c>
      <c r="F21" s="1">
        <v>0</v>
      </c>
      <c r="G21" s="1">
        <f>2*10^3</f>
        <v>2000</v>
      </c>
      <c r="H21" s="38">
        <f>(8.37+8.22)/2</f>
        <v>8.2949999999999999</v>
      </c>
      <c r="I21" s="1">
        <f>(8.22+8.24)/2</f>
        <v>8.23</v>
      </c>
    </row>
    <row r="22" spans="1:15" x14ac:dyDescent="0.25">
      <c r="A22" s="28">
        <v>42297</v>
      </c>
      <c r="B22" s="82">
        <v>0.39929999999999999</v>
      </c>
      <c r="C22" s="82">
        <v>0.31230000000000002</v>
      </c>
      <c r="D22" s="82">
        <v>2.5032999999999999</v>
      </c>
      <c r="E22" s="82">
        <v>2.4847000000000001</v>
      </c>
      <c r="H22" s="38"/>
    </row>
    <row r="23" spans="1:15" x14ac:dyDescent="0.25">
      <c r="A23" s="28">
        <v>42304</v>
      </c>
      <c r="B23" s="82">
        <v>0.29089999999999999</v>
      </c>
      <c r="C23" s="82">
        <v>0</v>
      </c>
      <c r="D23" s="82">
        <v>2.5789</v>
      </c>
      <c r="E23" s="82">
        <v>2.9176000000000002</v>
      </c>
      <c r="F23" s="1">
        <v>10</v>
      </c>
      <c r="G23" s="1">
        <f>1.4*10^5</f>
        <v>140000</v>
      </c>
      <c r="H23" s="38">
        <f>(8.13+8.16)/2</f>
        <v>8.1449999999999996</v>
      </c>
      <c r="I23" s="1">
        <f>(7.83+7.85)/2</f>
        <v>7.84</v>
      </c>
      <c r="J23" s="1">
        <f>(3.14+2.34)/2</f>
        <v>2.74</v>
      </c>
      <c r="K23" s="1">
        <v>0.96</v>
      </c>
    </row>
    <row r="24" spans="1:15" x14ac:dyDescent="0.25">
      <c r="A24" s="77" t="s">
        <v>96</v>
      </c>
      <c r="B24" s="83" t="s">
        <v>97</v>
      </c>
      <c r="C24" s="83"/>
      <c r="D24" s="83"/>
      <c r="E24" s="83"/>
      <c r="F24" s="77"/>
      <c r="G24" s="77"/>
      <c r="H24" s="77"/>
      <c r="I24" s="77"/>
      <c r="J24" s="77"/>
      <c r="K24" s="77"/>
      <c r="L24" s="77"/>
      <c r="M24" s="77"/>
      <c r="N24" s="77"/>
    </row>
    <row r="25" spans="1:15" x14ac:dyDescent="0.25">
      <c r="A25" s="86">
        <v>42311</v>
      </c>
      <c r="B25" s="85">
        <v>0</v>
      </c>
      <c r="C25" s="85">
        <v>0.88280000000000003</v>
      </c>
      <c r="D25" s="85">
        <v>3.1503999999999999</v>
      </c>
      <c r="E25" s="85">
        <v>2.8067000000000002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x14ac:dyDescent="0.25">
      <c r="A26" s="86">
        <v>42318</v>
      </c>
      <c r="B26" s="85">
        <v>0</v>
      </c>
      <c r="C26" s="85">
        <v>0</v>
      </c>
      <c r="D26" s="85">
        <v>3.1735000000000002</v>
      </c>
      <c r="E26" s="85">
        <v>3.1438999999999999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x14ac:dyDescent="0.25">
      <c r="A27" s="86">
        <v>42325</v>
      </c>
      <c r="B27" s="85">
        <v>0</v>
      </c>
      <c r="C27" s="85">
        <v>0</v>
      </c>
      <c r="D27" s="85">
        <v>3.2010000000000001</v>
      </c>
      <c r="E27" s="85">
        <v>2.9626000000000001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15" x14ac:dyDescent="0.25">
      <c r="A28" s="28">
        <v>42347</v>
      </c>
      <c r="B28" s="82"/>
      <c r="C28" s="82"/>
      <c r="D28" s="82"/>
      <c r="E28" s="82"/>
      <c r="F28" s="1">
        <v>1</v>
      </c>
      <c r="G28" s="1">
        <f>3.2*10^3</f>
        <v>3200</v>
      </c>
      <c r="H28" s="1">
        <f>(7.85+7.85)/2</f>
        <v>7.85</v>
      </c>
      <c r="I28" s="1">
        <f>(7.89+7.97)/2</f>
        <v>7.93</v>
      </c>
      <c r="J28" s="1">
        <v>0.99</v>
      </c>
      <c r="K28" s="1">
        <v>1.32</v>
      </c>
    </row>
    <row r="29" spans="1:15" x14ac:dyDescent="0.25">
      <c r="A29" s="28">
        <v>42354</v>
      </c>
      <c r="B29" s="82"/>
      <c r="C29" s="82"/>
      <c r="D29" s="82"/>
      <c r="E29" s="82"/>
      <c r="F29" s="1">
        <v>738</v>
      </c>
      <c r="G29" s="1">
        <f>2.4*10^5</f>
        <v>240000</v>
      </c>
      <c r="H29" s="38">
        <f>(7.89+7.98)/2</f>
        <v>7.9350000000000005</v>
      </c>
      <c r="I29" s="38">
        <f>(7.88+7.93)/2</f>
        <v>7.9049999999999994</v>
      </c>
      <c r="J29" s="1">
        <v>0.98</v>
      </c>
      <c r="K29" s="1">
        <v>0.38</v>
      </c>
    </row>
    <row r="30" spans="1:15" x14ac:dyDescent="0.25">
      <c r="A30" s="28">
        <v>42368</v>
      </c>
      <c r="F30" s="1">
        <v>3</v>
      </c>
      <c r="G30" s="1">
        <f>3.9*10^4</f>
        <v>39000</v>
      </c>
      <c r="H30" s="1">
        <f>(7.78+7.78)/2</f>
        <v>7.78</v>
      </c>
      <c r="I30" s="38">
        <f>(7.66+7.69)/2</f>
        <v>7.6750000000000007</v>
      </c>
      <c r="J30" s="1">
        <v>0.49</v>
      </c>
      <c r="K30" s="1">
        <v>0.44</v>
      </c>
    </row>
    <row r="31" spans="1:15" x14ac:dyDescent="0.25">
      <c r="A31" s="28">
        <v>42377</v>
      </c>
      <c r="F31" s="1">
        <v>738</v>
      </c>
      <c r="G31" s="1">
        <f>6.7*10^4</f>
        <v>67000</v>
      </c>
      <c r="H31" s="38">
        <f>(7.89+7.9)/2</f>
        <v>7.8949999999999996</v>
      </c>
      <c r="I31" s="1">
        <f>(7.79+7.79)/2</f>
        <v>7.79</v>
      </c>
      <c r="J31" s="1">
        <v>0.82</v>
      </c>
      <c r="K31" s="1">
        <v>0.42</v>
      </c>
    </row>
    <row r="32" spans="1:15" x14ac:dyDescent="0.25">
      <c r="A32" s="28">
        <v>42384</v>
      </c>
      <c r="F32" s="1">
        <v>10</v>
      </c>
      <c r="G32" s="1">
        <f>1.8*10^4</f>
        <v>18000</v>
      </c>
      <c r="H32" s="38">
        <f>(7.84+7.85)/2</f>
        <v>7.8449999999999998</v>
      </c>
      <c r="I32" s="38">
        <f>(7.88+7.95)/2</f>
        <v>7.915</v>
      </c>
      <c r="J32" s="1">
        <v>0.79</v>
      </c>
      <c r="K32" s="1">
        <v>1.44</v>
      </c>
    </row>
    <row r="33" spans="1:11" x14ac:dyDescent="0.25">
      <c r="A33" s="28">
        <v>42391</v>
      </c>
      <c r="F33" s="1">
        <v>92</v>
      </c>
      <c r="G33" s="1">
        <f>3.6*10^4</f>
        <v>36000</v>
      </c>
      <c r="H33" s="1">
        <f>(7.81+7.83)/2</f>
        <v>7.82</v>
      </c>
      <c r="I33" s="38">
        <f>(7.83+7.84)/2</f>
        <v>7.835</v>
      </c>
      <c r="J33" s="1">
        <v>0.75</v>
      </c>
      <c r="K33" s="1">
        <v>0.66</v>
      </c>
    </row>
    <row r="34" spans="1:11" x14ac:dyDescent="0.25">
      <c r="A34" s="28">
        <v>42398</v>
      </c>
      <c r="F34" s="1">
        <v>0</v>
      </c>
      <c r="G34" s="1">
        <f>6.5*10^3</f>
        <v>6500</v>
      </c>
      <c r="H34" s="38">
        <f>(7.94+7.99)/2</f>
        <v>7.9649999999999999</v>
      </c>
      <c r="I34" s="38">
        <f>(7.95+7.94)/2</f>
        <v>7.9450000000000003</v>
      </c>
      <c r="J34" s="1">
        <v>1.25</v>
      </c>
      <c r="K34" s="1">
        <v>0.9</v>
      </c>
    </row>
    <row r="35" spans="1:11" x14ac:dyDescent="0.25">
      <c r="A35" s="28">
        <v>42403</v>
      </c>
      <c r="F35" s="1">
        <f>1.4*10^4</f>
        <v>14000</v>
      </c>
      <c r="G35" s="1">
        <f>7*10^3</f>
        <v>7000</v>
      </c>
      <c r="H35" s="38">
        <f>(7.85+7.82)/2</f>
        <v>7.835</v>
      </c>
      <c r="I35" s="1">
        <f>(7.79+7.85)/2</f>
        <v>7.82</v>
      </c>
      <c r="J35" s="1">
        <v>0.74</v>
      </c>
      <c r="K35" s="1">
        <v>0.57999999999999996</v>
      </c>
    </row>
    <row r="36" spans="1:11" x14ac:dyDescent="0.25">
      <c r="A36" s="28">
        <v>42409</v>
      </c>
    </row>
    <row r="37" spans="1:11" x14ac:dyDescent="0.25">
      <c r="A37" s="39">
        <v>0.41666666666666669</v>
      </c>
      <c r="C37" s="159" t="s">
        <v>3</v>
      </c>
      <c r="E37" s="36">
        <v>4.1219000000000001</v>
      </c>
    </row>
    <row r="38" spans="1:11" x14ac:dyDescent="0.25">
      <c r="A38" s="39">
        <v>0.5</v>
      </c>
      <c r="C38" s="159" t="s">
        <v>3</v>
      </c>
      <c r="E38" s="36">
        <v>4.5862999999999996</v>
      </c>
    </row>
    <row r="39" spans="1:11" x14ac:dyDescent="0.25">
      <c r="A39" s="39">
        <v>0.64930555555555558</v>
      </c>
      <c r="C39" s="159" t="s">
        <v>3</v>
      </c>
      <c r="E39" s="36">
        <v>4.4204999999999997</v>
      </c>
    </row>
    <row r="40" spans="1:11" x14ac:dyDescent="0.25">
      <c r="A40" s="39">
        <v>0.65277777777777779</v>
      </c>
      <c r="C40" s="159" t="s">
        <v>3</v>
      </c>
      <c r="E40" s="36">
        <v>4.3954000000000004</v>
      </c>
    </row>
    <row r="41" spans="1:11" x14ac:dyDescent="0.25">
      <c r="A41" s="28">
        <v>42410</v>
      </c>
    </row>
    <row r="42" spans="1:11" x14ac:dyDescent="0.25">
      <c r="A42" s="39">
        <v>0.44097222222222227</v>
      </c>
      <c r="C42" s="159" t="s">
        <v>3</v>
      </c>
      <c r="E42" s="36">
        <v>4.3331999999999997</v>
      </c>
    </row>
    <row r="43" spans="1:11" x14ac:dyDescent="0.25">
      <c r="A43" s="39">
        <v>0.44444444444444442</v>
      </c>
      <c r="C43" s="159" t="s">
        <v>3</v>
      </c>
      <c r="E43" s="36">
        <v>4.2351000000000001</v>
      </c>
    </row>
    <row r="44" spans="1:11" x14ac:dyDescent="0.25">
      <c r="A44" s="28">
        <v>42411</v>
      </c>
    </row>
    <row r="45" spans="1:11" x14ac:dyDescent="0.25">
      <c r="A45" s="39">
        <v>0.34722222222222227</v>
      </c>
      <c r="C45" s="159" t="s">
        <v>3</v>
      </c>
      <c r="E45" s="36">
        <v>4.4419000000000004</v>
      </c>
    </row>
    <row r="46" spans="1:11" x14ac:dyDescent="0.25">
      <c r="A46" s="39">
        <v>0.35069444444444442</v>
      </c>
      <c r="C46" s="159" t="s">
        <v>3</v>
      </c>
      <c r="E46" s="36">
        <v>4.3672000000000004</v>
      </c>
    </row>
    <row r="47" spans="1:11" x14ac:dyDescent="0.25">
      <c r="A47" s="160">
        <v>42417</v>
      </c>
      <c r="B47" s="94"/>
      <c r="C47" s="158"/>
      <c r="D47" s="158"/>
      <c r="F47" s="1">
        <v>0</v>
      </c>
      <c r="G47" s="1">
        <f>1.1*10^5</f>
        <v>110000.00000000001</v>
      </c>
      <c r="H47" s="38">
        <f>(8.17+8.22)/2</f>
        <v>8.1950000000000003</v>
      </c>
      <c r="I47" s="1">
        <f>(7.89+7.97)/2</f>
        <v>7.93</v>
      </c>
      <c r="J47" s="1">
        <v>1.22</v>
      </c>
      <c r="K47" s="1">
        <v>0.73</v>
      </c>
    </row>
    <row r="48" spans="1:11" x14ac:dyDescent="0.25">
      <c r="A48" s="160">
        <v>42424</v>
      </c>
      <c r="B48" s="98"/>
      <c r="C48" s="159"/>
      <c r="D48" s="36"/>
      <c r="F48" s="1">
        <v>0</v>
      </c>
      <c r="G48" s="1">
        <f>9.8*10^4</f>
        <v>98000</v>
      </c>
      <c r="H48" s="1">
        <f>(8.15+8.11)/2</f>
        <v>8.129999999999999</v>
      </c>
      <c r="I48" s="38">
        <f>(7.9+7.97)/2</f>
        <v>7.9350000000000005</v>
      </c>
      <c r="J48" s="1">
        <v>1.06</v>
      </c>
      <c r="K48" s="1">
        <v>0.94</v>
      </c>
    </row>
    <row r="49" spans="1:11" x14ac:dyDescent="0.25">
      <c r="A49" s="160">
        <v>42431</v>
      </c>
      <c r="B49" s="96"/>
      <c r="C49" s="159"/>
      <c r="D49" s="36"/>
      <c r="F49" s="1">
        <v>9</v>
      </c>
      <c r="G49" s="1">
        <f>6.3*10^4</f>
        <v>63000</v>
      </c>
      <c r="H49" s="38">
        <f>(8.14+8.07)/2</f>
        <v>8.1050000000000004</v>
      </c>
      <c r="I49" s="38">
        <f>(7.84+7.89)/2</f>
        <v>7.8650000000000002</v>
      </c>
      <c r="J49" s="1">
        <v>0.86</v>
      </c>
      <c r="K49" s="1">
        <v>0.98</v>
      </c>
    </row>
    <row r="50" spans="1:11" x14ac:dyDescent="0.25">
      <c r="A50" s="160">
        <v>42438</v>
      </c>
      <c r="B50" s="96"/>
      <c r="C50" s="159"/>
      <c r="D50" s="36"/>
      <c r="F50" s="1">
        <f>7.4*10^4</f>
        <v>74000</v>
      </c>
      <c r="G50" s="1">
        <f>8.8*10^4</f>
        <v>88000</v>
      </c>
      <c r="H50" s="38">
        <f>(7.93+7.98)/2</f>
        <v>7.9550000000000001</v>
      </c>
      <c r="I50" s="1">
        <f>(8.07+8.05)/2</f>
        <v>8.06</v>
      </c>
      <c r="J50" s="1">
        <v>0.44</v>
      </c>
      <c r="K50" s="1">
        <v>0.45</v>
      </c>
    </row>
    <row r="51" spans="1:11" x14ac:dyDescent="0.25">
      <c r="A51" s="28">
        <v>42444</v>
      </c>
    </row>
    <row r="52" spans="1:11" x14ac:dyDescent="0.25">
      <c r="A52" s="39">
        <v>0.47916666666666669</v>
      </c>
      <c r="C52" s="159" t="s">
        <v>3</v>
      </c>
      <c r="E52" s="38">
        <v>1.8012999999999999</v>
      </c>
    </row>
    <row r="53" spans="1:11" x14ac:dyDescent="0.25">
      <c r="A53" s="39">
        <v>0.4826388888888889</v>
      </c>
      <c r="C53" s="159" t="s">
        <v>3</v>
      </c>
      <c r="E53" s="38">
        <v>0.95850000000000002</v>
      </c>
    </row>
    <row r="54" spans="1:11" x14ac:dyDescent="0.25">
      <c r="A54" s="39">
        <v>0.63194444444444442</v>
      </c>
      <c r="C54" s="159" t="s">
        <v>3</v>
      </c>
      <c r="E54" s="38">
        <v>1.159</v>
      </c>
    </row>
    <row r="55" spans="1:11" x14ac:dyDescent="0.25">
      <c r="A55" s="39">
        <v>0.63541666666666663</v>
      </c>
      <c r="C55" s="159" t="s">
        <v>3</v>
      </c>
      <c r="E55" s="38">
        <v>0.76160000000000005</v>
      </c>
    </row>
    <row r="56" spans="1:11" x14ac:dyDescent="0.25">
      <c r="A56" s="28">
        <v>42445</v>
      </c>
    </row>
    <row r="57" spans="1:11" x14ac:dyDescent="0.25">
      <c r="A57" s="39">
        <v>0.3923611111111111</v>
      </c>
      <c r="C57" s="159" t="s">
        <v>3</v>
      </c>
      <c r="E57" s="36">
        <v>0.68289999999999995</v>
      </c>
    </row>
    <row r="58" spans="1:11" x14ac:dyDescent="0.25">
      <c r="A58" s="39">
        <v>0.39583333333333331</v>
      </c>
      <c r="C58" s="159" t="s">
        <v>3</v>
      </c>
      <c r="E58" s="36">
        <v>0.74470000000000003</v>
      </c>
    </row>
    <row r="59" spans="1:11" x14ac:dyDescent="0.25">
      <c r="A59" s="28">
        <v>42446</v>
      </c>
    </row>
    <row r="60" spans="1:11" x14ac:dyDescent="0.25">
      <c r="A60" s="39">
        <v>0.37152777777777773</v>
      </c>
      <c r="C60" s="159" t="s">
        <v>3</v>
      </c>
      <c r="E60" s="36">
        <v>0.78490000000000004</v>
      </c>
    </row>
    <row r="61" spans="1:11" x14ac:dyDescent="0.25">
      <c r="A61" s="39">
        <v>0.375</v>
      </c>
      <c r="C61" s="159" t="s">
        <v>3</v>
      </c>
      <c r="E61" s="36">
        <v>0.77780000000000005</v>
      </c>
    </row>
    <row r="62" spans="1:11" x14ac:dyDescent="0.25">
      <c r="A62" s="160"/>
    </row>
    <row r="63" spans="1:11" x14ac:dyDescent="0.25">
      <c r="A63" s="160">
        <v>42452</v>
      </c>
      <c r="B63" s="96"/>
      <c r="C63" s="159"/>
      <c r="D63" s="36"/>
      <c r="F63" s="1">
        <v>0</v>
      </c>
      <c r="G63" s="1">
        <f>3.9*10^4</f>
        <v>39000</v>
      </c>
      <c r="H63" s="1">
        <f>(8.06+8.04)/2</f>
        <v>8.0500000000000007</v>
      </c>
      <c r="I63" s="1">
        <f>(7.94+7.98)/2</f>
        <v>7.9600000000000009</v>
      </c>
      <c r="J63" s="1">
        <v>0.37</v>
      </c>
      <c r="K63" s="1">
        <v>0.67</v>
      </c>
    </row>
    <row r="64" spans="1:11" x14ac:dyDescent="0.25">
      <c r="A64" s="160">
        <v>42459</v>
      </c>
      <c r="F64" s="1">
        <f>8.2*10^3</f>
        <v>8200</v>
      </c>
      <c r="G64" s="1">
        <f>1.4*10^5</f>
        <v>140000</v>
      </c>
      <c r="H64" s="38">
        <f>(8.15+8.16)/2</f>
        <v>8.1550000000000011</v>
      </c>
      <c r="I64" s="38">
        <f>(8.09+8.06)/2</f>
        <v>8.0749999999999993</v>
      </c>
      <c r="J64" s="1">
        <v>0.84</v>
      </c>
      <c r="K64" s="1">
        <v>0.4</v>
      </c>
    </row>
    <row r="65" spans="1:11" x14ac:dyDescent="0.25">
      <c r="A65" s="160">
        <v>42466</v>
      </c>
      <c r="F65" s="1">
        <v>3</v>
      </c>
      <c r="G65" s="1">
        <f>5.3*10^4</f>
        <v>53000</v>
      </c>
      <c r="H65" s="38">
        <f>(8.37+8.43)/2</f>
        <v>8.3999999999999986</v>
      </c>
      <c r="I65" s="38">
        <f>(8.21+8.28)/2</f>
        <v>8.245000000000001</v>
      </c>
      <c r="J65" s="1">
        <v>0.31</v>
      </c>
      <c r="K65" s="1">
        <v>0.77</v>
      </c>
    </row>
    <row r="66" spans="1:11" x14ac:dyDescent="0.25">
      <c r="A66" s="160">
        <v>42473</v>
      </c>
      <c r="F66" s="1">
        <v>0</v>
      </c>
      <c r="G66" s="1">
        <f>2.3*10^4</f>
        <v>23000</v>
      </c>
      <c r="H66" s="1">
        <f>(8.18+8.26)/2</f>
        <v>8.2199999999999989</v>
      </c>
      <c r="I66" s="1">
        <f>(8.31+8.35)/2</f>
        <v>8.33</v>
      </c>
      <c r="J66" s="1">
        <v>0.49</v>
      </c>
      <c r="K66" s="1">
        <v>0.47</v>
      </c>
    </row>
    <row r="67" spans="1:11" x14ac:dyDescent="0.25">
      <c r="A67" s="160">
        <v>42480</v>
      </c>
      <c r="F67" s="1">
        <v>0</v>
      </c>
      <c r="G67" s="1">
        <f>1.1*10^5</f>
        <v>110000.00000000001</v>
      </c>
      <c r="H67" s="1">
        <f>(8.36+8.4)/2</f>
        <v>8.379999999999999</v>
      </c>
      <c r="I67" s="38">
        <f>(8.19+8.2)/2</f>
        <v>8.1950000000000003</v>
      </c>
      <c r="J67" s="1">
        <v>0.53</v>
      </c>
      <c r="K67" s="1">
        <v>0.52</v>
      </c>
    </row>
    <row r="68" spans="1:11" x14ac:dyDescent="0.25">
      <c r="A68" s="160"/>
    </row>
    <row r="69" spans="1:11" x14ac:dyDescent="0.25">
      <c r="A69" s="160"/>
    </row>
    <row r="70" spans="1:11" x14ac:dyDescent="0.25">
      <c r="A70" s="160" t="s">
        <v>521</v>
      </c>
      <c r="D70" s="225">
        <f t="shared" ref="D70:E70" si="0">AVERAGE(D4:D67)</f>
        <v>3.0442894736842105</v>
      </c>
      <c r="E70" s="225">
        <f t="shared" si="0"/>
        <v>2.9078314285714288</v>
      </c>
      <c r="F70" s="96">
        <f>AVERAGE(F4:F12,F21,F23,F28:F35,F47:F50,F63:F67)</f>
        <v>3646.25</v>
      </c>
      <c r="G70" s="96">
        <f>AVERAGE(G4:G12,G21,G23,G28:G35,G47:G50,G63:G67)</f>
        <v>63118.910714285717</v>
      </c>
      <c r="H70" s="181">
        <f t="shared" ref="H70:K70" si="1">AVERAGE(H4:H67)</f>
        <v>8.1048387096774199</v>
      </c>
      <c r="I70" s="181">
        <f t="shared" si="1"/>
        <v>8.0222580645161301</v>
      </c>
      <c r="J70" s="181">
        <f t="shared" si="1"/>
        <v>1.274193548387097</v>
      </c>
      <c r="K70" s="181">
        <f t="shared" si="1"/>
        <v>0.8711290322580646</v>
      </c>
    </row>
    <row r="71" spans="1:11" x14ac:dyDescent="0.25">
      <c r="D71" s="225">
        <f t="shared" ref="D71:E71" si="2">STDEV(D4:D67)</f>
        <v>0.37327334026113745</v>
      </c>
      <c r="E71" s="225">
        <f t="shared" si="2"/>
        <v>1.2403196601188384</v>
      </c>
      <c r="F71" s="96">
        <f>STDEV(F4:F12,F21,F23,F28:F35,F47:F50,F63:F67)</f>
        <v>14117.654473834971</v>
      </c>
      <c r="G71" s="96">
        <f>STDEV(G4:G12,G21,G23,G28:G35,G47:G50,G63:G67)</f>
        <v>65242.212432121189</v>
      </c>
      <c r="H71" s="181">
        <f t="shared" ref="H71:K71" si="3">STDEV(H4:H67)</f>
        <v>0.17258564961088996</v>
      </c>
      <c r="I71" s="181">
        <f t="shared" si="3"/>
        <v>0.15587301834975276</v>
      </c>
      <c r="J71" s="181">
        <f t="shared" si="3"/>
        <v>0.89207725447799024</v>
      </c>
      <c r="K71" s="181">
        <f t="shared" si="3"/>
        <v>0.49317628639500244</v>
      </c>
    </row>
    <row r="72" spans="1:11" x14ac:dyDescent="0.25">
      <c r="C72" s="1" t="s">
        <v>522</v>
      </c>
      <c r="D72" s="246">
        <f>_xlfn.T.TEST(D4:D67,E4:E67,2,1)</f>
        <v>0.12409508477348849</v>
      </c>
      <c r="F72" s="246">
        <f>_xlfn.T.TEST(F4:F67,G4:G67,2,1)</f>
        <v>5.2083792647963524E-5</v>
      </c>
      <c r="G72" s="96"/>
      <c r="H72" s="246">
        <f>_xlfn.T.TEST(H4:H67,I4:I67,2,1)</f>
        <v>9.8196546862879666E-5</v>
      </c>
      <c r="J72" s="246">
        <f>_xlfn.T.TEST(J4:J67,K4:K67,2,1)</f>
        <v>6.7695974864434971E-3</v>
      </c>
    </row>
    <row r="73" spans="1:11" x14ac:dyDescent="0.25">
      <c r="G73" s="96"/>
    </row>
  </sheetData>
  <mergeCells count="6">
    <mergeCell ref="L2:N2"/>
    <mergeCell ref="B2:C2"/>
    <mergeCell ref="D2:E2"/>
    <mergeCell ref="F2:G2"/>
    <mergeCell ref="H2:I2"/>
    <mergeCell ref="J2:K2"/>
  </mergeCells>
  <hyperlinks>
    <hyperlink ref="L20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selection activeCell="E88" sqref="E88"/>
    </sheetView>
  </sheetViews>
  <sheetFormatPr defaultRowHeight="15" x14ac:dyDescent="0.25"/>
  <cols>
    <col min="1" max="1" width="14.7109375" style="84" bestFit="1" customWidth="1"/>
    <col min="2" max="2" width="14.28515625" style="84" customWidth="1"/>
    <col min="3" max="3" width="16.140625" style="84" customWidth="1"/>
    <col min="4" max="4" width="15.5703125" style="84" bestFit="1" customWidth="1"/>
    <col min="5" max="5" width="13.7109375" style="84" customWidth="1"/>
    <col min="6" max="6" width="15.28515625" style="84" customWidth="1"/>
    <col min="7" max="7" width="15.7109375" style="84" customWidth="1"/>
    <col min="8" max="8" width="16.5703125" style="84" customWidth="1"/>
    <col min="9" max="10" width="9.140625" style="84"/>
    <col min="11" max="11" width="15" style="84" customWidth="1"/>
    <col min="12" max="12" width="14.5703125" style="84" customWidth="1"/>
    <col min="13" max="13" width="14.28515625" style="84" customWidth="1"/>
    <col min="14" max="16384" width="9.140625" style="84"/>
  </cols>
  <sheetData>
    <row r="1" spans="1:8" ht="18" x14ac:dyDescent="0.35">
      <c r="A1" s="371" t="s">
        <v>535</v>
      </c>
    </row>
    <row r="3" spans="1:8" s="359" customFormat="1" ht="44.25" customHeight="1" x14ac:dyDescent="0.25">
      <c r="A3" s="359" t="s">
        <v>203</v>
      </c>
      <c r="B3" s="359" t="s">
        <v>204</v>
      </c>
      <c r="C3" s="359" t="s">
        <v>531</v>
      </c>
      <c r="D3" s="359" t="s">
        <v>532</v>
      </c>
      <c r="E3" s="359" t="s">
        <v>533</v>
      </c>
    </row>
    <row r="4" spans="1:8" x14ac:dyDescent="0.25">
      <c r="A4" s="84">
        <v>5</v>
      </c>
      <c r="B4" s="360" t="s">
        <v>205</v>
      </c>
      <c r="C4" s="36">
        <v>1.6</v>
      </c>
      <c r="D4" s="84">
        <f>C4*1000</f>
        <v>1600</v>
      </c>
      <c r="E4" s="361">
        <f>(D4*0.25)/40</f>
        <v>10</v>
      </c>
    </row>
    <row r="5" spans="1:8" x14ac:dyDescent="0.25">
      <c r="A5" s="84">
        <v>10</v>
      </c>
      <c r="B5" s="360" t="s">
        <v>205</v>
      </c>
      <c r="C5" s="36">
        <v>2.64</v>
      </c>
      <c r="D5" s="84">
        <f t="shared" ref="D5:D6" si="0">C5*1000</f>
        <v>2640</v>
      </c>
      <c r="E5" s="361">
        <f t="shared" ref="E5:E10" si="1">(D5*0.25)/40</f>
        <v>16.5</v>
      </c>
    </row>
    <row r="6" spans="1:8" x14ac:dyDescent="0.25">
      <c r="A6" s="84">
        <v>15</v>
      </c>
      <c r="B6" s="360" t="s">
        <v>205</v>
      </c>
      <c r="C6" s="36">
        <v>3.56</v>
      </c>
      <c r="D6" s="84">
        <f t="shared" si="0"/>
        <v>3560</v>
      </c>
      <c r="E6" s="361">
        <f t="shared" si="1"/>
        <v>22.25</v>
      </c>
    </row>
    <row r="7" spans="1:8" x14ac:dyDescent="0.25">
      <c r="A7" s="84">
        <v>30</v>
      </c>
      <c r="B7" s="360" t="s">
        <v>206</v>
      </c>
      <c r="C7" s="36">
        <v>2</v>
      </c>
      <c r="D7" s="84">
        <f>C7*2000</f>
        <v>4000</v>
      </c>
      <c r="E7" s="361">
        <f t="shared" si="1"/>
        <v>25</v>
      </c>
    </row>
    <row r="8" spans="1:8" x14ac:dyDescent="0.25">
      <c r="A8" s="84">
        <v>45</v>
      </c>
      <c r="B8" s="360" t="s">
        <v>206</v>
      </c>
      <c r="C8" s="36">
        <v>2.57</v>
      </c>
      <c r="D8" s="84">
        <f t="shared" ref="D8:D10" si="2">C8*2000</f>
        <v>5140</v>
      </c>
      <c r="E8" s="361">
        <f t="shared" si="1"/>
        <v>32.125</v>
      </c>
    </row>
    <row r="9" spans="1:8" x14ac:dyDescent="0.25">
      <c r="A9" s="84">
        <v>60</v>
      </c>
      <c r="B9" s="360" t="s">
        <v>206</v>
      </c>
      <c r="C9" s="36">
        <v>3.23</v>
      </c>
      <c r="D9" s="84">
        <f t="shared" si="2"/>
        <v>6460</v>
      </c>
      <c r="E9" s="361">
        <f t="shared" si="1"/>
        <v>40.375</v>
      </c>
    </row>
    <row r="10" spans="1:8" x14ac:dyDescent="0.25">
      <c r="A10" s="84">
        <v>75</v>
      </c>
      <c r="B10" s="360" t="s">
        <v>206</v>
      </c>
      <c r="C10" s="36">
        <v>3.59</v>
      </c>
      <c r="D10" s="84">
        <f t="shared" si="2"/>
        <v>7180</v>
      </c>
      <c r="E10" s="361">
        <f t="shared" si="1"/>
        <v>44.875</v>
      </c>
    </row>
    <row r="11" spans="1:8" x14ac:dyDescent="0.25">
      <c r="E11" s="361"/>
    </row>
    <row r="12" spans="1:8" x14ac:dyDescent="0.25">
      <c r="A12" s="362" t="s">
        <v>207</v>
      </c>
      <c r="B12" s="362"/>
      <c r="C12" s="362"/>
      <c r="D12" s="362"/>
      <c r="E12" s="362"/>
      <c r="F12" s="362"/>
    </row>
    <row r="13" spans="1:8" x14ac:dyDescent="0.25">
      <c r="A13" s="362" t="s">
        <v>208</v>
      </c>
      <c r="B13" s="362"/>
      <c r="C13" s="362"/>
      <c r="D13" s="362"/>
      <c r="E13" s="362"/>
      <c r="F13" s="362"/>
    </row>
    <row r="14" spans="1:8" x14ac:dyDescent="0.25">
      <c r="A14" s="362" t="s">
        <v>209</v>
      </c>
      <c r="B14" s="362"/>
      <c r="C14" s="362"/>
      <c r="D14" s="362"/>
      <c r="E14" s="362"/>
      <c r="F14" s="362"/>
      <c r="G14" s="362"/>
      <c r="H14" s="362"/>
    </row>
    <row r="15" spans="1:8" x14ac:dyDescent="0.25">
      <c r="A15" s="362" t="s">
        <v>210</v>
      </c>
      <c r="B15" s="362"/>
      <c r="C15" s="362"/>
      <c r="D15" s="362"/>
      <c r="E15" s="362"/>
      <c r="F15" s="362"/>
      <c r="G15" s="362"/>
      <c r="H15" s="362"/>
    </row>
    <row r="16" spans="1:8" x14ac:dyDescent="0.25">
      <c r="E16" s="84">
        <f>E17*E20</f>
        <v>5.375</v>
      </c>
      <c r="F16" s="84">
        <f>F17*E20</f>
        <v>0.86</v>
      </c>
    </row>
    <row r="17" spans="1:6" x14ac:dyDescent="0.25">
      <c r="A17" s="363" t="s">
        <v>311</v>
      </c>
      <c r="D17" s="84" t="s">
        <v>318</v>
      </c>
      <c r="E17" s="84">
        <f>0.25/40</f>
        <v>6.2500000000000003E-3</v>
      </c>
      <c r="F17" s="84">
        <f>1/1000</f>
        <v>1E-3</v>
      </c>
    </row>
    <row r="18" spans="1:6" ht="34.5" x14ac:dyDescent="0.35">
      <c r="A18" s="359" t="s">
        <v>12</v>
      </c>
      <c r="B18" s="359" t="s">
        <v>204</v>
      </c>
      <c r="C18" s="359" t="s">
        <v>534</v>
      </c>
      <c r="D18" s="359" t="s">
        <v>313</v>
      </c>
      <c r="E18" s="359" t="s">
        <v>316</v>
      </c>
      <c r="F18" s="359" t="s">
        <v>317</v>
      </c>
    </row>
    <row r="19" spans="1:6" x14ac:dyDescent="0.25">
      <c r="A19" s="84" t="s">
        <v>315</v>
      </c>
      <c r="C19" s="84" t="s">
        <v>312</v>
      </c>
      <c r="D19" s="84" t="s">
        <v>312</v>
      </c>
      <c r="E19" s="84" t="s">
        <v>312</v>
      </c>
      <c r="F19" s="84" t="s">
        <v>312</v>
      </c>
    </row>
    <row r="20" spans="1:6" x14ac:dyDescent="0.25">
      <c r="A20" s="364">
        <v>5</v>
      </c>
      <c r="B20" s="364">
        <v>1000</v>
      </c>
      <c r="C20" s="364">
        <v>0.86</v>
      </c>
      <c r="D20" s="364">
        <v>22284.799999999999</v>
      </c>
      <c r="E20" s="364">
        <f>C20*1000</f>
        <v>860</v>
      </c>
      <c r="F20" s="365">
        <f>(E20*0.25)/40</f>
        <v>5.375</v>
      </c>
    </row>
    <row r="21" spans="1:6" x14ac:dyDescent="0.25">
      <c r="A21" s="364">
        <v>10</v>
      </c>
      <c r="B21" s="364">
        <v>1000</v>
      </c>
      <c r="C21" s="364">
        <v>1.39</v>
      </c>
      <c r="D21" s="364">
        <v>20935.8</v>
      </c>
      <c r="E21" s="364">
        <f t="shared" ref="E21:E32" si="3">C21*1000</f>
        <v>1390</v>
      </c>
      <c r="F21" s="365">
        <f t="shared" ref="F21:F32" si="4">(E21*0.25)/40</f>
        <v>8.6875</v>
      </c>
    </row>
    <row r="22" spans="1:6" x14ac:dyDescent="0.25">
      <c r="A22" s="364">
        <v>15</v>
      </c>
      <c r="B22" s="364">
        <v>1000</v>
      </c>
      <c r="C22" s="364">
        <v>2.4500000000000002</v>
      </c>
      <c r="D22" s="364">
        <v>19975.7</v>
      </c>
      <c r="E22" s="364">
        <f t="shared" si="3"/>
        <v>2450</v>
      </c>
      <c r="F22" s="365">
        <f t="shared" si="4"/>
        <v>15.3125</v>
      </c>
    </row>
    <row r="23" spans="1:6" x14ac:dyDescent="0.25">
      <c r="A23" s="364">
        <v>30</v>
      </c>
      <c r="B23" s="364">
        <v>1000</v>
      </c>
      <c r="C23" s="364">
        <v>2.7</v>
      </c>
      <c r="D23" s="364">
        <v>16986.7</v>
      </c>
      <c r="E23" s="364">
        <f t="shared" si="3"/>
        <v>2700</v>
      </c>
      <c r="F23" s="365">
        <f t="shared" si="4"/>
        <v>16.875</v>
      </c>
    </row>
    <row r="24" spans="1:6" x14ac:dyDescent="0.25">
      <c r="A24" s="364">
        <v>45</v>
      </c>
      <c r="B24" s="364">
        <v>2000</v>
      </c>
      <c r="C24" s="364">
        <v>2.23</v>
      </c>
      <c r="D24" s="364">
        <v>15717.2</v>
      </c>
      <c r="E24" s="364">
        <f t="shared" si="3"/>
        <v>2230</v>
      </c>
      <c r="F24" s="365">
        <f t="shared" si="4"/>
        <v>13.9375</v>
      </c>
    </row>
    <row r="25" spans="1:6" x14ac:dyDescent="0.25">
      <c r="A25" s="364">
        <v>60</v>
      </c>
      <c r="B25" s="364">
        <v>2000</v>
      </c>
      <c r="C25" s="364">
        <v>2.5</v>
      </c>
      <c r="D25" s="364">
        <v>14461.4</v>
      </c>
      <c r="E25" s="364">
        <f t="shared" si="3"/>
        <v>2500</v>
      </c>
      <c r="F25" s="365">
        <f t="shared" si="4"/>
        <v>15.625</v>
      </c>
    </row>
    <row r="26" spans="1:6" x14ac:dyDescent="0.25">
      <c r="A26" s="364">
        <v>75</v>
      </c>
      <c r="B26" s="364">
        <v>2000</v>
      </c>
      <c r="C26" s="364">
        <v>2.76</v>
      </c>
      <c r="D26" s="364">
        <v>13512.2</v>
      </c>
      <c r="E26" s="364">
        <f t="shared" si="3"/>
        <v>2760</v>
      </c>
      <c r="F26" s="365">
        <f t="shared" si="4"/>
        <v>17.25</v>
      </c>
    </row>
    <row r="27" spans="1:6" x14ac:dyDescent="0.25">
      <c r="A27" s="364">
        <v>90</v>
      </c>
      <c r="B27" s="364">
        <v>2000</v>
      </c>
      <c r="C27" s="364">
        <v>2.83</v>
      </c>
      <c r="D27" s="364">
        <v>12324.6</v>
      </c>
      <c r="E27" s="364">
        <f t="shared" si="3"/>
        <v>2830</v>
      </c>
      <c r="F27" s="365">
        <f t="shared" si="4"/>
        <v>17.6875</v>
      </c>
    </row>
    <row r="28" spans="1:6" x14ac:dyDescent="0.25">
      <c r="A28" s="364">
        <v>120</v>
      </c>
      <c r="B28" s="364">
        <v>2000</v>
      </c>
      <c r="C28" s="364">
        <v>3.16</v>
      </c>
      <c r="D28" s="364">
        <v>11241.8</v>
      </c>
      <c r="E28" s="364">
        <f t="shared" si="3"/>
        <v>3160</v>
      </c>
      <c r="F28" s="365">
        <f t="shared" si="4"/>
        <v>19.75</v>
      </c>
    </row>
    <row r="29" spans="1:6" x14ac:dyDescent="0.25">
      <c r="A29" s="364">
        <v>180</v>
      </c>
      <c r="B29" s="364">
        <v>2000</v>
      </c>
      <c r="C29" s="364">
        <v>3.55</v>
      </c>
      <c r="D29" s="364">
        <v>9796.7999999999993</v>
      </c>
      <c r="E29" s="364">
        <f t="shared" si="3"/>
        <v>3550</v>
      </c>
      <c r="F29" s="365">
        <f t="shared" si="4"/>
        <v>22.1875</v>
      </c>
    </row>
    <row r="30" spans="1:6" x14ac:dyDescent="0.25">
      <c r="A30" s="364">
        <v>240</v>
      </c>
      <c r="B30" s="364">
        <v>2000</v>
      </c>
      <c r="C30" s="364">
        <v>3.74</v>
      </c>
      <c r="D30" s="364">
        <v>9424.7999999999993</v>
      </c>
      <c r="E30" s="364">
        <f t="shared" si="3"/>
        <v>3740</v>
      </c>
      <c r="F30" s="365">
        <f t="shared" si="4"/>
        <v>23.375</v>
      </c>
    </row>
    <row r="31" spans="1:6" x14ac:dyDescent="0.25">
      <c r="A31" s="364">
        <v>360</v>
      </c>
      <c r="B31" s="364">
        <v>2000</v>
      </c>
      <c r="C31" s="364">
        <v>4.17</v>
      </c>
      <c r="D31" s="364">
        <v>8199.6</v>
      </c>
      <c r="E31" s="364">
        <f t="shared" si="3"/>
        <v>4170</v>
      </c>
      <c r="F31" s="365">
        <f t="shared" si="4"/>
        <v>26.0625</v>
      </c>
    </row>
    <row r="32" spans="1:6" x14ac:dyDescent="0.25">
      <c r="A32" s="364">
        <f>24*60</f>
        <v>1440</v>
      </c>
      <c r="B32" s="364">
        <v>2000</v>
      </c>
      <c r="C32" s="364">
        <v>4.57</v>
      </c>
      <c r="D32" s="364">
        <v>2928.2</v>
      </c>
      <c r="E32" s="364">
        <f t="shared" si="3"/>
        <v>4570</v>
      </c>
      <c r="F32" s="365">
        <f t="shared" si="4"/>
        <v>28.5625</v>
      </c>
    </row>
    <row r="35" spans="1:9" x14ac:dyDescent="0.25">
      <c r="A35" s="363" t="s">
        <v>319</v>
      </c>
    </row>
    <row r="36" spans="1:9" ht="64.5" x14ac:dyDescent="0.35">
      <c r="A36" s="84" t="s">
        <v>12</v>
      </c>
      <c r="B36" s="84" t="s">
        <v>204</v>
      </c>
      <c r="C36" s="84" t="s">
        <v>314</v>
      </c>
      <c r="D36" s="84" t="s">
        <v>313</v>
      </c>
      <c r="E36" s="84" t="s">
        <v>316</v>
      </c>
      <c r="F36" s="359" t="s">
        <v>317</v>
      </c>
      <c r="G36" s="359" t="s">
        <v>320</v>
      </c>
      <c r="H36" s="359" t="s">
        <v>324</v>
      </c>
    </row>
    <row r="37" spans="1:9" x14ac:dyDescent="0.25">
      <c r="A37" s="84" t="s">
        <v>315</v>
      </c>
      <c r="C37" s="84" t="s">
        <v>312</v>
      </c>
      <c r="D37" s="84" t="s">
        <v>312</v>
      </c>
      <c r="E37" s="84" t="s">
        <v>312</v>
      </c>
      <c r="F37" s="84" t="s">
        <v>312</v>
      </c>
      <c r="G37" s="84" t="s">
        <v>321</v>
      </c>
      <c r="H37" s="84" t="s">
        <v>312</v>
      </c>
    </row>
    <row r="38" spans="1:9" x14ac:dyDescent="0.25">
      <c r="A38" s="366">
        <v>5</v>
      </c>
      <c r="B38" s="367" t="s">
        <v>206</v>
      </c>
      <c r="C38" s="368">
        <v>0.6</v>
      </c>
      <c r="D38" s="364">
        <v>22714.400000000001</v>
      </c>
      <c r="E38" s="369">
        <f t="shared" ref="E38:E49" si="5">C38*2000</f>
        <v>1200</v>
      </c>
      <c r="F38" s="370">
        <f>(E38*0.25)/40</f>
        <v>7.5</v>
      </c>
      <c r="G38" s="370">
        <f>100/F38</f>
        <v>13.333333333333334</v>
      </c>
      <c r="H38" s="370">
        <f>((D38+E38)*0.25)/40</f>
        <v>149.465</v>
      </c>
      <c r="I38" s="84">
        <f>D38*0.8+F38</f>
        <v>18179.02</v>
      </c>
    </row>
    <row r="39" spans="1:9" x14ac:dyDescent="0.25">
      <c r="A39" s="366">
        <v>10</v>
      </c>
      <c r="B39" s="367" t="s">
        <v>206</v>
      </c>
      <c r="C39" s="368">
        <v>1.08</v>
      </c>
      <c r="D39" s="364">
        <v>20763</v>
      </c>
      <c r="E39" s="369">
        <f t="shared" si="5"/>
        <v>2160</v>
      </c>
      <c r="F39" s="370">
        <f t="shared" ref="F39:F49" si="6">(E39*0.25)/40</f>
        <v>13.5</v>
      </c>
      <c r="G39" s="370">
        <f t="shared" ref="G39:G49" si="7">100/F39</f>
        <v>7.4074074074074074</v>
      </c>
      <c r="H39" s="370">
        <f t="shared" ref="H39:H50" si="8">((D39+E39)*0.25)/40</f>
        <v>143.26875000000001</v>
      </c>
    </row>
    <row r="40" spans="1:9" x14ac:dyDescent="0.25">
      <c r="A40" s="366">
        <v>15</v>
      </c>
      <c r="B40" s="367" t="s">
        <v>206</v>
      </c>
      <c r="C40" s="368">
        <v>1.44</v>
      </c>
      <c r="D40" s="364">
        <v>18975</v>
      </c>
      <c r="E40" s="369">
        <f t="shared" si="5"/>
        <v>2880</v>
      </c>
      <c r="F40" s="370">
        <f t="shared" si="6"/>
        <v>18</v>
      </c>
      <c r="G40" s="370">
        <f t="shared" si="7"/>
        <v>5.5555555555555554</v>
      </c>
      <c r="H40" s="370">
        <f t="shared" si="8"/>
        <v>136.59375</v>
      </c>
    </row>
    <row r="41" spans="1:9" x14ac:dyDescent="0.25">
      <c r="A41" s="366">
        <v>30</v>
      </c>
      <c r="B41" s="367" t="s">
        <v>206</v>
      </c>
      <c r="C41" s="368">
        <v>2.3199999999999998</v>
      </c>
      <c r="D41" s="364">
        <v>16074.8</v>
      </c>
      <c r="E41" s="369">
        <f t="shared" si="5"/>
        <v>4640</v>
      </c>
      <c r="F41" s="370">
        <f t="shared" si="6"/>
        <v>29</v>
      </c>
      <c r="G41" s="370">
        <f t="shared" si="7"/>
        <v>3.4482758620689653</v>
      </c>
      <c r="H41" s="370">
        <f t="shared" si="8"/>
        <v>129.4675</v>
      </c>
    </row>
    <row r="42" spans="1:9" x14ac:dyDescent="0.25">
      <c r="A42" s="366">
        <v>45</v>
      </c>
      <c r="B42" s="367" t="s">
        <v>206</v>
      </c>
      <c r="C42" s="368">
        <v>2.72</v>
      </c>
      <c r="D42" s="364">
        <v>13318</v>
      </c>
      <c r="E42" s="369">
        <f t="shared" si="5"/>
        <v>5440</v>
      </c>
      <c r="F42" s="370">
        <f t="shared" si="6"/>
        <v>34</v>
      </c>
      <c r="G42" s="370">
        <f t="shared" si="7"/>
        <v>2.9411764705882355</v>
      </c>
      <c r="H42" s="370">
        <f t="shared" si="8"/>
        <v>117.2375</v>
      </c>
    </row>
    <row r="43" spans="1:9" x14ac:dyDescent="0.25">
      <c r="A43" s="366">
        <v>60</v>
      </c>
      <c r="B43" s="367" t="s">
        <v>206</v>
      </c>
      <c r="C43" s="368">
        <v>2.92</v>
      </c>
      <c r="D43" s="364">
        <v>11960.800000000001</v>
      </c>
      <c r="E43" s="369">
        <f t="shared" si="5"/>
        <v>5840</v>
      </c>
      <c r="F43" s="370">
        <f t="shared" si="6"/>
        <v>36.5</v>
      </c>
      <c r="G43" s="370">
        <f t="shared" si="7"/>
        <v>2.7397260273972601</v>
      </c>
      <c r="H43" s="370">
        <f t="shared" si="8"/>
        <v>111.25500000000002</v>
      </c>
    </row>
    <row r="44" spans="1:9" x14ac:dyDescent="0.25">
      <c r="A44" s="366">
        <v>75</v>
      </c>
      <c r="B44" s="367" t="s">
        <v>206</v>
      </c>
      <c r="C44" s="368">
        <v>3.33</v>
      </c>
      <c r="D44" s="364">
        <v>11554</v>
      </c>
      <c r="E44" s="369">
        <f t="shared" si="5"/>
        <v>6660</v>
      </c>
      <c r="F44" s="370">
        <f t="shared" si="6"/>
        <v>41.625</v>
      </c>
      <c r="G44" s="370">
        <f t="shared" si="7"/>
        <v>2.4024024024024024</v>
      </c>
      <c r="H44" s="370">
        <f t="shared" si="8"/>
        <v>113.83750000000001</v>
      </c>
    </row>
    <row r="45" spans="1:9" x14ac:dyDescent="0.25">
      <c r="A45" s="366">
        <v>90</v>
      </c>
      <c r="B45" s="367" t="s">
        <v>206</v>
      </c>
      <c r="C45" s="368">
        <v>3.46</v>
      </c>
      <c r="D45" s="364">
        <v>10521.4</v>
      </c>
      <c r="E45" s="369">
        <f t="shared" si="5"/>
        <v>6920</v>
      </c>
      <c r="F45" s="370">
        <f t="shared" si="6"/>
        <v>43.25</v>
      </c>
      <c r="G45" s="370">
        <f t="shared" si="7"/>
        <v>2.3121387283236996</v>
      </c>
      <c r="H45" s="370">
        <f t="shared" si="8"/>
        <v>109.00875000000001</v>
      </c>
    </row>
    <row r="46" spans="1:9" x14ac:dyDescent="0.25">
      <c r="A46" s="366">
        <v>120</v>
      </c>
      <c r="B46" s="367" t="s">
        <v>206</v>
      </c>
      <c r="C46" s="368">
        <v>3.91</v>
      </c>
      <c r="D46" s="364">
        <v>9019.6</v>
      </c>
      <c r="E46" s="369">
        <f t="shared" si="5"/>
        <v>7820</v>
      </c>
      <c r="F46" s="370">
        <f t="shared" si="6"/>
        <v>48.875</v>
      </c>
      <c r="G46" s="370">
        <f t="shared" si="7"/>
        <v>2.0460358056265986</v>
      </c>
      <c r="H46" s="370">
        <f t="shared" si="8"/>
        <v>105.24749999999999</v>
      </c>
    </row>
    <row r="47" spans="1:9" x14ac:dyDescent="0.25">
      <c r="A47" s="366">
        <v>180</v>
      </c>
      <c r="B47" s="367" t="s">
        <v>206</v>
      </c>
      <c r="C47" s="368">
        <v>4.01</v>
      </c>
      <c r="D47" s="364">
        <v>6800.4</v>
      </c>
      <c r="E47" s="369">
        <f t="shared" si="5"/>
        <v>8020</v>
      </c>
      <c r="F47" s="370">
        <f t="shared" si="6"/>
        <v>50.125</v>
      </c>
      <c r="G47" s="370">
        <f t="shared" si="7"/>
        <v>1.9950124688279303</v>
      </c>
      <c r="H47" s="370">
        <f t="shared" si="8"/>
        <v>92.627499999999998</v>
      </c>
    </row>
    <row r="48" spans="1:9" x14ac:dyDescent="0.25">
      <c r="A48" s="366">
        <v>240</v>
      </c>
      <c r="B48" s="367" t="s">
        <v>206</v>
      </c>
      <c r="C48" s="368">
        <v>4.2</v>
      </c>
      <c r="D48" s="364">
        <v>7209.6</v>
      </c>
      <c r="E48" s="369">
        <f t="shared" si="5"/>
        <v>8400</v>
      </c>
      <c r="F48" s="370">
        <f t="shared" si="6"/>
        <v>52.5</v>
      </c>
      <c r="G48" s="370">
        <f t="shared" si="7"/>
        <v>1.9047619047619047</v>
      </c>
      <c r="H48" s="370">
        <f t="shared" si="8"/>
        <v>97.56</v>
      </c>
    </row>
    <row r="49" spans="1:9" x14ac:dyDescent="0.25">
      <c r="A49" s="366">
        <v>360</v>
      </c>
      <c r="B49" s="367" t="s">
        <v>206</v>
      </c>
      <c r="C49" s="368">
        <v>4.54</v>
      </c>
      <c r="D49" s="369">
        <v>5351.6</v>
      </c>
      <c r="E49" s="364">
        <f t="shared" si="5"/>
        <v>9080</v>
      </c>
      <c r="F49" s="370">
        <f t="shared" si="6"/>
        <v>56.75</v>
      </c>
      <c r="G49" s="370">
        <f t="shared" si="7"/>
        <v>1.7621145374449338</v>
      </c>
      <c r="H49" s="370">
        <f t="shared" si="8"/>
        <v>90.197500000000005</v>
      </c>
    </row>
    <row r="50" spans="1:9" x14ac:dyDescent="0.25">
      <c r="A50" s="84">
        <v>1440</v>
      </c>
      <c r="B50" s="367" t="s">
        <v>206</v>
      </c>
      <c r="C50" s="370">
        <v>4.6900000000000004</v>
      </c>
      <c r="D50" s="364">
        <v>1295.4000000000001</v>
      </c>
      <c r="E50" s="364">
        <f t="shared" ref="E50" si="9">C50*2000</f>
        <v>9380</v>
      </c>
      <c r="F50" s="370">
        <f t="shared" ref="F50" si="10">(E50*0.25)/40</f>
        <v>58.625</v>
      </c>
      <c r="G50" s="370">
        <f t="shared" ref="G50" si="11">100/F50</f>
        <v>1.7057569296375266</v>
      </c>
      <c r="H50" s="370">
        <f t="shared" si="8"/>
        <v>66.721249999999998</v>
      </c>
    </row>
    <row r="52" spans="1:9" x14ac:dyDescent="0.25">
      <c r="A52" s="363" t="s">
        <v>323</v>
      </c>
    </row>
    <row r="53" spans="1:9" ht="34.5" x14ac:dyDescent="0.35">
      <c r="A53" s="84" t="s">
        <v>12</v>
      </c>
      <c r="B53" s="84" t="s">
        <v>204</v>
      </c>
      <c r="C53" s="84" t="s">
        <v>314</v>
      </c>
      <c r="D53" s="84" t="s">
        <v>313</v>
      </c>
      <c r="E53" s="84" t="s">
        <v>316</v>
      </c>
      <c r="F53" s="359" t="s">
        <v>317</v>
      </c>
      <c r="G53" s="359" t="s">
        <v>320</v>
      </c>
    </row>
    <row r="54" spans="1:9" x14ac:dyDescent="0.25">
      <c r="A54" s="84" t="s">
        <v>315</v>
      </c>
      <c r="C54" s="84" t="s">
        <v>312</v>
      </c>
      <c r="D54" s="84" t="s">
        <v>312</v>
      </c>
      <c r="E54" s="84" t="s">
        <v>312</v>
      </c>
      <c r="F54" s="84" t="s">
        <v>312</v>
      </c>
      <c r="G54" s="84" t="s">
        <v>321</v>
      </c>
      <c r="I54" s="371" t="s">
        <v>327</v>
      </c>
    </row>
    <row r="55" spans="1:9" x14ac:dyDescent="0.25">
      <c r="A55" s="366">
        <v>5</v>
      </c>
      <c r="B55" s="367" t="s">
        <v>206</v>
      </c>
      <c r="C55" s="368">
        <v>0.95</v>
      </c>
      <c r="D55" s="364" t="s">
        <v>322</v>
      </c>
      <c r="E55" s="369">
        <f t="shared" ref="E55:E66" si="12">C55*2000</f>
        <v>1900</v>
      </c>
      <c r="F55" s="370">
        <f>(E55*0.25)/40</f>
        <v>11.875</v>
      </c>
      <c r="G55" s="370">
        <f>100/F55</f>
        <v>8.4210526315789469</v>
      </c>
    </row>
    <row r="56" spans="1:9" x14ac:dyDescent="0.25">
      <c r="A56" s="366">
        <v>10</v>
      </c>
      <c r="B56" s="367" t="s">
        <v>206</v>
      </c>
      <c r="C56" s="368">
        <v>1.59</v>
      </c>
      <c r="D56" s="364" t="s">
        <v>322</v>
      </c>
      <c r="E56" s="369">
        <f t="shared" si="12"/>
        <v>3180</v>
      </c>
      <c r="F56" s="370">
        <f t="shared" ref="F56:F67" si="13">(E56*0.25)/40</f>
        <v>19.875</v>
      </c>
      <c r="G56" s="370">
        <f t="shared" ref="G56:G67" si="14">100/F56</f>
        <v>5.0314465408805029</v>
      </c>
    </row>
    <row r="57" spans="1:9" x14ac:dyDescent="0.25">
      <c r="A57" s="366">
        <v>15</v>
      </c>
      <c r="B57" s="367" t="s">
        <v>206</v>
      </c>
      <c r="C57" s="368">
        <v>2.0299999999999998</v>
      </c>
      <c r="D57" s="364" t="s">
        <v>322</v>
      </c>
      <c r="E57" s="369">
        <f t="shared" si="12"/>
        <v>4059.9999999999995</v>
      </c>
      <c r="F57" s="370">
        <f t="shared" si="13"/>
        <v>25.374999999999996</v>
      </c>
      <c r="G57" s="370">
        <f t="shared" si="14"/>
        <v>3.9408866995073897</v>
      </c>
    </row>
    <row r="58" spans="1:9" x14ac:dyDescent="0.25">
      <c r="A58" s="366">
        <v>30</v>
      </c>
      <c r="B58" s="367" t="s">
        <v>206</v>
      </c>
      <c r="C58" s="368">
        <v>2.69</v>
      </c>
      <c r="D58" s="364" t="s">
        <v>322</v>
      </c>
      <c r="E58" s="369">
        <f t="shared" si="12"/>
        <v>5380</v>
      </c>
      <c r="F58" s="370">
        <f t="shared" si="13"/>
        <v>33.625</v>
      </c>
      <c r="G58" s="370">
        <f t="shared" si="14"/>
        <v>2.9739776951672861</v>
      </c>
    </row>
    <row r="59" spans="1:9" x14ac:dyDescent="0.25">
      <c r="A59" s="366">
        <v>45</v>
      </c>
      <c r="B59" s="367" t="s">
        <v>206</v>
      </c>
      <c r="C59" s="368">
        <v>3.14</v>
      </c>
      <c r="D59" s="364" t="s">
        <v>322</v>
      </c>
      <c r="E59" s="369">
        <f t="shared" si="12"/>
        <v>6280</v>
      </c>
      <c r="F59" s="370">
        <f t="shared" si="13"/>
        <v>39.25</v>
      </c>
      <c r="G59" s="370">
        <f t="shared" si="14"/>
        <v>2.5477707006369426</v>
      </c>
    </row>
    <row r="60" spans="1:9" x14ac:dyDescent="0.25">
      <c r="A60" s="366">
        <v>60</v>
      </c>
      <c r="B60" s="367" t="s">
        <v>206</v>
      </c>
      <c r="C60" s="368">
        <v>3.6</v>
      </c>
      <c r="D60" s="364" t="s">
        <v>322</v>
      </c>
      <c r="E60" s="369">
        <f t="shared" si="12"/>
        <v>7200</v>
      </c>
      <c r="F60" s="370">
        <f t="shared" si="13"/>
        <v>45</v>
      </c>
      <c r="G60" s="370">
        <f t="shared" si="14"/>
        <v>2.2222222222222223</v>
      </c>
    </row>
    <row r="61" spans="1:9" x14ac:dyDescent="0.25">
      <c r="A61" s="366">
        <v>75</v>
      </c>
      <c r="B61" s="367" t="s">
        <v>206</v>
      </c>
      <c r="C61" s="368">
        <v>3.62</v>
      </c>
      <c r="D61" s="364" t="s">
        <v>322</v>
      </c>
      <c r="E61" s="369">
        <f t="shared" si="12"/>
        <v>7240</v>
      </c>
      <c r="F61" s="370">
        <f t="shared" si="13"/>
        <v>45.25</v>
      </c>
      <c r="G61" s="370">
        <f t="shared" si="14"/>
        <v>2.2099447513812156</v>
      </c>
    </row>
    <row r="62" spans="1:9" x14ac:dyDescent="0.25">
      <c r="A62" s="366">
        <v>90</v>
      </c>
      <c r="B62" s="367" t="s">
        <v>206</v>
      </c>
      <c r="C62" s="368">
        <v>3.87</v>
      </c>
      <c r="D62" s="364" t="s">
        <v>322</v>
      </c>
      <c r="E62" s="369">
        <f t="shared" si="12"/>
        <v>7740</v>
      </c>
      <c r="F62" s="370">
        <f t="shared" si="13"/>
        <v>48.375</v>
      </c>
      <c r="G62" s="370">
        <f t="shared" si="14"/>
        <v>2.0671834625322996</v>
      </c>
    </row>
    <row r="63" spans="1:9" x14ac:dyDescent="0.25">
      <c r="A63" s="366">
        <v>120</v>
      </c>
      <c r="B63" s="367" t="s">
        <v>206</v>
      </c>
      <c r="C63" s="368">
        <v>3.63</v>
      </c>
      <c r="D63" s="364" t="s">
        <v>322</v>
      </c>
      <c r="E63" s="369">
        <f t="shared" si="12"/>
        <v>7260</v>
      </c>
      <c r="F63" s="370">
        <f t="shared" si="13"/>
        <v>45.375</v>
      </c>
      <c r="G63" s="370">
        <f t="shared" si="14"/>
        <v>2.2038567493112948</v>
      </c>
    </row>
    <row r="64" spans="1:9" x14ac:dyDescent="0.25">
      <c r="A64" s="366">
        <v>180</v>
      </c>
      <c r="B64" s="367" t="s">
        <v>206</v>
      </c>
      <c r="C64" s="368">
        <v>4.3600000000000003</v>
      </c>
      <c r="D64" s="364" t="s">
        <v>322</v>
      </c>
      <c r="E64" s="369">
        <f t="shared" si="12"/>
        <v>8720</v>
      </c>
      <c r="F64" s="370">
        <f t="shared" si="13"/>
        <v>54.5</v>
      </c>
      <c r="G64" s="370">
        <f t="shared" si="14"/>
        <v>1.834862385321101</v>
      </c>
    </row>
    <row r="65" spans="1:9" x14ac:dyDescent="0.25">
      <c r="A65" s="366">
        <v>240</v>
      </c>
      <c r="B65" s="367" t="s">
        <v>206</v>
      </c>
      <c r="C65" s="368">
        <v>4.6399999999999997</v>
      </c>
      <c r="D65" s="364" t="s">
        <v>322</v>
      </c>
      <c r="E65" s="369">
        <f t="shared" si="12"/>
        <v>9280</v>
      </c>
      <c r="F65" s="370">
        <f t="shared" si="13"/>
        <v>58</v>
      </c>
      <c r="G65" s="370">
        <f t="shared" si="14"/>
        <v>1.7241379310344827</v>
      </c>
    </row>
    <row r="66" spans="1:9" x14ac:dyDescent="0.25">
      <c r="A66" s="366">
        <v>360</v>
      </c>
      <c r="B66" s="367" t="s">
        <v>206</v>
      </c>
      <c r="C66" s="368">
        <v>4.95</v>
      </c>
      <c r="D66" s="364" t="s">
        <v>322</v>
      </c>
      <c r="E66" s="364">
        <f t="shared" si="12"/>
        <v>9900</v>
      </c>
      <c r="F66" s="370">
        <f t="shared" si="13"/>
        <v>61.875</v>
      </c>
      <c r="G66" s="370">
        <f t="shared" si="14"/>
        <v>1.6161616161616161</v>
      </c>
    </row>
    <row r="67" spans="1:9" x14ac:dyDescent="0.25">
      <c r="A67" s="84">
        <v>1440</v>
      </c>
      <c r="B67" s="367" t="s">
        <v>325</v>
      </c>
      <c r="C67" s="370">
        <v>2.2799999999999998</v>
      </c>
      <c r="D67" s="364" t="s">
        <v>322</v>
      </c>
      <c r="E67" s="364">
        <f>C67*4000</f>
        <v>9120</v>
      </c>
      <c r="F67" s="370">
        <f t="shared" si="13"/>
        <v>57</v>
      </c>
      <c r="G67" s="370">
        <f t="shared" si="14"/>
        <v>1.7543859649122806</v>
      </c>
    </row>
    <row r="69" spans="1:9" x14ac:dyDescent="0.25">
      <c r="A69" s="363" t="s">
        <v>326</v>
      </c>
    </row>
    <row r="70" spans="1:9" ht="64.5" x14ac:dyDescent="0.35">
      <c r="A70" s="84" t="s">
        <v>12</v>
      </c>
      <c r="B70" s="84" t="s">
        <v>204</v>
      </c>
      <c r="C70" s="84" t="s">
        <v>314</v>
      </c>
      <c r="D70" s="84" t="s">
        <v>313</v>
      </c>
      <c r="E70" s="84" t="s">
        <v>316</v>
      </c>
      <c r="F70" s="359" t="s">
        <v>317</v>
      </c>
      <c r="G70" s="359" t="s">
        <v>320</v>
      </c>
      <c r="H70" s="359" t="s">
        <v>324</v>
      </c>
    </row>
    <row r="71" spans="1:9" x14ac:dyDescent="0.25">
      <c r="A71" s="84" t="s">
        <v>315</v>
      </c>
      <c r="C71" s="84" t="s">
        <v>312</v>
      </c>
      <c r="D71" s="84" t="s">
        <v>312</v>
      </c>
      <c r="E71" s="84" t="s">
        <v>312</v>
      </c>
      <c r="F71" s="84" t="s">
        <v>312</v>
      </c>
      <c r="G71" s="84" t="s">
        <v>321</v>
      </c>
      <c r="H71" s="84" t="s">
        <v>312</v>
      </c>
    </row>
    <row r="72" spans="1:9" x14ac:dyDescent="0.25">
      <c r="A72" s="366">
        <v>5</v>
      </c>
      <c r="B72" s="367" t="s">
        <v>206</v>
      </c>
      <c r="C72" s="368">
        <v>1.1299999999999999</v>
      </c>
      <c r="D72" s="364">
        <v>20367.899999999998</v>
      </c>
      <c r="E72" s="369">
        <f t="shared" ref="E72:E84" si="15">C72*2000</f>
        <v>2260</v>
      </c>
      <c r="F72" s="370">
        <f>(E72*0.25)/40</f>
        <v>14.125</v>
      </c>
      <c r="G72" s="370">
        <f>100/F72</f>
        <v>7.0796460176991154</v>
      </c>
      <c r="H72" s="370">
        <f>((D72+E72)*0.25)/40</f>
        <v>141.424375</v>
      </c>
      <c r="I72" s="371" t="s">
        <v>327</v>
      </c>
    </row>
    <row r="73" spans="1:9" x14ac:dyDescent="0.25">
      <c r="A73" s="366">
        <v>10</v>
      </c>
      <c r="B73" s="367" t="s">
        <v>206</v>
      </c>
      <c r="C73" s="368">
        <v>1.77</v>
      </c>
      <c r="D73" s="364">
        <v>17782.2</v>
      </c>
      <c r="E73" s="369">
        <f t="shared" si="15"/>
        <v>3540</v>
      </c>
      <c r="F73" s="370">
        <f t="shared" ref="F73:F84" si="16">(E73*0.25)/40</f>
        <v>22.125</v>
      </c>
      <c r="G73" s="370">
        <f t="shared" ref="G73:G84" si="17">100/F73</f>
        <v>4.5197740112994351</v>
      </c>
      <c r="H73" s="370">
        <f t="shared" ref="H73:H84" si="18">((D73+E73)*0.25)/40</f>
        <v>133.26375000000002</v>
      </c>
    </row>
    <row r="74" spans="1:9" x14ac:dyDescent="0.25">
      <c r="A74" s="366">
        <v>15</v>
      </c>
      <c r="B74" s="367" t="s">
        <v>206</v>
      </c>
      <c r="C74" s="368">
        <v>2.17</v>
      </c>
      <c r="D74" s="364">
        <v>16035.499999999998</v>
      </c>
      <c r="E74" s="369">
        <f t="shared" si="15"/>
        <v>4340</v>
      </c>
      <c r="F74" s="370">
        <f t="shared" si="16"/>
        <v>27.125</v>
      </c>
      <c r="G74" s="370">
        <f t="shared" si="17"/>
        <v>3.6866359447004609</v>
      </c>
      <c r="H74" s="370">
        <f t="shared" si="18"/>
        <v>127.346875</v>
      </c>
    </row>
    <row r="75" spans="1:9" x14ac:dyDescent="0.25">
      <c r="A75" s="366">
        <v>30</v>
      </c>
      <c r="B75" s="367" t="s">
        <v>206</v>
      </c>
      <c r="C75" s="368">
        <v>3.1</v>
      </c>
      <c r="D75" s="364">
        <v>12158</v>
      </c>
      <c r="E75" s="369">
        <f t="shared" si="15"/>
        <v>6200</v>
      </c>
      <c r="F75" s="370">
        <f t="shared" si="16"/>
        <v>38.75</v>
      </c>
      <c r="G75" s="370">
        <f t="shared" si="17"/>
        <v>2.5806451612903225</v>
      </c>
      <c r="H75" s="370">
        <f t="shared" si="18"/>
        <v>114.7375</v>
      </c>
    </row>
    <row r="76" spans="1:9" x14ac:dyDescent="0.25">
      <c r="A76" s="366">
        <v>45</v>
      </c>
      <c r="B76" s="367" t="s">
        <v>206</v>
      </c>
      <c r="C76" s="368">
        <v>3.49</v>
      </c>
      <c r="D76" s="364">
        <v>10252.9</v>
      </c>
      <c r="E76" s="369">
        <f t="shared" si="15"/>
        <v>6980</v>
      </c>
      <c r="F76" s="370">
        <f t="shared" si="16"/>
        <v>43.625</v>
      </c>
      <c r="G76" s="370">
        <f t="shared" si="17"/>
        <v>2.2922636103151861</v>
      </c>
      <c r="H76" s="370">
        <f t="shared" si="18"/>
        <v>107.70562500000001</v>
      </c>
    </row>
    <row r="77" spans="1:9" x14ac:dyDescent="0.25">
      <c r="A77" s="366">
        <v>60</v>
      </c>
      <c r="B77" s="367" t="s">
        <v>206</v>
      </c>
      <c r="C77" s="368">
        <v>3.69</v>
      </c>
      <c r="D77" s="364">
        <v>8763.2999999999993</v>
      </c>
      <c r="E77" s="369">
        <f t="shared" si="15"/>
        <v>7380</v>
      </c>
      <c r="F77" s="370">
        <f t="shared" si="16"/>
        <v>46.125</v>
      </c>
      <c r="G77" s="370">
        <f t="shared" si="17"/>
        <v>2.168021680216802</v>
      </c>
      <c r="H77" s="370">
        <f t="shared" si="18"/>
        <v>100.895625</v>
      </c>
    </row>
    <row r="78" spans="1:9" x14ac:dyDescent="0.25">
      <c r="A78" s="366">
        <v>75</v>
      </c>
      <c r="B78" s="367" t="s">
        <v>206</v>
      </c>
      <c r="C78" s="368">
        <v>3.99</v>
      </c>
      <c r="D78" s="364">
        <v>7677.5</v>
      </c>
      <c r="E78" s="369">
        <f t="shared" si="15"/>
        <v>7980</v>
      </c>
      <c r="F78" s="370">
        <f t="shared" si="16"/>
        <v>49.875</v>
      </c>
      <c r="G78" s="370">
        <f t="shared" si="17"/>
        <v>2.0050125313283207</v>
      </c>
      <c r="H78" s="370">
        <f t="shared" si="18"/>
        <v>97.859375</v>
      </c>
    </row>
    <row r="79" spans="1:9" x14ac:dyDescent="0.25">
      <c r="A79" s="366">
        <v>90</v>
      </c>
      <c r="B79" s="367" t="s">
        <v>206</v>
      </c>
      <c r="C79" s="368">
        <v>3.66</v>
      </c>
      <c r="D79" s="364">
        <v>8658.0999999999985</v>
      </c>
      <c r="E79" s="369">
        <f t="shared" si="15"/>
        <v>7320</v>
      </c>
      <c r="F79" s="370">
        <f t="shared" si="16"/>
        <v>45.75</v>
      </c>
      <c r="G79" s="370">
        <f t="shared" si="17"/>
        <v>2.1857923497267762</v>
      </c>
      <c r="H79" s="370">
        <f t="shared" si="18"/>
        <v>99.863124999999997</v>
      </c>
    </row>
    <row r="80" spans="1:9" x14ac:dyDescent="0.25">
      <c r="A80" s="366">
        <v>120</v>
      </c>
      <c r="B80" s="367" t="s">
        <v>206</v>
      </c>
      <c r="C80" s="368">
        <v>4.37</v>
      </c>
      <c r="D80" s="364">
        <v>5502.5</v>
      </c>
      <c r="E80" s="369">
        <f t="shared" si="15"/>
        <v>8740</v>
      </c>
      <c r="F80" s="370">
        <f t="shared" si="16"/>
        <v>54.625</v>
      </c>
      <c r="G80" s="370">
        <f t="shared" si="17"/>
        <v>1.8306636155606408</v>
      </c>
      <c r="H80" s="370">
        <f t="shared" si="18"/>
        <v>89.015625</v>
      </c>
    </row>
    <row r="81" spans="1:8" x14ac:dyDescent="0.25">
      <c r="A81" s="366">
        <v>180</v>
      </c>
      <c r="B81" s="367" t="s">
        <v>206</v>
      </c>
      <c r="C81" s="368">
        <v>3.83</v>
      </c>
      <c r="D81" s="364">
        <v>4170.8</v>
      </c>
      <c r="E81" s="369">
        <f t="shared" si="15"/>
        <v>7660</v>
      </c>
      <c r="F81" s="370">
        <f t="shared" si="16"/>
        <v>47.875</v>
      </c>
      <c r="G81" s="370">
        <f t="shared" si="17"/>
        <v>2.0887728459530028</v>
      </c>
      <c r="H81" s="370">
        <f t="shared" si="18"/>
        <v>73.942499999999995</v>
      </c>
    </row>
    <row r="82" spans="1:8" x14ac:dyDescent="0.25">
      <c r="A82" s="366">
        <v>240</v>
      </c>
      <c r="B82" s="367" t="s">
        <v>206</v>
      </c>
      <c r="C82" s="368">
        <v>4.0199999999999996</v>
      </c>
      <c r="D82" s="364">
        <v>3054.3999999999996</v>
      </c>
      <c r="E82" s="369">
        <f t="shared" si="15"/>
        <v>8039.9999999999991</v>
      </c>
      <c r="F82" s="370">
        <f t="shared" si="16"/>
        <v>50.249999999999993</v>
      </c>
      <c r="G82" s="370">
        <f t="shared" si="17"/>
        <v>1.9900497512437814</v>
      </c>
      <c r="H82" s="370">
        <f t="shared" si="18"/>
        <v>69.339999999999989</v>
      </c>
    </row>
    <row r="83" spans="1:8" x14ac:dyDescent="0.25">
      <c r="A83" s="366">
        <v>360</v>
      </c>
      <c r="B83" s="367" t="s">
        <v>206</v>
      </c>
      <c r="C83" s="368">
        <v>4.12</v>
      </c>
      <c r="D83" s="364">
        <v>2459.1</v>
      </c>
      <c r="E83" s="364">
        <f t="shared" si="15"/>
        <v>8240</v>
      </c>
      <c r="F83" s="370">
        <f t="shared" si="16"/>
        <v>51.5</v>
      </c>
      <c r="G83" s="370">
        <f t="shared" si="17"/>
        <v>1.941747572815534</v>
      </c>
      <c r="H83" s="370">
        <f t="shared" si="18"/>
        <v>66.869375000000005</v>
      </c>
    </row>
    <row r="84" spans="1:8" x14ac:dyDescent="0.25">
      <c r="A84" s="84">
        <v>1440</v>
      </c>
      <c r="B84" s="367" t="s">
        <v>206</v>
      </c>
      <c r="C84" s="370">
        <v>4.3</v>
      </c>
      <c r="D84" s="84">
        <v>214.79999999999998</v>
      </c>
      <c r="E84" s="364">
        <f t="shared" si="15"/>
        <v>8600</v>
      </c>
      <c r="F84" s="370">
        <f t="shared" si="16"/>
        <v>53.75</v>
      </c>
      <c r="G84" s="370">
        <f t="shared" si="17"/>
        <v>1.8604651162790697</v>
      </c>
      <c r="H84" s="370">
        <f t="shared" si="18"/>
        <v>55.092499999999994</v>
      </c>
    </row>
    <row r="87" spans="1:8" s="372" customFormat="1" x14ac:dyDescent="0.25">
      <c r="A87" s="372" t="s">
        <v>411</v>
      </c>
    </row>
    <row r="88" spans="1:8" s="372" customFormat="1" ht="46.5" x14ac:dyDescent="0.35">
      <c r="A88" s="372" t="s">
        <v>12</v>
      </c>
      <c r="B88" s="372" t="s">
        <v>412</v>
      </c>
      <c r="C88" s="377" t="s">
        <v>536</v>
      </c>
      <c r="D88" s="372" t="s">
        <v>413</v>
      </c>
      <c r="E88" s="377" t="s">
        <v>537</v>
      </c>
    </row>
    <row r="89" spans="1:8" s="372" customFormat="1" x14ac:dyDescent="0.25">
      <c r="A89" s="372" t="s">
        <v>315</v>
      </c>
      <c r="B89" s="372" t="s">
        <v>312</v>
      </c>
      <c r="C89" s="372" t="s">
        <v>312</v>
      </c>
      <c r="D89" s="372" t="s">
        <v>414</v>
      </c>
      <c r="E89" s="372" t="s">
        <v>312</v>
      </c>
    </row>
    <row r="90" spans="1:8" x14ac:dyDescent="0.25">
      <c r="A90" s="366">
        <v>5</v>
      </c>
      <c r="B90" s="364">
        <f>AVERAGE(E38,E55,E72)</f>
        <v>1786.6666666666667</v>
      </c>
      <c r="C90" s="361">
        <f>STDEV(E38,E55,E72)</f>
        <v>539.01144081859059</v>
      </c>
      <c r="D90" s="364">
        <f>AVERAGE(D38,D72)</f>
        <v>21541.15</v>
      </c>
      <c r="E90" s="361">
        <f>STDEV(D38,D72)</f>
        <v>1659.2260620542363</v>
      </c>
    </row>
    <row r="91" spans="1:8" x14ac:dyDescent="0.25">
      <c r="A91" s="366">
        <v>10</v>
      </c>
      <c r="B91" s="364">
        <f t="shared" ref="B91:B102" si="19">AVERAGE(E39,E56,E73)</f>
        <v>2960</v>
      </c>
      <c r="C91" s="361">
        <f t="shared" ref="C91:C102" si="20">STDEV(E39,E56,E73)</f>
        <v>715.82120672693122</v>
      </c>
      <c r="D91" s="364">
        <f t="shared" ref="D91:D102" si="21">AVERAGE(D39,D73)</f>
        <v>19272.599999999999</v>
      </c>
      <c r="E91" s="361">
        <f t="shared" ref="E91:E102" si="22">STDEV(D39,D73)</f>
        <v>2107.7438933608605</v>
      </c>
    </row>
    <row r="92" spans="1:8" x14ac:dyDescent="0.25">
      <c r="A92" s="366">
        <v>15</v>
      </c>
      <c r="B92" s="364">
        <f t="shared" si="19"/>
        <v>3760</v>
      </c>
      <c r="C92" s="361">
        <f t="shared" si="20"/>
        <v>774.8548251124206</v>
      </c>
      <c r="D92" s="364">
        <f t="shared" si="21"/>
        <v>17505.25</v>
      </c>
      <c r="E92" s="361">
        <f t="shared" si="22"/>
        <v>2078.5403832978577</v>
      </c>
    </row>
    <row r="93" spans="1:8" x14ac:dyDescent="0.25">
      <c r="A93" s="366">
        <v>30</v>
      </c>
      <c r="B93" s="364">
        <f t="shared" si="19"/>
        <v>5406.666666666667</v>
      </c>
      <c r="C93" s="361">
        <f t="shared" si="20"/>
        <v>780.34180545023719</v>
      </c>
      <c r="D93" s="364">
        <f t="shared" si="21"/>
        <v>14116.4</v>
      </c>
      <c r="E93" s="361">
        <f t="shared" si="22"/>
        <v>2769.5958405514702</v>
      </c>
    </row>
    <row r="94" spans="1:8" x14ac:dyDescent="0.25">
      <c r="A94" s="366">
        <v>45</v>
      </c>
      <c r="B94" s="364">
        <f t="shared" si="19"/>
        <v>6233.333333333333</v>
      </c>
      <c r="C94" s="361">
        <f t="shared" si="20"/>
        <v>771.05987662005589</v>
      </c>
      <c r="D94" s="364">
        <f t="shared" si="21"/>
        <v>11785.45</v>
      </c>
      <c r="E94" s="361">
        <f t="shared" si="22"/>
        <v>2167.3529950148718</v>
      </c>
    </row>
    <row r="95" spans="1:8" x14ac:dyDescent="0.25">
      <c r="A95" s="366">
        <v>60</v>
      </c>
      <c r="B95" s="364">
        <f t="shared" si="19"/>
        <v>6806.666666666667</v>
      </c>
      <c r="C95" s="361">
        <f t="shared" si="20"/>
        <v>841.98178919340546</v>
      </c>
      <c r="D95" s="364">
        <f t="shared" si="21"/>
        <v>10362.049999999999</v>
      </c>
      <c r="E95" s="361">
        <f t="shared" si="22"/>
        <v>2260.9739328439923</v>
      </c>
    </row>
    <row r="96" spans="1:8" x14ac:dyDescent="0.25">
      <c r="A96" s="366">
        <v>75</v>
      </c>
      <c r="B96" s="364">
        <f t="shared" si="19"/>
        <v>7293.333333333333</v>
      </c>
      <c r="C96" s="361">
        <f t="shared" si="20"/>
        <v>661.6141876753652</v>
      </c>
      <c r="D96" s="364">
        <f t="shared" si="21"/>
        <v>9615.75</v>
      </c>
      <c r="E96" s="361">
        <f t="shared" si="22"/>
        <v>2741.0994372696514</v>
      </c>
    </row>
    <row r="97" spans="1:13" x14ac:dyDescent="0.25">
      <c r="A97" s="366">
        <v>90</v>
      </c>
      <c r="B97" s="364">
        <f t="shared" si="19"/>
        <v>7326.666666666667</v>
      </c>
      <c r="C97" s="361">
        <f t="shared" si="20"/>
        <v>410.04064839151414</v>
      </c>
      <c r="D97" s="364">
        <f t="shared" si="21"/>
        <v>9589.75</v>
      </c>
      <c r="E97" s="361">
        <f t="shared" si="22"/>
        <v>1317.5520653848948</v>
      </c>
    </row>
    <row r="98" spans="1:13" x14ac:dyDescent="0.25">
      <c r="A98" s="366">
        <v>120</v>
      </c>
      <c r="B98" s="364">
        <f t="shared" si="19"/>
        <v>7940</v>
      </c>
      <c r="C98" s="361">
        <f t="shared" si="20"/>
        <v>747.26166769077622</v>
      </c>
      <c r="D98" s="364">
        <f t="shared" si="21"/>
        <v>7261.05</v>
      </c>
      <c r="E98" s="361">
        <f t="shared" si="22"/>
        <v>2486.9652601112089</v>
      </c>
    </row>
    <row r="99" spans="1:13" x14ac:dyDescent="0.25">
      <c r="A99" s="366">
        <v>180</v>
      </c>
      <c r="B99" s="364">
        <f t="shared" si="19"/>
        <v>8133.333333333333</v>
      </c>
      <c r="C99" s="361">
        <f t="shared" si="20"/>
        <v>539.01144081859093</v>
      </c>
      <c r="D99" s="364">
        <f t="shared" si="21"/>
        <v>5485.6</v>
      </c>
      <c r="E99" s="361">
        <f t="shared" si="22"/>
        <v>1859.4079918081429</v>
      </c>
    </row>
    <row r="100" spans="1:13" x14ac:dyDescent="0.25">
      <c r="A100" s="366">
        <v>240</v>
      </c>
      <c r="B100" s="364">
        <f t="shared" si="19"/>
        <v>8573.3333333333339</v>
      </c>
      <c r="C100" s="361">
        <f t="shared" si="20"/>
        <v>637.91326474163702</v>
      </c>
      <c r="D100" s="364">
        <f t="shared" si="21"/>
        <v>5132</v>
      </c>
      <c r="E100" s="361">
        <f t="shared" si="22"/>
        <v>2938.1700971863429</v>
      </c>
    </row>
    <row r="101" spans="1:13" x14ac:dyDescent="0.25">
      <c r="A101" s="366">
        <v>360</v>
      </c>
      <c r="B101" s="364">
        <f t="shared" si="19"/>
        <v>9073.3333333333339</v>
      </c>
      <c r="C101" s="361">
        <f t="shared" si="20"/>
        <v>830.02008007838776</v>
      </c>
      <c r="D101" s="364">
        <f t="shared" si="21"/>
        <v>3905.3500000000004</v>
      </c>
      <c r="E101" s="361">
        <f t="shared" si="22"/>
        <v>2045.3063645820887</v>
      </c>
    </row>
    <row r="102" spans="1:13" x14ac:dyDescent="0.25">
      <c r="A102" s="84">
        <v>1440</v>
      </c>
      <c r="B102" s="364">
        <f t="shared" si="19"/>
        <v>9033.3333333333339</v>
      </c>
      <c r="C102" s="361">
        <f t="shared" si="20"/>
        <v>397.15656022950617</v>
      </c>
      <c r="D102" s="364">
        <f t="shared" si="21"/>
        <v>755.1</v>
      </c>
      <c r="E102" s="361">
        <f t="shared" si="22"/>
        <v>764.09958775018333</v>
      </c>
    </row>
    <row r="104" spans="1:13" x14ac:dyDescent="0.25">
      <c r="A104" s="372" t="s">
        <v>411</v>
      </c>
      <c r="B104" s="372"/>
    </row>
    <row r="105" spans="1:13" ht="45" x14ac:dyDescent="0.25">
      <c r="A105" s="249" t="s">
        <v>12</v>
      </c>
      <c r="B105" s="373" t="s">
        <v>416</v>
      </c>
      <c r="C105" s="373" t="s">
        <v>415</v>
      </c>
      <c r="D105" s="373" t="s">
        <v>320</v>
      </c>
      <c r="J105" s="249" t="s">
        <v>12</v>
      </c>
      <c r="K105" s="373" t="s">
        <v>416</v>
      </c>
      <c r="L105" s="373" t="s">
        <v>510</v>
      </c>
      <c r="M105" s="373" t="s">
        <v>415</v>
      </c>
    </row>
    <row r="106" spans="1:13" x14ac:dyDescent="0.25">
      <c r="A106" s="249" t="s">
        <v>315</v>
      </c>
      <c r="B106" s="249" t="s">
        <v>312</v>
      </c>
      <c r="C106" s="249" t="s">
        <v>312</v>
      </c>
      <c r="D106" s="249" t="s">
        <v>321</v>
      </c>
      <c r="J106" s="249" t="s">
        <v>315</v>
      </c>
      <c r="K106" s="249" t="s">
        <v>312</v>
      </c>
      <c r="L106" s="249" t="s">
        <v>312</v>
      </c>
      <c r="M106" s="249" t="s">
        <v>312</v>
      </c>
    </row>
    <row r="107" spans="1:13" x14ac:dyDescent="0.25">
      <c r="A107" s="247">
        <f>A90</f>
        <v>5</v>
      </c>
      <c r="B107" s="374">
        <f>B90</f>
        <v>1786.6666666666667</v>
      </c>
      <c r="C107" s="375">
        <f>(B107*0.25)/40</f>
        <v>11.166666666666668</v>
      </c>
      <c r="D107" s="376">
        <f>100/C107</f>
        <v>8.9552238805970141</v>
      </c>
      <c r="J107" s="247">
        <v>5</v>
      </c>
      <c r="K107" s="374">
        <v>1786.6666666666667</v>
      </c>
      <c r="L107" s="374">
        <f>D90</f>
        <v>21541.15</v>
      </c>
      <c r="M107" s="374">
        <v>11.166666666666668</v>
      </c>
    </row>
    <row r="108" spans="1:13" x14ac:dyDescent="0.25">
      <c r="A108" s="247">
        <f t="shared" ref="A108:B108" si="23">A91</f>
        <v>10</v>
      </c>
      <c r="B108" s="374">
        <f t="shared" si="23"/>
        <v>2960</v>
      </c>
      <c r="C108" s="375">
        <f t="shared" ref="C108:C119" si="24">(B108*0.25)/40</f>
        <v>18.5</v>
      </c>
      <c r="D108" s="376">
        <f t="shared" ref="D108:D119" si="25">100/C108</f>
        <v>5.4054054054054053</v>
      </c>
      <c r="J108" s="247">
        <v>10</v>
      </c>
      <c r="K108" s="374">
        <v>2960</v>
      </c>
      <c r="L108" s="374">
        <f t="shared" ref="L108:L119" si="26">D91</f>
        <v>19272.599999999999</v>
      </c>
      <c r="M108" s="374">
        <v>18.5</v>
      </c>
    </row>
    <row r="109" spans="1:13" x14ac:dyDescent="0.25">
      <c r="A109" s="247">
        <f t="shared" ref="A109:B109" si="27">A92</f>
        <v>15</v>
      </c>
      <c r="B109" s="374">
        <f t="shared" si="27"/>
        <v>3760</v>
      </c>
      <c r="C109" s="375">
        <f t="shared" si="24"/>
        <v>23.5</v>
      </c>
      <c r="D109" s="376">
        <f t="shared" si="25"/>
        <v>4.2553191489361701</v>
      </c>
      <c r="J109" s="247">
        <v>15</v>
      </c>
      <c r="K109" s="374">
        <v>3760</v>
      </c>
      <c r="L109" s="374">
        <f t="shared" si="26"/>
        <v>17505.25</v>
      </c>
      <c r="M109" s="374">
        <v>23.5</v>
      </c>
    </row>
    <row r="110" spans="1:13" x14ac:dyDescent="0.25">
      <c r="A110" s="247">
        <f t="shared" ref="A110:B110" si="28">A93</f>
        <v>30</v>
      </c>
      <c r="B110" s="374">
        <f t="shared" si="28"/>
        <v>5406.666666666667</v>
      </c>
      <c r="C110" s="375">
        <f t="shared" si="24"/>
        <v>33.791666666666671</v>
      </c>
      <c r="D110" s="376">
        <f t="shared" si="25"/>
        <v>2.9593094944512943</v>
      </c>
      <c r="J110" s="247">
        <v>30</v>
      </c>
      <c r="K110" s="374">
        <v>5406.666666666667</v>
      </c>
      <c r="L110" s="374">
        <f t="shared" si="26"/>
        <v>14116.4</v>
      </c>
      <c r="M110" s="374">
        <v>33.791666666666671</v>
      </c>
    </row>
    <row r="111" spans="1:13" x14ac:dyDescent="0.25">
      <c r="A111" s="247">
        <f t="shared" ref="A111:B111" si="29">A94</f>
        <v>45</v>
      </c>
      <c r="B111" s="374">
        <f t="shared" si="29"/>
        <v>6233.333333333333</v>
      </c>
      <c r="C111" s="375">
        <f t="shared" si="24"/>
        <v>38.958333333333329</v>
      </c>
      <c r="D111" s="376">
        <f t="shared" si="25"/>
        <v>2.5668449197860967</v>
      </c>
      <c r="J111" s="247">
        <v>45</v>
      </c>
      <c r="K111" s="374">
        <v>6233.333333333333</v>
      </c>
      <c r="L111" s="374">
        <f t="shared" si="26"/>
        <v>11785.45</v>
      </c>
      <c r="M111" s="374">
        <v>38.958333333333329</v>
      </c>
    </row>
    <row r="112" spans="1:13" x14ac:dyDescent="0.25">
      <c r="A112" s="247">
        <f t="shared" ref="A112:B112" si="30">A95</f>
        <v>60</v>
      </c>
      <c r="B112" s="374">
        <f t="shared" si="30"/>
        <v>6806.666666666667</v>
      </c>
      <c r="C112" s="375">
        <f t="shared" si="24"/>
        <v>42.541666666666671</v>
      </c>
      <c r="D112" s="376">
        <f t="shared" si="25"/>
        <v>2.3506366307541624</v>
      </c>
      <c r="J112" s="247">
        <v>60</v>
      </c>
      <c r="K112" s="374">
        <v>6806.666666666667</v>
      </c>
      <c r="L112" s="374">
        <f t="shared" si="26"/>
        <v>10362.049999999999</v>
      </c>
      <c r="M112" s="374">
        <v>42.541666666666671</v>
      </c>
    </row>
    <row r="113" spans="1:13" x14ac:dyDescent="0.25">
      <c r="A113" s="247">
        <f t="shared" ref="A113:B113" si="31">A96</f>
        <v>75</v>
      </c>
      <c r="B113" s="374">
        <f t="shared" si="31"/>
        <v>7293.333333333333</v>
      </c>
      <c r="C113" s="375">
        <f t="shared" si="24"/>
        <v>45.583333333333329</v>
      </c>
      <c r="D113" s="376">
        <f t="shared" si="25"/>
        <v>2.1937842778793422</v>
      </c>
      <c r="J113" s="247">
        <v>75</v>
      </c>
      <c r="K113" s="374">
        <v>7293.333333333333</v>
      </c>
      <c r="L113" s="374">
        <f t="shared" si="26"/>
        <v>9615.75</v>
      </c>
      <c r="M113" s="374">
        <v>45.583333333333329</v>
      </c>
    </row>
    <row r="114" spans="1:13" x14ac:dyDescent="0.25">
      <c r="A114" s="247">
        <f t="shared" ref="A114:B114" si="32">A97</f>
        <v>90</v>
      </c>
      <c r="B114" s="374">
        <f t="shared" si="32"/>
        <v>7326.666666666667</v>
      </c>
      <c r="C114" s="375">
        <f t="shared" si="24"/>
        <v>45.791666666666671</v>
      </c>
      <c r="D114" s="376">
        <f t="shared" si="25"/>
        <v>2.1838034576888079</v>
      </c>
      <c r="J114" s="247">
        <v>90</v>
      </c>
      <c r="K114" s="374">
        <v>7326.666666666667</v>
      </c>
      <c r="L114" s="374">
        <f t="shared" si="26"/>
        <v>9589.75</v>
      </c>
      <c r="M114" s="374">
        <v>45.791666666666671</v>
      </c>
    </row>
    <row r="115" spans="1:13" x14ac:dyDescent="0.25">
      <c r="A115" s="247">
        <f t="shared" ref="A115:B115" si="33">A98</f>
        <v>120</v>
      </c>
      <c r="B115" s="374">
        <f t="shared" si="33"/>
        <v>7940</v>
      </c>
      <c r="C115" s="375">
        <f t="shared" si="24"/>
        <v>49.625</v>
      </c>
      <c r="D115" s="376">
        <f t="shared" si="25"/>
        <v>2.0151133501259446</v>
      </c>
      <c r="J115" s="247">
        <v>120</v>
      </c>
      <c r="K115" s="374">
        <v>7940</v>
      </c>
      <c r="L115" s="374">
        <f t="shared" si="26"/>
        <v>7261.05</v>
      </c>
      <c r="M115" s="374">
        <v>49.625</v>
      </c>
    </row>
    <row r="116" spans="1:13" x14ac:dyDescent="0.25">
      <c r="A116" s="247">
        <f t="shared" ref="A116:B116" si="34">A99</f>
        <v>180</v>
      </c>
      <c r="B116" s="374">
        <f t="shared" si="34"/>
        <v>8133.333333333333</v>
      </c>
      <c r="C116" s="375">
        <f t="shared" si="24"/>
        <v>50.833333333333329</v>
      </c>
      <c r="D116" s="376">
        <f t="shared" si="25"/>
        <v>1.9672131147540985</v>
      </c>
      <c r="J116" s="247">
        <v>180</v>
      </c>
      <c r="K116" s="374">
        <v>8133.333333333333</v>
      </c>
      <c r="L116" s="374">
        <f t="shared" si="26"/>
        <v>5485.6</v>
      </c>
      <c r="M116" s="374">
        <v>50.833333333333329</v>
      </c>
    </row>
    <row r="117" spans="1:13" x14ac:dyDescent="0.25">
      <c r="A117" s="247">
        <f t="shared" ref="A117:B117" si="35">A100</f>
        <v>240</v>
      </c>
      <c r="B117" s="374">
        <f t="shared" si="35"/>
        <v>8573.3333333333339</v>
      </c>
      <c r="C117" s="375">
        <f t="shared" si="24"/>
        <v>53.583333333333336</v>
      </c>
      <c r="D117" s="376">
        <f t="shared" si="25"/>
        <v>1.8662519440124417</v>
      </c>
      <c r="J117" s="247">
        <v>240</v>
      </c>
      <c r="K117" s="374">
        <v>8573.3333333333339</v>
      </c>
      <c r="L117" s="374">
        <f t="shared" si="26"/>
        <v>5132</v>
      </c>
      <c r="M117" s="374">
        <v>53.583333333333336</v>
      </c>
    </row>
    <row r="118" spans="1:13" x14ac:dyDescent="0.25">
      <c r="A118" s="247">
        <f t="shared" ref="A118:B118" si="36">A101</f>
        <v>360</v>
      </c>
      <c r="B118" s="374">
        <f t="shared" si="36"/>
        <v>9073.3333333333339</v>
      </c>
      <c r="C118" s="375">
        <f t="shared" si="24"/>
        <v>56.708333333333336</v>
      </c>
      <c r="D118" s="376">
        <f t="shared" si="25"/>
        <v>1.7634092578986038</v>
      </c>
      <c r="J118" s="247">
        <v>360</v>
      </c>
      <c r="K118" s="374">
        <v>9073.3333333333339</v>
      </c>
      <c r="L118" s="374">
        <f t="shared" si="26"/>
        <v>3905.3500000000004</v>
      </c>
      <c r="M118" s="374">
        <v>56.708333333333336</v>
      </c>
    </row>
    <row r="119" spans="1:13" x14ac:dyDescent="0.25">
      <c r="A119" s="247">
        <f t="shared" ref="A119:B119" si="37">A102</f>
        <v>1440</v>
      </c>
      <c r="B119" s="374">
        <f t="shared" si="37"/>
        <v>9033.3333333333339</v>
      </c>
      <c r="C119" s="375">
        <f t="shared" si="24"/>
        <v>56.458333333333336</v>
      </c>
      <c r="D119" s="376">
        <f t="shared" si="25"/>
        <v>1.7712177121771218</v>
      </c>
      <c r="J119" s="247">
        <v>1440</v>
      </c>
      <c r="K119" s="374">
        <v>9033.3333333333339</v>
      </c>
      <c r="L119" s="374">
        <f t="shared" si="26"/>
        <v>755.1</v>
      </c>
      <c r="M119" s="374">
        <v>56.458333333333336</v>
      </c>
    </row>
    <row r="120" spans="1:13" x14ac:dyDescent="0.25">
      <c r="B120" s="364"/>
      <c r="K120" s="369"/>
      <c r="L120" s="369"/>
    </row>
    <row r="121" spans="1:13" x14ac:dyDescent="0.25">
      <c r="B121" s="364"/>
    </row>
    <row r="122" spans="1:13" x14ac:dyDescent="0.25">
      <c r="A122" s="371" t="s">
        <v>456</v>
      </c>
      <c r="B122" s="364"/>
    </row>
    <row r="123" spans="1:13" x14ac:dyDescent="0.25">
      <c r="A123" s="371" t="s">
        <v>455</v>
      </c>
    </row>
    <row r="125" spans="1:13" x14ac:dyDescent="0.25">
      <c r="E125" s="371"/>
      <c r="F125" s="84" t="s">
        <v>457</v>
      </c>
    </row>
    <row r="126" spans="1:13" x14ac:dyDescent="0.25">
      <c r="E126" s="371" t="s">
        <v>458</v>
      </c>
    </row>
  </sheetData>
  <mergeCells count="4">
    <mergeCell ref="A12:F12"/>
    <mergeCell ref="A13:F13"/>
    <mergeCell ref="A14:H14"/>
    <mergeCell ref="A15:H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/>
  </sheetViews>
  <sheetFormatPr defaultRowHeight="15" x14ac:dyDescent="0.25"/>
  <cols>
    <col min="1" max="1" width="25" customWidth="1"/>
    <col min="2" max="2" width="10" bestFit="1" customWidth="1"/>
    <col min="3" max="3" width="10.42578125" customWidth="1"/>
    <col min="4" max="4" width="11.85546875" bestFit="1" customWidth="1"/>
    <col min="5" max="5" width="10.42578125" customWidth="1"/>
    <col min="6" max="6" width="32.85546875" customWidth="1"/>
    <col min="7" max="7" width="10.28515625" bestFit="1" customWidth="1"/>
    <col min="8" max="8" width="10.42578125" bestFit="1" customWidth="1"/>
    <col min="9" max="9" width="11.85546875" bestFit="1" customWidth="1"/>
  </cols>
  <sheetData>
    <row r="1" spans="1:9" x14ac:dyDescent="0.25">
      <c r="A1" t="s">
        <v>539</v>
      </c>
    </row>
    <row r="3" spans="1:9" x14ac:dyDescent="0.25">
      <c r="A3" s="105" t="s">
        <v>417</v>
      </c>
      <c r="F3" s="105" t="s">
        <v>418</v>
      </c>
    </row>
    <row r="4" spans="1:9" x14ac:dyDescent="0.25">
      <c r="B4" s="1" t="s">
        <v>419</v>
      </c>
      <c r="C4" s="1" t="s">
        <v>420</v>
      </c>
      <c r="D4" s="1" t="s">
        <v>421</v>
      </c>
      <c r="E4" s="1"/>
      <c r="G4" s="1" t="s">
        <v>419</v>
      </c>
      <c r="H4" s="1" t="s">
        <v>420</v>
      </c>
      <c r="I4" s="1" t="s">
        <v>421</v>
      </c>
    </row>
    <row r="5" spans="1:9" x14ac:dyDescent="0.25">
      <c r="A5" s="105" t="s">
        <v>422</v>
      </c>
      <c r="B5" s="1">
        <v>45</v>
      </c>
      <c r="C5" s="1">
        <v>46</v>
      </c>
      <c r="D5" s="29">
        <v>412</v>
      </c>
      <c r="E5" s="29"/>
      <c r="F5" s="105" t="s">
        <v>422</v>
      </c>
      <c r="G5" s="1">
        <v>49</v>
      </c>
      <c r="H5" s="1">
        <v>21</v>
      </c>
      <c r="I5" s="29">
        <v>365</v>
      </c>
    </row>
    <row r="6" spans="1:9" x14ac:dyDescent="0.25">
      <c r="A6" s="105" t="s">
        <v>423</v>
      </c>
      <c r="B6" s="1"/>
      <c r="C6" s="1"/>
      <c r="D6" s="29">
        <f>D5*1000</f>
        <v>412000</v>
      </c>
      <c r="E6" s="29"/>
      <c r="F6" s="105" t="s">
        <v>423</v>
      </c>
      <c r="G6" s="1"/>
      <c r="H6" s="1"/>
      <c r="I6" s="29">
        <f>I5*1000</f>
        <v>365000</v>
      </c>
    </row>
    <row r="7" spans="1:9" x14ac:dyDescent="0.25">
      <c r="A7" s="105" t="s">
        <v>538</v>
      </c>
      <c r="B7" s="1"/>
      <c r="C7" s="1"/>
      <c r="D7" s="29">
        <f>(0.1*D6)/50</f>
        <v>824</v>
      </c>
      <c r="E7" s="29"/>
      <c r="F7" s="105" t="s">
        <v>538</v>
      </c>
      <c r="G7" s="1"/>
      <c r="H7" s="1"/>
      <c r="I7" s="29">
        <f>(0.1*I6)/50</f>
        <v>730</v>
      </c>
    </row>
    <row r="8" spans="1:9" x14ac:dyDescent="0.25">
      <c r="B8" s="1"/>
      <c r="C8" s="1"/>
      <c r="D8" s="96"/>
      <c r="E8" s="1"/>
      <c r="G8" s="1"/>
      <c r="H8" s="1"/>
      <c r="I8" s="96"/>
    </row>
    <row r="9" spans="1:9" x14ac:dyDescent="0.25">
      <c r="A9" s="105" t="s">
        <v>424</v>
      </c>
      <c r="B9" s="1">
        <v>2</v>
      </c>
      <c r="C9" s="1">
        <v>0</v>
      </c>
      <c r="D9" s="181">
        <v>2</v>
      </c>
      <c r="E9" s="181"/>
      <c r="F9" s="105" t="s">
        <v>425</v>
      </c>
      <c r="G9" s="1">
        <v>2</v>
      </c>
      <c r="H9" s="1">
        <v>0</v>
      </c>
      <c r="I9" s="181">
        <v>2</v>
      </c>
    </row>
    <row r="10" spans="1:9" x14ac:dyDescent="0.25">
      <c r="A10" s="105" t="s">
        <v>426</v>
      </c>
      <c r="B10" s="1">
        <v>4</v>
      </c>
      <c r="C10" s="1">
        <v>1</v>
      </c>
      <c r="D10" s="1">
        <v>5.2</v>
      </c>
      <c r="E10" s="1"/>
      <c r="F10" s="105" t="s">
        <v>427</v>
      </c>
      <c r="G10" s="1">
        <v>3</v>
      </c>
      <c r="H10" s="1">
        <v>0</v>
      </c>
      <c r="I10" s="1">
        <v>3.1</v>
      </c>
    </row>
    <row r="11" spans="1:9" x14ac:dyDescent="0.25">
      <c r="A11" s="105" t="s">
        <v>428</v>
      </c>
      <c r="B11" s="1">
        <v>3</v>
      </c>
      <c r="C11" s="1">
        <v>0</v>
      </c>
      <c r="D11" s="1">
        <v>3.1</v>
      </c>
      <c r="E11" s="1"/>
      <c r="F11" s="105" t="s">
        <v>429</v>
      </c>
      <c r="G11" s="1">
        <v>0</v>
      </c>
      <c r="H11" s="1">
        <v>0</v>
      </c>
      <c r="I11" s="1">
        <v>0</v>
      </c>
    </row>
    <row r="12" spans="1:9" x14ac:dyDescent="0.25">
      <c r="C12" s="30" t="s">
        <v>430</v>
      </c>
      <c r="D12" s="189">
        <f>AVERAGE(D9:D11)</f>
        <v>3.4333333333333336</v>
      </c>
      <c r="E12" s="189"/>
      <c r="H12" s="30" t="s">
        <v>430</v>
      </c>
      <c r="I12" s="189">
        <f>AVERAGE(I9:I11)</f>
        <v>1.7</v>
      </c>
    </row>
    <row r="13" spans="1:9" x14ac:dyDescent="0.25">
      <c r="C13" s="30" t="s">
        <v>431</v>
      </c>
      <c r="D13" s="189">
        <f>STDEV(D9:D11)</f>
        <v>1.6258331197676268</v>
      </c>
      <c r="E13" s="189"/>
      <c r="H13" s="30" t="s">
        <v>431</v>
      </c>
      <c r="I13" s="189">
        <f>STDEV(I9:I11)</f>
        <v>1.5716233645501714</v>
      </c>
    </row>
    <row r="15" spans="1:9" x14ac:dyDescent="0.25">
      <c r="A15" s="105" t="s">
        <v>432</v>
      </c>
      <c r="F15" s="105" t="s">
        <v>433</v>
      </c>
    </row>
    <row r="16" spans="1:9" x14ac:dyDescent="0.25">
      <c r="B16" s="1" t="s">
        <v>419</v>
      </c>
      <c r="C16" s="1" t="s">
        <v>420</v>
      </c>
      <c r="D16" s="1" t="s">
        <v>421</v>
      </c>
      <c r="E16" s="1"/>
      <c r="G16" s="1" t="s">
        <v>419</v>
      </c>
      <c r="H16" s="1" t="s">
        <v>420</v>
      </c>
      <c r="I16" s="1" t="s">
        <v>421</v>
      </c>
    </row>
    <row r="17" spans="1:9" x14ac:dyDescent="0.25">
      <c r="A17" s="105" t="s">
        <v>422</v>
      </c>
      <c r="B17" s="1">
        <v>49</v>
      </c>
      <c r="C17" s="1">
        <v>35</v>
      </c>
      <c r="D17" s="29">
        <v>816.4</v>
      </c>
      <c r="E17" s="29"/>
      <c r="F17" s="105" t="s">
        <v>422</v>
      </c>
      <c r="G17" s="1">
        <v>49</v>
      </c>
      <c r="H17" s="1">
        <v>16</v>
      </c>
      <c r="I17" s="29">
        <v>275.5</v>
      </c>
    </row>
    <row r="18" spans="1:9" x14ac:dyDescent="0.25">
      <c r="A18" s="105" t="s">
        <v>423</v>
      </c>
      <c r="B18" s="1"/>
      <c r="C18" s="1"/>
      <c r="D18" s="29">
        <f>D17*1000</f>
        <v>816400</v>
      </c>
      <c r="E18" s="29"/>
      <c r="F18" s="105" t="s">
        <v>423</v>
      </c>
      <c r="G18" s="1"/>
      <c r="H18" s="1"/>
      <c r="I18" s="29">
        <f>I17*1000</f>
        <v>275500</v>
      </c>
    </row>
    <row r="19" spans="1:9" x14ac:dyDescent="0.25">
      <c r="A19" s="105" t="s">
        <v>538</v>
      </c>
      <c r="B19" s="1"/>
      <c r="C19" s="1"/>
      <c r="D19" s="29">
        <f>(0.1*D18)/50</f>
        <v>1632.8</v>
      </c>
      <c r="E19" s="29"/>
      <c r="F19" s="105" t="s">
        <v>538</v>
      </c>
      <c r="G19" s="1"/>
      <c r="H19" s="1"/>
      <c r="I19" s="29">
        <f>(0.1*I18)/50</f>
        <v>551</v>
      </c>
    </row>
    <row r="20" spans="1:9" x14ac:dyDescent="0.25">
      <c r="B20" s="1"/>
      <c r="C20" s="1"/>
      <c r="D20" s="1"/>
      <c r="E20" s="1"/>
      <c r="G20" s="1"/>
      <c r="H20" s="1"/>
      <c r="I20" s="1"/>
    </row>
    <row r="21" spans="1:9" x14ac:dyDescent="0.25">
      <c r="A21" s="105" t="s">
        <v>434</v>
      </c>
      <c r="B21" s="1">
        <v>0</v>
      </c>
      <c r="C21" s="1">
        <v>0</v>
      </c>
      <c r="D21" s="181">
        <v>0</v>
      </c>
      <c r="E21" s="181"/>
      <c r="F21" s="105" t="s">
        <v>435</v>
      </c>
      <c r="G21" s="1">
        <v>0</v>
      </c>
      <c r="H21" s="1">
        <v>0</v>
      </c>
      <c r="I21" s="181">
        <v>0</v>
      </c>
    </row>
    <row r="22" spans="1:9" x14ac:dyDescent="0.25">
      <c r="A22" s="105" t="s">
        <v>436</v>
      </c>
      <c r="B22" s="1">
        <v>0</v>
      </c>
      <c r="C22" s="1">
        <v>0</v>
      </c>
      <c r="D22" s="1">
        <v>0</v>
      </c>
      <c r="E22" s="1"/>
      <c r="F22" s="105" t="s">
        <v>437</v>
      </c>
      <c r="G22" s="1">
        <v>0</v>
      </c>
      <c r="H22" s="1">
        <v>0</v>
      </c>
      <c r="I22" s="1">
        <v>0</v>
      </c>
    </row>
    <row r="23" spans="1:9" x14ac:dyDescent="0.25">
      <c r="A23" s="105" t="s">
        <v>438</v>
      </c>
      <c r="B23" s="1">
        <v>0</v>
      </c>
      <c r="C23" s="1">
        <v>0</v>
      </c>
      <c r="D23" s="1">
        <v>0</v>
      </c>
      <c r="E23" s="1"/>
      <c r="F23" s="105" t="s">
        <v>439</v>
      </c>
      <c r="G23" s="1">
        <v>0</v>
      </c>
      <c r="H23" s="1">
        <v>0</v>
      </c>
      <c r="I23" s="1">
        <v>0</v>
      </c>
    </row>
    <row r="24" spans="1:9" x14ac:dyDescent="0.25">
      <c r="C24" s="30" t="s">
        <v>430</v>
      </c>
      <c r="D24" s="189">
        <f>AVERAGE(D21:D23)</f>
        <v>0</v>
      </c>
      <c r="E24" s="189"/>
      <c r="H24" s="30" t="s">
        <v>430</v>
      </c>
      <c r="I24" s="189">
        <f>AVERAGE(I21:I23)</f>
        <v>0</v>
      </c>
    </row>
    <row r="25" spans="1:9" x14ac:dyDescent="0.25">
      <c r="C25" s="30" t="s">
        <v>431</v>
      </c>
      <c r="D25" s="189">
        <f>STDEV(D21:D23)</f>
        <v>0</v>
      </c>
      <c r="E25" s="189"/>
      <c r="H25" s="30" t="s">
        <v>431</v>
      </c>
      <c r="I25" s="189">
        <f>STDEV(I21:I23)</f>
        <v>0</v>
      </c>
    </row>
    <row r="26" spans="1:9" x14ac:dyDescent="0.25">
      <c r="A26" s="105" t="s">
        <v>440</v>
      </c>
      <c r="B26" s="1">
        <v>0</v>
      </c>
      <c r="C26" s="1">
        <v>0</v>
      </c>
      <c r="D26" s="181">
        <v>0</v>
      </c>
      <c r="E26" s="181"/>
      <c r="F26" s="105" t="s">
        <v>441</v>
      </c>
      <c r="G26" s="1">
        <v>0</v>
      </c>
      <c r="H26" s="1">
        <v>0</v>
      </c>
      <c r="I26" s="181">
        <v>0</v>
      </c>
    </row>
    <row r="27" spans="1:9" x14ac:dyDescent="0.25">
      <c r="A27" s="105" t="s">
        <v>442</v>
      </c>
      <c r="B27" s="1">
        <v>0</v>
      </c>
      <c r="C27" s="1">
        <v>0</v>
      </c>
      <c r="D27" s="1">
        <v>0</v>
      </c>
      <c r="E27" s="1"/>
      <c r="F27" s="105" t="s">
        <v>443</v>
      </c>
      <c r="G27" s="1">
        <v>0</v>
      </c>
      <c r="H27" s="1">
        <v>0</v>
      </c>
      <c r="I27" s="1">
        <v>0</v>
      </c>
    </row>
    <row r="28" spans="1:9" x14ac:dyDescent="0.25">
      <c r="A28" s="105" t="s">
        <v>444</v>
      </c>
      <c r="B28" s="1">
        <v>0</v>
      </c>
      <c r="C28" s="1">
        <v>0</v>
      </c>
      <c r="D28" s="1">
        <v>0</v>
      </c>
      <c r="E28" s="1"/>
      <c r="F28" s="105" t="s">
        <v>445</v>
      </c>
      <c r="G28" s="1">
        <v>0</v>
      </c>
      <c r="H28" s="1">
        <v>0</v>
      </c>
      <c r="I28" s="1">
        <v>0</v>
      </c>
    </row>
    <row r="29" spans="1:9" x14ac:dyDescent="0.25">
      <c r="C29" s="30" t="s">
        <v>430</v>
      </c>
      <c r="D29" s="189">
        <f>AVERAGE(D26:D28)</f>
        <v>0</v>
      </c>
      <c r="E29" s="189"/>
      <c r="H29" s="30" t="s">
        <v>430</v>
      </c>
      <c r="I29" s="189">
        <f>AVERAGE(I26:I28)</f>
        <v>0</v>
      </c>
    </row>
    <row r="30" spans="1:9" x14ac:dyDescent="0.25">
      <c r="C30" s="30" t="s">
        <v>431</v>
      </c>
      <c r="D30" s="189">
        <f>STDEV(D26:D28)</f>
        <v>0</v>
      </c>
      <c r="E30" s="189"/>
      <c r="H30" s="30" t="s">
        <v>431</v>
      </c>
      <c r="I30" s="189">
        <f>STDEV(I26:I28)</f>
        <v>0</v>
      </c>
    </row>
    <row r="32" spans="1:9" ht="30" customHeight="1" x14ac:dyDescent="0.25">
      <c r="A32" s="1"/>
      <c r="B32" s="337" t="s">
        <v>446</v>
      </c>
      <c r="C32" s="337"/>
      <c r="D32" s="337" t="s">
        <v>447</v>
      </c>
      <c r="E32" s="337"/>
    </row>
    <row r="33" spans="1:5" x14ac:dyDescent="0.25">
      <c r="B33" t="s">
        <v>430</v>
      </c>
      <c r="C33" t="s">
        <v>448</v>
      </c>
      <c r="D33" t="s">
        <v>430</v>
      </c>
      <c r="E33" s="1" t="s">
        <v>449</v>
      </c>
    </row>
    <row r="34" spans="1:5" ht="30" x14ac:dyDescent="0.25">
      <c r="A34" s="149" t="s">
        <v>450</v>
      </c>
      <c r="B34" s="150">
        <f>AVERAGE(D7,D19)</f>
        <v>1228.4000000000001</v>
      </c>
      <c r="C34" s="150">
        <f>STDEV(D7,D19)</f>
        <v>571.90796462367905</v>
      </c>
      <c r="D34" s="150">
        <f>AVERAGE(I7,I19)</f>
        <v>640.5</v>
      </c>
      <c r="E34" s="150">
        <f>STDEV(I7,I19)</f>
        <v>126.57211383239201</v>
      </c>
    </row>
    <row r="35" spans="1:5" ht="30" x14ac:dyDescent="0.25">
      <c r="A35" s="149" t="s">
        <v>451</v>
      </c>
      <c r="B35" s="181">
        <f>D12</f>
        <v>3.4333333333333336</v>
      </c>
      <c r="C35" s="181">
        <f>D13</f>
        <v>1.6258331197676268</v>
      </c>
      <c r="D35" s="150">
        <f>I12</f>
        <v>1.7</v>
      </c>
      <c r="E35" s="181">
        <f>I13</f>
        <v>1.5716233645501714</v>
      </c>
    </row>
    <row r="36" spans="1:5" ht="45" x14ac:dyDescent="0.25">
      <c r="A36" s="149" t="s">
        <v>452</v>
      </c>
      <c r="B36" s="181" t="s">
        <v>454</v>
      </c>
      <c r="C36" s="181">
        <f>D25</f>
        <v>0</v>
      </c>
      <c r="D36" s="150">
        <f>I24</f>
        <v>0</v>
      </c>
      <c r="E36" s="181">
        <f>I25</f>
        <v>0</v>
      </c>
    </row>
    <row r="37" spans="1:5" ht="45" x14ac:dyDescent="0.25">
      <c r="A37" s="149" t="s">
        <v>453</v>
      </c>
      <c r="B37" s="181" t="s">
        <v>454</v>
      </c>
      <c r="C37" s="181">
        <f>D30</f>
        <v>0</v>
      </c>
      <c r="D37" s="150">
        <f>I29</f>
        <v>0</v>
      </c>
      <c r="E37" s="181">
        <f>I30</f>
        <v>0</v>
      </c>
    </row>
  </sheetData>
  <mergeCells count="2">
    <mergeCell ref="B32:C32"/>
    <mergeCell ref="D32:E32"/>
  </mergeCell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XFD1"/>
    </sheetView>
  </sheetViews>
  <sheetFormatPr defaultRowHeight="15" x14ac:dyDescent="0.25"/>
  <cols>
    <col min="1" max="1" width="15.5703125" style="1" customWidth="1"/>
    <col min="2" max="2" width="10.28515625" style="1" customWidth="1"/>
    <col min="3" max="3" width="13" style="1" customWidth="1"/>
    <col min="4" max="4" width="13.28515625" style="1" customWidth="1"/>
    <col min="5" max="5" width="13.42578125" style="1" bestFit="1" customWidth="1"/>
    <col min="6" max="6" width="11.85546875" style="1" bestFit="1" customWidth="1"/>
    <col min="7" max="7" width="12.140625" style="1" bestFit="1" customWidth="1"/>
    <col min="8" max="8" width="24" style="1" customWidth="1"/>
    <col min="9" max="9" width="9.140625" style="1" customWidth="1"/>
    <col min="10" max="16384" width="9.140625" style="1"/>
  </cols>
  <sheetData>
    <row r="1" spans="1:7" x14ac:dyDescent="0.25">
      <c r="A1" t="s">
        <v>539</v>
      </c>
      <c r="D1" s="187" t="s">
        <v>540</v>
      </c>
      <c r="G1" s="187" t="s">
        <v>541</v>
      </c>
    </row>
    <row r="3" spans="1:7" ht="15.75" thickBot="1" x14ac:dyDescent="0.3">
      <c r="A3" s="42" t="s">
        <v>50</v>
      </c>
      <c r="B3" s="18"/>
      <c r="C3" s="18"/>
      <c r="D3" s="18"/>
    </row>
    <row r="4" spans="1:7" ht="15.75" thickTop="1" x14ac:dyDescent="0.25">
      <c r="A4" s="30" t="s">
        <v>0</v>
      </c>
      <c r="B4" s="30" t="s">
        <v>22</v>
      </c>
      <c r="C4" s="30" t="s">
        <v>24</v>
      </c>
      <c r="D4" s="30" t="s">
        <v>35</v>
      </c>
      <c r="E4" s="40" t="s">
        <v>8</v>
      </c>
    </row>
    <row r="5" spans="1:7" ht="15.75" thickBot="1" x14ac:dyDescent="0.3">
      <c r="A5" s="41"/>
      <c r="B5" s="41"/>
      <c r="C5" s="41" t="s">
        <v>23</v>
      </c>
      <c r="D5" s="41" t="s">
        <v>36</v>
      </c>
      <c r="E5" s="41"/>
    </row>
    <row r="6" spans="1:7" ht="15.75" thickTop="1" x14ac:dyDescent="0.25">
      <c r="A6" s="28">
        <v>42242</v>
      </c>
      <c r="B6" s="1" t="s">
        <v>25</v>
      </c>
      <c r="C6" s="29">
        <v>200</v>
      </c>
      <c r="D6" s="29">
        <f>C6*10</f>
        <v>2000</v>
      </c>
      <c r="E6" s="2" t="s">
        <v>52</v>
      </c>
    </row>
    <row r="7" spans="1:7" x14ac:dyDescent="0.25">
      <c r="A7" s="28">
        <v>42242</v>
      </c>
      <c r="B7" s="1" t="s">
        <v>26</v>
      </c>
      <c r="C7" s="29">
        <v>38</v>
      </c>
      <c r="D7" s="29">
        <f t="shared" ref="D7:D16" si="0">C7*10</f>
        <v>380</v>
      </c>
    </row>
    <row r="8" spans="1:7" x14ac:dyDescent="0.25">
      <c r="A8" s="28">
        <v>42242</v>
      </c>
      <c r="B8" s="1" t="s">
        <v>27</v>
      </c>
      <c r="C8" s="29">
        <f>1.1*10^3</f>
        <v>1100</v>
      </c>
      <c r="D8" s="29">
        <f t="shared" si="0"/>
        <v>11000</v>
      </c>
    </row>
    <row r="9" spans="1:7" x14ac:dyDescent="0.25">
      <c r="A9" s="28">
        <v>42242</v>
      </c>
      <c r="B9" s="1" t="s">
        <v>28</v>
      </c>
      <c r="C9" s="29">
        <f>1.9*10^3</f>
        <v>1900</v>
      </c>
      <c r="D9" s="29">
        <f t="shared" si="0"/>
        <v>19000</v>
      </c>
    </row>
    <row r="10" spans="1:7" x14ac:dyDescent="0.25">
      <c r="A10" s="28">
        <v>42242</v>
      </c>
      <c r="B10" s="1" t="s">
        <v>29</v>
      </c>
      <c r="C10" s="29">
        <v>969</v>
      </c>
      <c r="D10" s="29">
        <f t="shared" si="0"/>
        <v>9690</v>
      </c>
    </row>
    <row r="11" spans="1:7" x14ac:dyDescent="0.25">
      <c r="A11" s="28">
        <v>42242</v>
      </c>
      <c r="B11" s="1" t="s">
        <v>30</v>
      </c>
      <c r="C11" s="29">
        <v>936</v>
      </c>
      <c r="D11" s="29">
        <f t="shared" si="0"/>
        <v>9360</v>
      </c>
    </row>
    <row r="12" spans="1:7" x14ac:dyDescent="0.25">
      <c r="A12" s="28">
        <v>42242</v>
      </c>
      <c r="B12" s="1" t="s">
        <v>31</v>
      </c>
      <c r="C12" s="29">
        <v>238</v>
      </c>
      <c r="D12" s="29">
        <f t="shared" si="0"/>
        <v>2380</v>
      </c>
    </row>
    <row r="13" spans="1:7" x14ac:dyDescent="0.25">
      <c r="A13" s="28">
        <v>42242</v>
      </c>
      <c r="B13" s="1" t="s">
        <v>32</v>
      </c>
      <c r="C13" s="29">
        <v>35</v>
      </c>
      <c r="D13" s="29">
        <f t="shared" si="0"/>
        <v>350</v>
      </c>
    </row>
    <row r="14" spans="1:7" x14ac:dyDescent="0.25">
      <c r="A14" s="28">
        <v>42242</v>
      </c>
      <c r="B14" s="1" t="s">
        <v>34</v>
      </c>
      <c r="C14" s="29">
        <v>56</v>
      </c>
      <c r="D14" s="29">
        <f t="shared" si="0"/>
        <v>560</v>
      </c>
    </row>
    <row r="15" spans="1:7" x14ac:dyDescent="0.25">
      <c r="A15" s="28">
        <v>42242</v>
      </c>
      <c r="B15" s="1" t="s">
        <v>33</v>
      </c>
      <c r="C15" s="29">
        <f>3*10^4</f>
        <v>30000</v>
      </c>
      <c r="D15" s="29">
        <f t="shared" si="0"/>
        <v>300000</v>
      </c>
    </row>
    <row r="16" spans="1:7" x14ac:dyDescent="0.25">
      <c r="A16" s="28">
        <v>42242</v>
      </c>
      <c r="B16" s="1" t="s">
        <v>33</v>
      </c>
      <c r="C16" s="29">
        <f>9.7*10^3</f>
        <v>9700</v>
      </c>
      <c r="D16" s="29">
        <f t="shared" si="0"/>
        <v>97000</v>
      </c>
    </row>
    <row r="17" spans="1:8" x14ac:dyDescent="0.25">
      <c r="B17" s="28"/>
    </row>
    <row r="18" spans="1:8" ht="15.75" thickBot="1" x14ac:dyDescent="0.3">
      <c r="A18" s="42" t="s">
        <v>49</v>
      </c>
      <c r="C18" s="18"/>
      <c r="D18" s="18"/>
      <c r="E18" s="18"/>
      <c r="F18" s="18"/>
      <c r="G18" s="18"/>
    </row>
    <row r="19" spans="1:8" ht="15.75" thickTop="1" x14ac:dyDescent="0.25">
      <c r="A19" s="338" t="s">
        <v>56</v>
      </c>
      <c r="B19" s="40" t="s">
        <v>0</v>
      </c>
      <c r="C19" s="40" t="s">
        <v>12</v>
      </c>
      <c r="D19" s="40" t="s">
        <v>1</v>
      </c>
      <c r="E19" s="40" t="s">
        <v>2</v>
      </c>
      <c r="F19" s="40" t="s">
        <v>39</v>
      </c>
      <c r="G19" s="40" t="s">
        <v>40</v>
      </c>
      <c r="H19" s="40" t="s">
        <v>8</v>
      </c>
    </row>
    <row r="20" spans="1:8" ht="15.75" thickBot="1" x14ac:dyDescent="0.3">
      <c r="A20" s="339"/>
      <c r="B20" s="41"/>
      <c r="C20" s="41"/>
      <c r="D20" s="41" t="s">
        <v>41</v>
      </c>
      <c r="E20" s="41" t="s">
        <v>41</v>
      </c>
      <c r="F20" s="41" t="s">
        <v>36</v>
      </c>
      <c r="G20" s="41" t="s">
        <v>36</v>
      </c>
      <c r="H20" s="41"/>
    </row>
    <row r="21" spans="1:8" ht="18" thickTop="1" x14ac:dyDescent="0.25">
      <c r="A21" s="340" t="s">
        <v>53</v>
      </c>
      <c r="B21" s="43">
        <v>42283</v>
      </c>
      <c r="C21" s="44">
        <v>0.44097222222222227</v>
      </c>
      <c r="D21" s="45">
        <f>7.3*10^4</f>
        <v>73000</v>
      </c>
      <c r="E21" s="45">
        <f>6.9*10^4</f>
        <v>69000</v>
      </c>
      <c r="F21" s="45"/>
      <c r="G21" s="45"/>
      <c r="H21" s="46" t="s">
        <v>60</v>
      </c>
    </row>
    <row r="22" spans="1:8" x14ac:dyDescent="0.25">
      <c r="A22" s="341"/>
      <c r="B22" s="43">
        <v>42283</v>
      </c>
      <c r="C22" s="44">
        <v>0.5</v>
      </c>
      <c r="D22" s="45">
        <f>6.4*10^3</f>
        <v>6400</v>
      </c>
      <c r="E22" s="45">
        <f>1.4*10^4</f>
        <v>14000</v>
      </c>
      <c r="F22" s="45"/>
      <c r="G22" s="45"/>
      <c r="H22" s="46" t="s">
        <v>58</v>
      </c>
    </row>
    <row r="23" spans="1:8" ht="17.25" x14ac:dyDescent="0.25">
      <c r="A23" s="341"/>
      <c r="B23" s="48">
        <v>42283</v>
      </c>
      <c r="C23" s="49">
        <v>0.66666666666666663</v>
      </c>
      <c r="D23" s="50">
        <v>0</v>
      </c>
      <c r="E23" s="50">
        <v>0</v>
      </c>
      <c r="F23" s="50"/>
      <c r="G23" s="50"/>
      <c r="H23" s="70" t="s">
        <v>61</v>
      </c>
    </row>
    <row r="24" spans="1:8" x14ac:dyDescent="0.25">
      <c r="A24" s="341"/>
      <c r="B24" s="43">
        <v>42284</v>
      </c>
      <c r="C24" s="44">
        <v>0.3611111111111111</v>
      </c>
      <c r="D24" s="45">
        <v>0</v>
      </c>
      <c r="E24" s="45">
        <v>0</v>
      </c>
      <c r="F24" s="45"/>
      <c r="G24" s="45"/>
      <c r="H24" s="47"/>
    </row>
    <row r="25" spans="1:8" x14ac:dyDescent="0.25">
      <c r="A25" s="341"/>
      <c r="B25" s="52">
        <v>42284</v>
      </c>
      <c r="C25" s="53">
        <v>0.5</v>
      </c>
      <c r="D25" s="54">
        <v>2</v>
      </c>
      <c r="E25" s="54">
        <v>1</v>
      </c>
      <c r="F25" s="54"/>
      <c r="G25" s="54"/>
      <c r="H25" s="55"/>
    </row>
    <row r="26" spans="1:8" x14ac:dyDescent="0.25">
      <c r="A26" s="342"/>
      <c r="B26" s="48">
        <v>42284</v>
      </c>
      <c r="C26" s="49">
        <v>0.66666666666666663</v>
      </c>
      <c r="D26" s="50">
        <v>1</v>
      </c>
      <c r="E26" s="50">
        <v>2</v>
      </c>
      <c r="F26" s="50"/>
      <c r="G26" s="50"/>
      <c r="H26" s="51"/>
    </row>
    <row r="27" spans="1:8" x14ac:dyDescent="0.25">
      <c r="A27" s="343" t="s">
        <v>54</v>
      </c>
      <c r="B27" s="61">
        <v>42285</v>
      </c>
      <c r="C27" s="62">
        <v>0.64583333333333337</v>
      </c>
      <c r="D27" s="63">
        <v>0</v>
      </c>
      <c r="E27" s="63">
        <v>0</v>
      </c>
      <c r="F27" s="63"/>
      <c r="G27" s="63"/>
      <c r="H27" s="64" t="s">
        <v>51</v>
      </c>
    </row>
    <row r="28" spans="1:8" x14ac:dyDescent="0.25">
      <c r="A28" s="344"/>
      <c r="B28" s="61">
        <v>42285</v>
      </c>
      <c r="C28" s="62">
        <v>0.64583333333333337</v>
      </c>
      <c r="D28" s="65"/>
      <c r="E28" s="65"/>
      <c r="F28" s="63">
        <v>0</v>
      </c>
      <c r="G28" s="63">
        <v>0</v>
      </c>
      <c r="H28" s="65" t="s">
        <v>42</v>
      </c>
    </row>
    <row r="29" spans="1:8" x14ac:dyDescent="0.25">
      <c r="A29" s="344"/>
      <c r="B29" s="61">
        <v>42285</v>
      </c>
      <c r="C29" s="62">
        <v>0.64583333333333337</v>
      </c>
      <c r="D29" s="65"/>
      <c r="E29" s="65"/>
      <c r="F29" s="63">
        <v>0</v>
      </c>
      <c r="G29" s="63">
        <v>0</v>
      </c>
      <c r="H29" s="65" t="s">
        <v>43</v>
      </c>
    </row>
    <row r="30" spans="1:8" x14ac:dyDescent="0.25">
      <c r="A30" s="344"/>
      <c r="B30" s="61">
        <v>42285</v>
      </c>
      <c r="C30" s="62">
        <v>0.64583333333333337</v>
      </c>
      <c r="D30" s="65"/>
      <c r="E30" s="65"/>
      <c r="F30" s="63">
        <v>0</v>
      </c>
      <c r="G30" s="63">
        <v>0</v>
      </c>
      <c r="H30" s="65" t="s">
        <v>44</v>
      </c>
    </row>
    <row r="31" spans="1:8" x14ac:dyDescent="0.25">
      <c r="A31" s="344"/>
      <c r="B31" s="61">
        <v>42285</v>
      </c>
      <c r="C31" s="62">
        <v>0.64583333333333337</v>
      </c>
      <c r="D31" s="65"/>
      <c r="E31" s="65"/>
      <c r="F31" s="63">
        <v>0</v>
      </c>
      <c r="G31" s="63">
        <v>0</v>
      </c>
      <c r="H31" s="65" t="s">
        <v>45</v>
      </c>
    </row>
    <row r="32" spans="1:8" x14ac:dyDescent="0.25">
      <c r="A32" s="344"/>
      <c r="B32" s="61">
        <v>42285</v>
      </c>
      <c r="C32" s="62">
        <v>0.64583333333333337</v>
      </c>
      <c r="D32" s="65"/>
      <c r="E32" s="65"/>
      <c r="F32" s="63">
        <v>0</v>
      </c>
      <c r="G32" s="63">
        <v>0</v>
      </c>
      <c r="H32" s="65" t="s">
        <v>46</v>
      </c>
    </row>
    <row r="33" spans="1:8" x14ac:dyDescent="0.25">
      <c r="A33" s="344"/>
      <c r="B33" s="61">
        <v>42285</v>
      </c>
      <c r="C33" s="62">
        <v>0.64583333333333337</v>
      </c>
      <c r="D33" s="65"/>
      <c r="E33" s="65"/>
      <c r="F33" s="63">
        <v>0</v>
      </c>
      <c r="G33" s="63">
        <v>0</v>
      </c>
      <c r="H33" s="65" t="s">
        <v>47</v>
      </c>
    </row>
    <row r="34" spans="1:8" x14ac:dyDescent="0.25">
      <c r="A34" s="345"/>
      <c r="B34" s="66">
        <v>42285</v>
      </c>
      <c r="C34" s="67">
        <v>0.64583333333333337</v>
      </c>
      <c r="D34" s="68"/>
      <c r="E34" s="68"/>
      <c r="F34" s="69">
        <v>0</v>
      </c>
      <c r="G34" s="69">
        <v>0</v>
      </c>
      <c r="H34" s="68" t="s">
        <v>48</v>
      </c>
    </row>
    <row r="35" spans="1:8" x14ac:dyDescent="0.25">
      <c r="A35" s="346" t="s">
        <v>55</v>
      </c>
      <c r="B35" s="56">
        <v>42286</v>
      </c>
      <c r="C35" s="57">
        <v>0.54166666666666663</v>
      </c>
      <c r="D35" s="58"/>
      <c r="E35" s="58">
        <v>0</v>
      </c>
      <c r="F35" s="60"/>
      <c r="G35" s="60"/>
      <c r="H35" s="59" t="s">
        <v>57</v>
      </c>
    </row>
    <row r="36" spans="1:8" x14ac:dyDescent="0.25">
      <c r="A36" s="346"/>
      <c r="B36" s="56">
        <v>42286</v>
      </c>
      <c r="C36" s="57">
        <v>0.54166666666666663</v>
      </c>
      <c r="D36" s="58"/>
      <c r="E36" s="58">
        <v>0</v>
      </c>
      <c r="F36" s="60"/>
      <c r="G36" s="60"/>
      <c r="H36" s="60"/>
    </row>
    <row r="37" spans="1:8" x14ac:dyDescent="0.25">
      <c r="A37" s="346"/>
      <c r="B37" s="56">
        <v>42286</v>
      </c>
      <c r="C37" s="57">
        <v>0.54166666666666663</v>
      </c>
      <c r="D37" s="58"/>
      <c r="E37" s="58">
        <v>0</v>
      </c>
      <c r="F37" s="60"/>
      <c r="G37" s="60"/>
      <c r="H37" s="60"/>
    </row>
    <row r="38" spans="1:8" x14ac:dyDescent="0.25">
      <c r="A38" s="346"/>
      <c r="B38" s="56">
        <v>42286</v>
      </c>
      <c r="C38" s="57">
        <v>0.54166666666666663</v>
      </c>
      <c r="D38" s="58">
        <v>0</v>
      </c>
      <c r="E38" s="58"/>
      <c r="F38" s="60"/>
      <c r="G38" s="60"/>
      <c r="H38" s="60"/>
    </row>
    <row r="39" spans="1:8" x14ac:dyDescent="0.25">
      <c r="D39" s="29"/>
      <c r="E39" s="29"/>
    </row>
  </sheetData>
  <mergeCells count="4">
    <mergeCell ref="A19:A20"/>
    <mergeCell ref="A21:A26"/>
    <mergeCell ref="A27:A34"/>
    <mergeCell ref="A35:A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sqref="A1:XFD1"/>
    </sheetView>
  </sheetViews>
  <sheetFormatPr defaultRowHeight="15" x14ac:dyDescent="0.25"/>
  <cols>
    <col min="1" max="1" width="12.140625" customWidth="1"/>
    <col min="2" max="3" width="16.85546875" customWidth="1"/>
    <col min="4" max="4" width="13.28515625" style="118" customWidth="1"/>
    <col min="5" max="5" width="46" customWidth="1"/>
    <col min="6" max="6" width="13" customWidth="1"/>
    <col min="7" max="7" width="9.28515625" bestFit="1" customWidth="1"/>
    <col min="8" max="8" width="11.7109375" bestFit="1" customWidth="1"/>
    <col min="10" max="10" width="6.5703125" bestFit="1" customWidth="1"/>
    <col min="11" max="11" width="9.28515625" bestFit="1" customWidth="1"/>
    <col min="12" max="12" width="11.7109375" bestFit="1" customWidth="1"/>
  </cols>
  <sheetData>
    <row r="1" spans="1:12" s="1" customFormat="1" x14ac:dyDescent="0.25">
      <c r="A1" t="s">
        <v>539</v>
      </c>
      <c r="D1" s="187" t="s">
        <v>540</v>
      </c>
      <c r="G1" s="187" t="s">
        <v>541</v>
      </c>
    </row>
    <row r="3" spans="1:12" ht="15.75" thickBot="1" x14ac:dyDescent="0.3">
      <c r="A3" s="42" t="s">
        <v>237</v>
      </c>
      <c r="B3" s="87"/>
      <c r="C3" s="87"/>
      <c r="D3" s="88"/>
      <c r="E3" s="87"/>
    </row>
    <row r="4" spans="1:12" ht="61.5" thickTop="1" thickBot="1" x14ac:dyDescent="0.3">
      <c r="A4" s="89" t="s">
        <v>98</v>
      </c>
      <c r="B4" s="90" t="s">
        <v>99</v>
      </c>
      <c r="C4" s="90" t="s">
        <v>99</v>
      </c>
      <c r="D4" s="91" t="s">
        <v>100</v>
      </c>
      <c r="E4" s="89" t="s">
        <v>8</v>
      </c>
      <c r="F4" s="92"/>
      <c r="G4" s="93"/>
      <c r="H4" s="94"/>
      <c r="J4" s="92"/>
      <c r="K4" s="93"/>
      <c r="L4" s="94"/>
    </row>
    <row r="5" spans="1:12" ht="15.75" thickTop="1" x14ac:dyDescent="0.25">
      <c r="A5" s="349" t="s">
        <v>101</v>
      </c>
      <c r="B5" s="95">
        <v>42314.4375</v>
      </c>
      <c r="C5" s="204">
        <v>0</v>
      </c>
      <c r="D5" s="96">
        <v>1100000</v>
      </c>
      <c r="E5" s="1" t="s">
        <v>102</v>
      </c>
      <c r="F5" s="1"/>
      <c r="G5" s="1"/>
      <c r="H5" s="96"/>
      <c r="I5" s="1"/>
      <c r="J5" s="1"/>
      <c r="K5" s="1"/>
      <c r="L5" s="96"/>
    </row>
    <row r="6" spans="1:12" x14ac:dyDescent="0.25">
      <c r="A6" s="349"/>
      <c r="B6" s="95">
        <v>42314.583333333336</v>
      </c>
      <c r="C6" s="204">
        <f>B6-B5</f>
        <v>0.14583333333575865</v>
      </c>
      <c r="D6" s="96">
        <v>690000</v>
      </c>
      <c r="E6" s="1"/>
      <c r="F6" s="1"/>
      <c r="G6" s="1"/>
      <c r="H6" s="96"/>
      <c r="I6" s="1"/>
      <c r="J6" s="1"/>
      <c r="K6" s="1"/>
      <c r="L6" s="96"/>
    </row>
    <row r="7" spans="1:12" x14ac:dyDescent="0.25">
      <c r="A7" s="349" t="s">
        <v>103</v>
      </c>
      <c r="B7" s="95">
        <v>42317.368055555555</v>
      </c>
      <c r="C7" s="204">
        <f>C6+(B7-B6)</f>
        <v>2.9305555555547471</v>
      </c>
      <c r="D7" s="96">
        <f>AVERAGE(21000,10000)</f>
        <v>15500</v>
      </c>
      <c r="E7" s="1"/>
      <c r="F7" s="1"/>
      <c r="G7" s="1"/>
      <c r="H7" s="96"/>
      <c r="I7" s="1"/>
      <c r="J7" s="1"/>
      <c r="K7" s="1"/>
      <c r="L7" s="96"/>
    </row>
    <row r="8" spans="1:12" x14ac:dyDescent="0.25">
      <c r="A8" s="349"/>
      <c r="B8" s="95">
        <v>42317.371527777781</v>
      </c>
      <c r="C8" s="204">
        <f t="shared" ref="C8:C46" si="0">C7+(B8-B7)</f>
        <v>2.9340277777810115</v>
      </c>
      <c r="D8" s="96">
        <f>AVERAGE(61000,63000)</f>
        <v>62000</v>
      </c>
      <c r="E8" s="1"/>
      <c r="F8" s="1">
        <v>4</v>
      </c>
      <c r="G8" s="1">
        <f>10^6</f>
        <v>1000000</v>
      </c>
      <c r="H8" s="29"/>
      <c r="I8" s="1"/>
      <c r="J8" s="1"/>
      <c r="K8" s="1"/>
      <c r="L8" s="96"/>
    </row>
    <row r="9" spans="1:12" x14ac:dyDescent="0.25">
      <c r="A9" s="349"/>
      <c r="B9" s="95">
        <v>42317.583333333336</v>
      </c>
      <c r="C9" s="204">
        <f t="shared" si="0"/>
        <v>3.1458333333357587</v>
      </c>
      <c r="D9" s="96">
        <f>AVERAGE(33000,20000)</f>
        <v>26500</v>
      </c>
      <c r="E9" s="1"/>
      <c r="F9" s="1">
        <v>4</v>
      </c>
      <c r="G9" s="1">
        <v>0.1</v>
      </c>
      <c r="H9" s="29"/>
      <c r="I9" s="1"/>
      <c r="J9" s="1"/>
      <c r="K9" s="1"/>
      <c r="L9" s="96"/>
    </row>
    <row r="10" spans="1:12" x14ac:dyDescent="0.25">
      <c r="A10" s="349"/>
      <c r="B10" s="95">
        <v>42317.586805555555</v>
      </c>
      <c r="C10" s="204">
        <f t="shared" si="0"/>
        <v>3.1493055555547471</v>
      </c>
      <c r="D10" s="96">
        <f>AVERAGE(61000,96000)</f>
        <v>78500</v>
      </c>
      <c r="E10" s="1"/>
      <c r="F10" s="1">
        <v>10</v>
      </c>
      <c r="G10" s="1">
        <f>10^6</f>
        <v>1000000</v>
      </c>
      <c r="H10" s="29"/>
      <c r="I10" s="1"/>
      <c r="J10" s="1"/>
      <c r="K10" s="1"/>
      <c r="L10" s="96"/>
    </row>
    <row r="11" spans="1:12" x14ac:dyDescent="0.25">
      <c r="A11" s="349" t="s">
        <v>104</v>
      </c>
      <c r="B11" s="95">
        <v>42318.371527777781</v>
      </c>
      <c r="C11" s="204">
        <f t="shared" si="0"/>
        <v>3.9340277777810115</v>
      </c>
      <c r="D11" s="96">
        <f>AVERAGE(19000,20000)</f>
        <v>19500</v>
      </c>
      <c r="E11" s="1"/>
      <c r="F11" s="1">
        <v>10</v>
      </c>
      <c r="G11" s="1">
        <v>0.1</v>
      </c>
      <c r="H11" s="29"/>
      <c r="I11" s="1"/>
      <c r="J11" s="1"/>
      <c r="K11" s="1"/>
      <c r="L11" s="96"/>
    </row>
    <row r="12" spans="1:12" x14ac:dyDescent="0.25">
      <c r="A12" s="349"/>
      <c r="B12" s="95">
        <v>42318.375</v>
      </c>
      <c r="C12" s="205">
        <f t="shared" si="0"/>
        <v>3.9375</v>
      </c>
      <c r="D12" s="97">
        <f>AVERAGE(20000,31000)</f>
        <v>25500</v>
      </c>
      <c r="E12" s="17" t="s">
        <v>105</v>
      </c>
      <c r="F12" s="1"/>
      <c r="G12" s="1"/>
      <c r="H12" s="29"/>
      <c r="I12" s="1"/>
      <c r="J12" s="1"/>
      <c r="K12" s="1"/>
      <c r="L12" s="96"/>
    </row>
    <row r="13" spans="1:12" x14ac:dyDescent="0.25">
      <c r="A13" s="349"/>
      <c r="B13" s="95">
        <v>42318.569444444445</v>
      </c>
      <c r="C13" s="204">
        <f t="shared" si="0"/>
        <v>4.1319444444452529</v>
      </c>
      <c r="D13" s="98">
        <v>77</v>
      </c>
      <c r="E13" s="1"/>
      <c r="F13" s="1"/>
      <c r="G13" s="1"/>
      <c r="H13" s="29"/>
      <c r="I13" s="1"/>
      <c r="J13" s="1"/>
      <c r="K13" s="1"/>
      <c r="L13" s="96"/>
    </row>
    <row r="14" spans="1:12" x14ac:dyDescent="0.25">
      <c r="A14" s="349"/>
      <c r="B14" s="95">
        <v>42318.572916666664</v>
      </c>
      <c r="C14" s="204">
        <f t="shared" si="0"/>
        <v>4.1354166666642413</v>
      </c>
      <c r="D14" s="98">
        <v>20</v>
      </c>
      <c r="E14" s="1"/>
      <c r="F14" s="1"/>
      <c r="G14" s="1"/>
      <c r="H14" s="29"/>
      <c r="I14" s="1"/>
      <c r="J14" s="1"/>
      <c r="K14" s="1"/>
      <c r="L14" s="96"/>
    </row>
    <row r="15" spans="1:12" x14ac:dyDescent="0.25">
      <c r="A15" s="349" t="s">
        <v>106</v>
      </c>
      <c r="B15" s="95">
        <v>42319.378472222219</v>
      </c>
      <c r="C15" s="204">
        <f t="shared" si="0"/>
        <v>4.9409722222189885</v>
      </c>
      <c r="D15" s="98">
        <v>20</v>
      </c>
      <c r="E15" s="1"/>
      <c r="F15" s="1"/>
      <c r="G15" s="1"/>
      <c r="H15" s="29"/>
      <c r="I15" s="1"/>
      <c r="J15" s="1"/>
      <c r="K15" s="1"/>
      <c r="L15" s="96"/>
    </row>
    <row r="16" spans="1:12" x14ac:dyDescent="0.25">
      <c r="A16" s="349"/>
      <c r="B16" s="95">
        <v>42319.381944444445</v>
      </c>
      <c r="C16" s="204">
        <f t="shared" si="0"/>
        <v>4.9444444444452529</v>
      </c>
      <c r="D16" s="98">
        <v>10</v>
      </c>
      <c r="E16" s="1"/>
      <c r="F16" s="1"/>
      <c r="G16" s="1"/>
      <c r="H16" s="29"/>
      <c r="I16" s="1"/>
      <c r="J16" s="1"/>
      <c r="K16" s="1"/>
      <c r="L16" s="96"/>
    </row>
    <row r="17" spans="1:12" x14ac:dyDescent="0.25">
      <c r="A17" s="349"/>
      <c r="B17" s="95">
        <v>42319.559027777781</v>
      </c>
      <c r="C17" s="204">
        <f t="shared" si="0"/>
        <v>5.1215277777810115</v>
      </c>
      <c r="D17" s="98">
        <v>10</v>
      </c>
      <c r="E17" s="1"/>
      <c r="F17" s="1"/>
      <c r="G17" s="1"/>
      <c r="H17" s="29"/>
      <c r="I17" s="1"/>
      <c r="J17" s="1"/>
      <c r="K17" s="1"/>
      <c r="L17" s="96"/>
    </row>
    <row r="18" spans="1:12" x14ac:dyDescent="0.25">
      <c r="A18" s="349"/>
      <c r="B18" s="95">
        <v>42319.5625</v>
      </c>
      <c r="C18" s="204">
        <f t="shared" si="0"/>
        <v>5.125</v>
      </c>
      <c r="D18" s="98">
        <v>10</v>
      </c>
      <c r="E18" s="1"/>
      <c r="F18" s="1"/>
      <c r="G18" s="1"/>
      <c r="H18" s="29"/>
      <c r="I18" s="1"/>
      <c r="J18" s="1"/>
      <c r="K18" s="1"/>
      <c r="L18" s="96"/>
    </row>
    <row r="19" spans="1:12" x14ac:dyDescent="0.25">
      <c r="A19" s="349" t="s">
        <v>107</v>
      </c>
      <c r="B19" s="95">
        <v>42320.392361111109</v>
      </c>
      <c r="C19" s="204">
        <f t="shared" si="0"/>
        <v>5.9548611111094942</v>
      </c>
      <c r="D19" s="98">
        <v>2</v>
      </c>
    </row>
    <row r="20" spans="1:12" x14ac:dyDescent="0.25">
      <c r="A20" s="349"/>
      <c r="B20" s="95">
        <v>42320.395833333336</v>
      </c>
      <c r="C20" s="204">
        <f t="shared" si="0"/>
        <v>5.9583333333357587</v>
      </c>
      <c r="D20" s="98">
        <v>7</v>
      </c>
    </row>
    <row r="21" spans="1:12" x14ac:dyDescent="0.25">
      <c r="A21" s="349"/>
      <c r="B21" s="95">
        <v>42320.565972222219</v>
      </c>
      <c r="C21" s="204">
        <f t="shared" si="0"/>
        <v>6.1284722222189885</v>
      </c>
      <c r="D21" s="98">
        <v>12</v>
      </c>
    </row>
    <row r="22" spans="1:12" x14ac:dyDescent="0.25">
      <c r="A22" s="349"/>
      <c r="B22" s="95">
        <v>42320.569444444445</v>
      </c>
      <c r="C22" s="204">
        <f t="shared" si="0"/>
        <v>6.1319444444452529</v>
      </c>
      <c r="D22" s="98">
        <v>8</v>
      </c>
    </row>
    <row r="23" spans="1:12" x14ac:dyDescent="0.25">
      <c r="A23" s="349" t="s">
        <v>101</v>
      </c>
      <c r="B23" s="95">
        <v>42321.375</v>
      </c>
      <c r="C23" s="204">
        <f t="shared" si="0"/>
        <v>6.9375</v>
      </c>
      <c r="D23" s="98">
        <v>3</v>
      </c>
    </row>
    <row r="24" spans="1:12" x14ac:dyDescent="0.25">
      <c r="A24" s="349"/>
      <c r="B24" s="95">
        <v>42321.378472222219</v>
      </c>
      <c r="C24" s="204">
        <f t="shared" si="0"/>
        <v>6.9409722222189885</v>
      </c>
      <c r="D24" s="98">
        <v>1</v>
      </c>
    </row>
    <row r="25" spans="1:12" x14ac:dyDescent="0.25">
      <c r="A25" s="349"/>
      <c r="B25" s="95">
        <v>42321.572916666664</v>
      </c>
      <c r="C25" s="204">
        <f t="shared" si="0"/>
        <v>7.1354166666642413</v>
      </c>
      <c r="D25" s="98">
        <v>2</v>
      </c>
    </row>
    <row r="26" spans="1:12" x14ac:dyDescent="0.25">
      <c r="A26" s="349"/>
      <c r="B26" s="95">
        <v>42321.576388888891</v>
      </c>
      <c r="C26" s="204">
        <f t="shared" si="0"/>
        <v>7.1388888888905058</v>
      </c>
      <c r="D26" s="98">
        <v>2</v>
      </c>
    </row>
    <row r="27" spans="1:12" x14ac:dyDescent="0.25">
      <c r="A27" s="349" t="s">
        <v>103</v>
      </c>
      <c r="B27" s="95">
        <v>42324.440972222219</v>
      </c>
      <c r="C27" s="204">
        <f t="shared" si="0"/>
        <v>10.003472222218988</v>
      </c>
      <c r="D27" s="98">
        <v>1</v>
      </c>
    </row>
    <row r="28" spans="1:12" x14ac:dyDescent="0.25">
      <c r="A28" s="349"/>
      <c r="B28" s="95">
        <v>42324.444444444445</v>
      </c>
      <c r="C28" s="205">
        <f t="shared" si="0"/>
        <v>10.006944444445253</v>
      </c>
      <c r="D28" s="99">
        <v>0.1</v>
      </c>
      <c r="E28" s="21" t="s">
        <v>108</v>
      </c>
      <c r="F28" s="21"/>
    </row>
    <row r="29" spans="1:12" x14ac:dyDescent="0.25">
      <c r="A29" s="349"/>
      <c r="B29" s="95">
        <v>42324.579861111109</v>
      </c>
      <c r="C29" s="204">
        <f t="shared" si="0"/>
        <v>10.142361111109494</v>
      </c>
      <c r="D29" s="98">
        <v>1</v>
      </c>
    </row>
    <row r="30" spans="1:12" x14ac:dyDescent="0.25">
      <c r="A30" s="349"/>
      <c r="B30" s="95">
        <v>42324.583333333336</v>
      </c>
      <c r="C30" s="204">
        <f t="shared" si="0"/>
        <v>10.145833333335759</v>
      </c>
      <c r="D30" s="98">
        <v>0.1</v>
      </c>
    </row>
    <row r="31" spans="1:12" x14ac:dyDescent="0.25">
      <c r="A31" s="349" t="s">
        <v>104</v>
      </c>
      <c r="B31" s="95">
        <v>42325.388888888891</v>
      </c>
      <c r="C31" s="204">
        <f t="shared" si="0"/>
        <v>10.951388888890506</v>
      </c>
      <c r="D31" s="98">
        <v>0.1</v>
      </c>
    </row>
    <row r="32" spans="1:12" x14ac:dyDescent="0.25">
      <c r="A32" s="349"/>
      <c r="B32" s="95">
        <v>42325.392361111109</v>
      </c>
      <c r="C32" s="204">
        <f t="shared" si="0"/>
        <v>10.954861111109494</v>
      </c>
      <c r="D32" s="98">
        <v>0.1</v>
      </c>
    </row>
    <row r="33" spans="1:4" x14ac:dyDescent="0.25">
      <c r="A33" s="349"/>
      <c r="B33" s="95">
        <v>42325.600694444445</v>
      </c>
      <c r="C33" s="204">
        <f t="shared" si="0"/>
        <v>11.163194444445253</v>
      </c>
      <c r="D33" s="98">
        <v>0.1</v>
      </c>
    </row>
    <row r="34" spans="1:4" x14ac:dyDescent="0.25">
      <c r="A34" s="349"/>
      <c r="B34" s="95">
        <v>42325.604166666664</v>
      </c>
      <c r="C34" s="204">
        <f t="shared" si="0"/>
        <v>11.166666666664241</v>
      </c>
      <c r="D34" s="98">
        <v>0.1</v>
      </c>
    </row>
    <row r="35" spans="1:4" x14ac:dyDescent="0.25">
      <c r="A35" s="349" t="s">
        <v>106</v>
      </c>
      <c r="B35" s="95">
        <v>42326.350694444445</v>
      </c>
      <c r="C35" s="204">
        <f t="shared" si="0"/>
        <v>11.913194444445253</v>
      </c>
      <c r="D35" s="98">
        <v>0.1</v>
      </c>
    </row>
    <row r="36" spans="1:4" x14ac:dyDescent="0.25">
      <c r="A36" s="349"/>
      <c r="B36" s="95">
        <v>42326.354166666664</v>
      </c>
      <c r="C36" s="204">
        <f t="shared" si="0"/>
        <v>11.916666666664241</v>
      </c>
      <c r="D36" s="98">
        <v>0.1</v>
      </c>
    </row>
    <row r="37" spans="1:4" x14ac:dyDescent="0.25">
      <c r="A37" s="349"/>
      <c r="B37" s="95">
        <v>42326.618055555555</v>
      </c>
      <c r="C37" s="204">
        <f t="shared" si="0"/>
        <v>12.180555555554747</v>
      </c>
      <c r="D37" s="98">
        <v>0.1</v>
      </c>
    </row>
    <row r="38" spans="1:4" x14ac:dyDescent="0.25">
      <c r="A38" s="349"/>
      <c r="B38" s="95">
        <v>42326.621527777781</v>
      </c>
      <c r="C38" s="204">
        <f t="shared" si="0"/>
        <v>12.184027777781012</v>
      </c>
      <c r="D38" s="98">
        <v>0.1</v>
      </c>
    </row>
    <row r="39" spans="1:4" x14ac:dyDescent="0.25">
      <c r="A39" s="349" t="s">
        <v>107</v>
      </c>
      <c r="B39" s="95">
        <v>42327.385416666664</v>
      </c>
      <c r="C39" s="204">
        <f t="shared" si="0"/>
        <v>12.947916666664241</v>
      </c>
      <c r="D39" s="98">
        <v>0.1</v>
      </c>
    </row>
    <row r="40" spans="1:4" x14ac:dyDescent="0.25">
      <c r="A40" s="349"/>
      <c r="B40" s="95">
        <v>42327.388888888891</v>
      </c>
      <c r="C40" s="204">
        <f t="shared" si="0"/>
        <v>12.951388888890506</v>
      </c>
      <c r="D40" s="98">
        <v>0.1</v>
      </c>
    </row>
    <row r="41" spans="1:4" x14ac:dyDescent="0.25">
      <c r="A41" s="349"/>
      <c r="B41" s="95">
        <v>42327.576388888891</v>
      </c>
      <c r="C41" s="204">
        <f t="shared" si="0"/>
        <v>13.138888888890506</v>
      </c>
      <c r="D41" s="98">
        <v>0.1</v>
      </c>
    </row>
    <row r="42" spans="1:4" x14ac:dyDescent="0.25">
      <c r="A42" s="349"/>
      <c r="B42" s="95">
        <v>42327.579861111109</v>
      </c>
      <c r="C42" s="204">
        <f t="shared" si="0"/>
        <v>13.142361111109494</v>
      </c>
      <c r="D42" s="98">
        <v>0.1</v>
      </c>
    </row>
    <row r="43" spans="1:4" x14ac:dyDescent="0.25">
      <c r="A43" s="349" t="s">
        <v>103</v>
      </c>
      <c r="B43" s="95">
        <v>42338.416666666664</v>
      </c>
      <c r="C43" s="204">
        <f t="shared" si="0"/>
        <v>23.979166666664241</v>
      </c>
      <c r="D43" s="98">
        <v>0.1</v>
      </c>
    </row>
    <row r="44" spans="1:4" x14ac:dyDescent="0.25">
      <c r="A44" s="349"/>
      <c r="B44" s="95">
        <v>42338.427083333336</v>
      </c>
      <c r="C44" s="204">
        <f t="shared" si="0"/>
        <v>23.989583333335759</v>
      </c>
      <c r="D44" s="98">
        <v>0.1</v>
      </c>
    </row>
    <row r="45" spans="1:4" x14ac:dyDescent="0.25">
      <c r="A45" s="349"/>
      <c r="B45" s="95">
        <v>42338.565972222219</v>
      </c>
      <c r="C45" s="204">
        <f t="shared" si="0"/>
        <v>24.128472222218988</v>
      </c>
      <c r="D45" s="98">
        <v>0.1</v>
      </c>
    </row>
    <row r="46" spans="1:4" x14ac:dyDescent="0.25">
      <c r="A46" s="349"/>
      <c r="B46" s="95">
        <v>42338.569444444445</v>
      </c>
      <c r="C46" s="204">
        <f t="shared" si="0"/>
        <v>24.131944444445253</v>
      </c>
      <c r="D46" s="98">
        <v>0.1</v>
      </c>
    </row>
    <row r="49" spans="1:6" x14ac:dyDescent="0.25">
      <c r="A49" s="293" t="s">
        <v>109</v>
      </c>
      <c r="B49" s="293"/>
      <c r="C49" s="293"/>
      <c r="D49" s="293"/>
      <c r="E49" s="293"/>
      <c r="F49" s="293"/>
    </row>
    <row r="50" spans="1:6" x14ac:dyDescent="0.25">
      <c r="A50" s="347" t="s">
        <v>110</v>
      </c>
      <c r="B50" s="347"/>
      <c r="C50" s="200"/>
      <c r="D50" s="22"/>
      <c r="E50" s="347" t="s">
        <v>111</v>
      </c>
      <c r="F50" s="347"/>
    </row>
    <row r="51" spans="1:6" ht="45" x14ac:dyDescent="0.25">
      <c r="A51" s="100" t="s">
        <v>112</v>
      </c>
      <c r="B51" s="101" t="s">
        <v>113</v>
      </c>
      <c r="C51" s="101"/>
      <c r="D51" s="22"/>
      <c r="E51" s="100" t="s">
        <v>112</v>
      </c>
      <c r="F51" s="101" t="s">
        <v>113</v>
      </c>
    </row>
    <row r="52" spans="1:6" x14ac:dyDescent="0.25">
      <c r="A52" s="22" t="s">
        <v>114</v>
      </c>
      <c r="B52" s="23">
        <v>0</v>
      </c>
      <c r="C52" s="200"/>
      <c r="D52" s="22"/>
      <c r="E52" s="22" t="s">
        <v>114</v>
      </c>
      <c r="F52" s="23">
        <v>0</v>
      </c>
    </row>
    <row r="53" spans="1:6" x14ac:dyDescent="0.25">
      <c r="A53" s="22" t="s">
        <v>115</v>
      </c>
      <c r="B53" s="23">
        <v>0</v>
      </c>
      <c r="C53" s="200"/>
      <c r="D53" s="22"/>
      <c r="E53" s="22" t="s">
        <v>115</v>
      </c>
      <c r="F53" s="23">
        <v>0</v>
      </c>
    </row>
    <row r="54" spans="1:6" x14ac:dyDescent="0.25">
      <c r="A54" s="22" t="s">
        <v>116</v>
      </c>
      <c r="B54" s="23">
        <v>0</v>
      </c>
      <c r="C54" s="200"/>
      <c r="D54" s="22"/>
      <c r="E54" s="22" t="s">
        <v>116</v>
      </c>
      <c r="F54" s="23">
        <v>0</v>
      </c>
    </row>
    <row r="55" spans="1:6" x14ac:dyDescent="0.25">
      <c r="A55" s="22" t="s">
        <v>117</v>
      </c>
      <c r="B55" s="23">
        <v>0</v>
      </c>
      <c r="C55" s="200"/>
      <c r="D55" s="22"/>
      <c r="E55" s="22" t="s">
        <v>117</v>
      </c>
      <c r="F55" s="23">
        <v>0</v>
      </c>
    </row>
    <row r="56" spans="1:6" x14ac:dyDescent="0.25">
      <c r="A56" s="22" t="s">
        <v>118</v>
      </c>
      <c r="B56" s="23">
        <v>0</v>
      </c>
      <c r="C56" s="200"/>
      <c r="D56" s="22"/>
      <c r="E56" s="22" t="s">
        <v>118</v>
      </c>
      <c r="F56" s="23">
        <v>0</v>
      </c>
    </row>
    <row r="57" spans="1:6" x14ac:dyDescent="0.25">
      <c r="A57" s="22" t="s">
        <v>119</v>
      </c>
      <c r="B57" s="23">
        <v>0</v>
      </c>
      <c r="C57" s="200"/>
      <c r="D57" s="22"/>
      <c r="E57" s="22" t="s">
        <v>119</v>
      </c>
      <c r="F57" s="23">
        <v>0</v>
      </c>
    </row>
    <row r="58" spans="1:6" x14ac:dyDescent="0.25">
      <c r="A58" s="22" t="s">
        <v>120</v>
      </c>
      <c r="B58" s="23">
        <v>0</v>
      </c>
      <c r="C58" s="200"/>
      <c r="D58" s="22"/>
      <c r="E58" s="22" t="s">
        <v>120</v>
      </c>
      <c r="F58" s="23">
        <v>0</v>
      </c>
    </row>
    <row r="59" spans="1:6" x14ac:dyDescent="0.25">
      <c r="A59" s="22" t="s">
        <v>121</v>
      </c>
      <c r="B59" s="23">
        <v>0</v>
      </c>
      <c r="C59" s="200"/>
      <c r="D59" s="22"/>
      <c r="E59" s="22" t="s">
        <v>121</v>
      </c>
      <c r="F59" s="23">
        <v>0</v>
      </c>
    </row>
    <row r="60" spans="1:6" x14ac:dyDescent="0.25">
      <c r="A60" s="22" t="s">
        <v>122</v>
      </c>
      <c r="B60" s="23">
        <v>0</v>
      </c>
      <c r="C60" s="200"/>
      <c r="D60" s="22"/>
      <c r="E60" s="22" t="s">
        <v>122</v>
      </c>
      <c r="F60" s="23">
        <v>0</v>
      </c>
    </row>
    <row r="61" spans="1:6" x14ac:dyDescent="0.25">
      <c r="A61" s="22" t="s">
        <v>123</v>
      </c>
      <c r="B61" s="23">
        <v>0</v>
      </c>
      <c r="C61" s="200"/>
      <c r="D61" s="22"/>
      <c r="E61" s="22" t="s">
        <v>123</v>
      </c>
      <c r="F61" s="23">
        <v>0</v>
      </c>
    </row>
    <row r="62" spans="1:6" x14ac:dyDescent="0.25">
      <c r="A62" s="22" t="s">
        <v>124</v>
      </c>
      <c r="B62" s="23">
        <v>0</v>
      </c>
      <c r="C62" s="200"/>
      <c r="D62" s="22"/>
      <c r="E62" s="22" t="s">
        <v>124</v>
      </c>
      <c r="F62" s="23">
        <v>0</v>
      </c>
    </row>
    <row r="63" spans="1:6" x14ac:dyDescent="0.25">
      <c r="A63" s="22" t="s">
        <v>125</v>
      </c>
      <c r="B63" s="23">
        <v>0</v>
      </c>
      <c r="C63" s="200"/>
      <c r="D63" s="22"/>
      <c r="E63" s="22" t="s">
        <v>125</v>
      </c>
      <c r="F63" s="23">
        <v>0</v>
      </c>
    </row>
    <row r="64" spans="1:6" x14ac:dyDescent="0.25">
      <c r="B64" s="1"/>
      <c r="C64" s="1"/>
      <c r="D64"/>
      <c r="F64" s="1"/>
    </row>
    <row r="65" spans="1:10" x14ac:dyDescent="0.25">
      <c r="A65" s="348" t="s">
        <v>126</v>
      </c>
      <c r="B65" s="348"/>
      <c r="C65" s="348"/>
      <c r="D65" s="348"/>
      <c r="E65" s="348"/>
      <c r="F65" s="348"/>
    </row>
    <row r="66" spans="1:10" x14ac:dyDescent="0.25">
      <c r="A66" s="330" t="s">
        <v>110</v>
      </c>
      <c r="B66" s="330"/>
      <c r="C66" s="199"/>
      <c r="D66" s="24"/>
      <c r="E66" s="330" t="s">
        <v>111</v>
      </c>
      <c r="F66" s="330"/>
    </row>
    <row r="67" spans="1:10" ht="30" x14ac:dyDescent="0.25">
      <c r="A67" s="102" t="s">
        <v>112</v>
      </c>
      <c r="B67" s="103" t="s">
        <v>127</v>
      </c>
      <c r="C67" s="103"/>
      <c r="D67" s="24"/>
      <c r="E67" s="102" t="s">
        <v>112</v>
      </c>
      <c r="F67" s="103" t="s">
        <v>127</v>
      </c>
    </row>
    <row r="68" spans="1:10" x14ac:dyDescent="0.25">
      <c r="A68" s="24" t="s">
        <v>114</v>
      </c>
      <c r="B68" s="104">
        <f>AVERAGE(41000,79000,80000,80000)</f>
        <v>70000</v>
      </c>
      <c r="C68" s="104"/>
      <c r="D68" s="24"/>
      <c r="E68" s="24" t="s">
        <v>116</v>
      </c>
      <c r="F68" s="104">
        <v>2</v>
      </c>
    </row>
    <row r="69" spans="1:10" x14ac:dyDescent="0.25">
      <c r="A69" s="24" t="s">
        <v>115</v>
      </c>
      <c r="B69" s="104">
        <f>AVERAGE(339,324,600,100)</f>
        <v>340.75</v>
      </c>
      <c r="C69" s="104"/>
      <c r="D69" s="24"/>
      <c r="E69" s="24" t="s">
        <v>117</v>
      </c>
      <c r="F69" s="104">
        <f>AVERAGE(48,43)</f>
        <v>45.5</v>
      </c>
    </row>
    <row r="70" spans="1:10" x14ac:dyDescent="0.25">
      <c r="A70" s="24" t="s">
        <v>122</v>
      </c>
      <c r="B70" s="104">
        <f>AVERAGE(28,15)</f>
        <v>21.5</v>
      </c>
      <c r="C70" s="104"/>
      <c r="D70" s="24"/>
      <c r="E70" s="24" t="s">
        <v>118</v>
      </c>
      <c r="F70" s="104">
        <v>0</v>
      </c>
    </row>
    <row r="71" spans="1:10" x14ac:dyDescent="0.25">
      <c r="A71" s="24" t="s">
        <v>123</v>
      </c>
      <c r="B71" s="104">
        <v>3</v>
      </c>
      <c r="C71" s="104"/>
      <c r="D71" s="24"/>
      <c r="E71" s="24" t="s">
        <v>119</v>
      </c>
      <c r="F71" s="104">
        <v>0</v>
      </c>
    </row>
    <row r="72" spans="1:10" x14ac:dyDescent="0.25">
      <c r="A72" s="24" t="s">
        <v>124</v>
      </c>
      <c r="B72" s="104">
        <f>AVERAGE(150000,280000)</f>
        <v>215000</v>
      </c>
      <c r="C72" s="104"/>
      <c r="D72" s="24"/>
      <c r="E72" s="24" t="s">
        <v>120</v>
      </c>
      <c r="F72" s="104">
        <v>0</v>
      </c>
    </row>
    <row r="73" spans="1:10" x14ac:dyDescent="0.25">
      <c r="A73" s="24" t="s">
        <v>125</v>
      </c>
      <c r="B73" s="104">
        <f>AVERAGE(738,10000,12000,60000)</f>
        <v>20684.5</v>
      </c>
      <c r="C73" s="104"/>
      <c r="D73" s="24"/>
      <c r="E73" s="24" t="s">
        <v>121</v>
      </c>
      <c r="F73" s="104">
        <v>0</v>
      </c>
      <c r="G73" s="105" t="s">
        <v>128</v>
      </c>
    </row>
    <row r="74" spans="1:10" x14ac:dyDescent="0.25">
      <c r="A74" s="106" t="s">
        <v>129</v>
      </c>
      <c r="B74" s="107">
        <f>AVERAGE(B68,B70,B72)</f>
        <v>95007.166666666672</v>
      </c>
      <c r="C74" s="110"/>
      <c r="D74" s="108"/>
      <c r="E74" s="108"/>
      <c r="F74" s="107">
        <f>AVERAGE(F68,F70,F72)</f>
        <v>0.66666666666666663</v>
      </c>
      <c r="G74" s="109">
        <f>-LOG(F74/B74)</f>
        <v>5.153847625674989</v>
      </c>
    </row>
    <row r="75" spans="1:10" x14ac:dyDescent="0.25">
      <c r="A75" s="106" t="s">
        <v>130</v>
      </c>
      <c r="B75" s="110">
        <f>AVERAGE(B69,B71,B73)</f>
        <v>7009.416666666667</v>
      </c>
      <c r="C75" s="110"/>
      <c r="D75" s="108"/>
      <c r="E75" s="108"/>
      <c r="F75" s="110">
        <f>AVERAGE(F69,F71,F73)</f>
        <v>15.166666666666666</v>
      </c>
      <c r="G75" s="109">
        <f>-LOG(F75/B75)</f>
        <v>2.6647917349466019</v>
      </c>
      <c r="H75" s="111"/>
      <c r="I75" s="111"/>
      <c r="J75" s="111"/>
    </row>
    <row r="76" spans="1:10" x14ac:dyDescent="0.25">
      <c r="A76" s="112" t="s">
        <v>131</v>
      </c>
      <c r="B76" s="113"/>
      <c r="C76" s="113"/>
      <c r="D76" s="114"/>
      <c r="E76" s="114"/>
      <c r="F76" s="113"/>
      <c r="G76" s="115"/>
      <c r="H76" s="115"/>
      <c r="I76" s="115"/>
      <c r="J76" s="115"/>
    </row>
    <row r="77" spans="1:10" x14ac:dyDescent="0.25">
      <c r="A77" s="116" t="s">
        <v>132</v>
      </c>
      <c r="B77" s="117"/>
      <c r="C77" s="117"/>
      <c r="D77" s="116"/>
      <c r="E77" s="116"/>
      <c r="F77" s="117"/>
    </row>
  </sheetData>
  <mergeCells count="17">
    <mergeCell ref="A49:F49"/>
    <mergeCell ref="A5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50:B50"/>
    <mergeCell ref="E50:F50"/>
    <mergeCell ref="A65:F65"/>
    <mergeCell ref="A66:B66"/>
    <mergeCell ref="E66:F6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B1"/>
    </sheetView>
  </sheetViews>
  <sheetFormatPr defaultRowHeight="15" x14ac:dyDescent="0.25"/>
  <cols>
    <col min="1" max="1" width="11.5703125" style="1" customWidth="1"/>
    <col min="2" max="2" width="12.85546875" style="1" customWidth="1"/>
    <col min="3" max="3" width="14.7109375" style="1" bestFit="1" customWidth="1"/>
    <col min="4" max="4" width="13.7109375" style="1" bestFit="1" customWidth="1"/>
    <col min="5" max="5" width="16.42578125" style="1" bestFit="1" customWidth="1"/>
    <col min="6" max="6" width="16" style="1" bestFit="1" customWidth="1"/>
    <col min="7" max="7" width="11.42578125" style="1" customWidth="1"/>
    <col min="8" max="8" width="12" style="1" customWidth="1"/>
    <col min="9" max="9" width="16" style="1" customWidth="1"/>
    <col min="10" max="10" width="11.5703125" style="1" customWidth="1"/>
    <col min="11" max="11" width="10.7109375" style="1" customWidth="1"/>
    <col min="12" max="16384" width="9.140625" style="1"/>
  </cols>
  <sheetData>
    <row r="1" spans="1:11" s="188" customFormat="1" ht="60" x14ac:dyDescent="0.25">
      <c r="A1" s="352" t="s">
        <v>518</v>
      </c>
      <c r="B1" s="352"/>
      <c r="C1" s="227" t="s">
        <v>477</v>
      </c>
      <c r="D1" s="227" t="s">
        <v>472</v>
      </c>
      <c r="E1" s="227" t="s">
        <v>515</v>
      </c>
      <c r="F1" s="227" t="s">
        <v>478</v>
      </c>
      <c r="G1" s="227" t="s">
        <v>479</v>
      </c>
    </row>
    <row r="2" spans="1:11" s="30" customFormat="1" x14ac:dyDescent="0.25">
      <c r="A2" s="228" t="s">
        <v>519</v>
      </c>
      <c r="B2" s="228" t="s">
        <v>511</v>
      </c>
      <c r="C2" s="228"/>
      <c r="D2" s="228" t="s">
        <v>312</v>
      </c>
      <c r="E2" s="228" t="s">
        <v>36</v>
      </c>
      <c r="F2" s="228" t="s">
        <v>36</v>
      </c>
      <c r="G2" s="228" t="s">
        <v>36</v>
      </c>
    </row>
    <row r="3" spans="1:11" x14ac:dyDescent="0.25">
      <c r="A3" s="231">
        <f>AVERAGE('D&amp;F ClO2 (Feb 2016)'!D7:E11)</f>
        <v>366333.33333333331</v>
      </c>
      <c r="B3" s="231">
        <f>STDEV('D&amp;F ClO2 (Feb 2016)'!D7:E11)</f>
        <v>271329.81160695682</v>
      </c>
      <c r="C3" s="232" t="s">
        <v>474</v>
      </c>
      <c r="D3" s="232">
        <v>120</v>
      </c>
      <c r="E3" s="232" t="s">
        <v>476</v>
      </c>
      <c r="F3" s="232" t="s">
        <v>476</v>
      </c>
      <c r="G3" s="232" t="s">
        <v>476</v>
      </c>
    </row>
    <row r="4" spans="1:11" x14ac:dyDescent="0.25">
      <c r="A4" s="231">
        <f>AVERAGE('D&amp;F Cl02 (June 2016)'!D7:E11)</f>
        <v>915000</v>
      </c>
      <c r="B4" s="231">
        <f>STDEV('D&amp;F Cl02 (June 2016)'!D7:E11)</f>
        <v>294329.74705251929</v>
      </c>
      <c r="C4" s="232" t="s">
        <v>475</v>
      </c>
      <c r="D4" s="232">
        <v>140</v>
      </c>
      <c r="E4" s="232" t="s">
        <v>476</v>
      </c>
      <c r="F4" s="232" t="s">
        <v>476</v>
      </c>
      <c r="G4" s="232" t="s">
        <v>476</v>
      </c>
    </row>
    <row r="5" spans="1:11" x14ac:dyDescent="0.25">
      <c r="A5" s="229">
        <f>AVERAGE('D&amp;F ClO2 (Aug 2016)'!D8:E11)</f>
        <v>244500</v>
      </c>
      <c r="B5" s="229">
        <f>STDEV('D&amp;F ClO2 (Aug 2016)'!D8:E11)</f>
        <v>240889.32451785129</v>
      </c>
      <c r="C5" s="230" t="s">
        <v>475</v>
      </c>
      <c r="D5" s="230">
        <v>18</v>
      </c>
      <c r="E5" s="230" t="s">
        <v>476</v>
      </c>
      <c r="F5" s="230" t="s">
        <v>476</v>
      </c>
      <c r="G5" s="230" t="s">
        <v>476</v>
      </c>
    </row>
    <row r="6" spans="1:11" x14ac:dyDescent="0.25">
      <c r="A6" s="233">
        <f>AVERAGE('D&amp;F O3 (March 2016)'!D7:E11)</f>
        <v>557666.66666666663</v>
      </c>
      <c r="B6" s="233">
        <f>STDEV('D&amp;F O3 (March 2016)'!D7:E11)</f>
        <v>448018.60080432671</v>
      </c>
      <c r="C6" s="234" t="s">
        <v>473</v>
      </c>
      <c r="D6" s="234">
        <v>1.25</v>
      </c>
      <c r="E6" s="234" t="s">
        <v>476</v>
      </c>
      <c r="F6" s="234" t="s">
        <v>476</v>
      </c>
      <c r="G6" s="233">
        <f>8.5</f>
        <v>8.5</v>
      </c>
      <c r="H6" s="187" t="s">
        <v>481</v>
      </c>
    </row>
    <row r="7" spans="1:11" x14ac:dyDescent="0.25">
      <c r="A7" s="233">
        <f>AVERAGE('D&amp;F O3 (April 2016)'!D7:E11)</f>
        <v>2638333.3333333335</v>
      </c>
      <c r="B7" s="233">
        <f>STDEV('D&amp;F O3 (April 2016)'!D7:E11)</f>
        <v>3642298.2671201802</v>
      </c>
      <c r="C7" s="234" t="s">
        <v>473</v>
      </c>
      <c r="D7" s="234">
        <v>1.04</v>
      </c>
      <c r="E7" s="234" t="s">
        <v>476</v>
      </c>
      <c r="F7" s="234" t="s">
        <v>476</v>
      </c>
      <c r="G7" s="233">
        <f>8.8*10^1</f>
        <v>88</v>
      </c>
    </row>
    <row r="8" spans="1:11" x14ac:dyDescent="0.25">
      <c r="A8" s="203" t="s">
        <v>517</v>
      </c>
    </row>
    <row r="9" spans="1:11" x14ac:dyDescent="0.25">
      <c r="A9" s="203" t="s">
        <v>516</v>
      </c>
    </row>
    <row r="10" spans="1:11" x14ac:dyDescent="0.25">
      <c r="A10" s="203" t="s">
        <v>480</v>
      </c>
    </row>
    <row r="13" spans="1:11" x14ac:dyDescent="0.25">
      <c r="A13" s="330" t="s">
        <v>110</v>
      </c>
      <c r="B13" s="330"/>
      <c r="C13" s="350" t="s">
        <v>482</v>
      </c>
      <c r="D13" s="351"/>
      <c r="E13" s="351"/>
      <c r="F13" s="351" t="s">
        <v>483</v>
      </c>
      <c r="G13" s="351"/>
      <c r="H13" s="351"/>
      <c r="I13" s="351" t="s">
        <v>484</v>
      </c>
      <c r="J13" s="351"/>
      <c r="K13" s="351"/>
    </row>
    <row r="14" spans="1:11" s="202" customFormat="1" ht="29.25" customHeight="1" x14ac:dyDescent="0.25">
      <c r="A14" s="102" t="s">
        <v>112</v>
      </c>
      <c r="B14" s="103" t="s">
        <v>520</v>
      </c>
      <c r="C14" s="202" t="s">
        <v>487</v>
      </c>
      <c r="D14" s="202" t="s">
        <v>488</v>
      </c>
      <c r="E14" s="202" t="s">
        <v>489</v>
      </c>
      <c r="F14" s="202" t="s">
        <v>487</v>
      </c>
      <c r="G14" s="202" t="s">
        <v>488</v>
      </c>
      <c r="H14" s="202" t="s">
        <v>489</v>
      </c>
      <c r="I14" s="202" t="s">
        <v>487</v>
      </c>
      <c r="J14" s="202" t="s">
        <v>488</v>
      </c>
      <c r="K14" s="202" t="s">
        <v>489</v>
      </c>
    </row>
    <row r="15" spans="1:11" x14ac:dyDescent="0.25">
      <c r="A15" s="24" t="s">
        <v>114</v>
      </c>
      <c r="B15" s="104">
        <f>'Coliform persistence+D&amp;F (Nov )'!B68</f>
        <v>70000</v>
      </c>
      <c r="C15" s="29">
        <f>'D&amp;F ClO2 (Feb 2016)'!H13</f>
        <v>43</v>
      </c>
      <c r="D15" s="206">
        <f t="shared" ref="D15:D20" si="0">($B15-C15)/$B15</f>
        <v>0.99938571428571432</v>
      </c>
      <c r="E15" s="181">
        <f>-LOG(C15/B15)</f>
        <v>3.2116295844346703</v>
      </c>
      <c r="F15" s="29">
        <f>'D&amp;F Cl02 (June 2016)'!H13</f>
        <v>240</v>
      </c>
      <c r="G15" s="206">
        <f t="shared" ref="G15:G20" si="1">($B15-F15)/$B15</f>
        <v>0.99657142857142855</v>
      </c>
      <c r="H15" s="181">
        <f>-LOG(F15/B15)</f>
        <v>2.464886798302651</v>
      </c>
      <c r="I15" s="29">
        <f>'D&amp;F ClO2 (Aug 2016)'!H13</f>
        <v>2</v>
      </c>
      <c r="J15" s="206">
        <f>($B15-I15)/$B15</f>
        <v>0.99997142857142862</v>
      </c>
      <c r="K15" s="181">
        <f>-LOG(I15/B15)</f>
        <v>4.5440680443502757</v>
      </c>
    </row>
    <row r="16" spans="1:11" x14ac:dyDescent="0.25">
      <c r="A16" s="24" t="s">
        <v>115</v>
      </c>
      <c r="B16" s="104">
        <f>'Coliform persistence+D&amp;F (Nov )'!B69</f>
        <v>340.75</v>
      </c>
      <c r="C16" s="29">
        <f>'D&amp;F ClO2 (Feb 2016)'!I13</f>
        <v>300</v>
      </c>
      <c r="D16" s="206">
        <f t="shared" si="0"/>
        <v>0.11958914159941306</v>
      </c>
      <c r="E16" s="181">
        <f t="shared" ref="E16:E17" si="2">-LOG(C16/B16)</f>
        <v>5.5314609787048712E-2</v>
      </c>
      <c r="F16" s="29">
        <v>1</v>
      </c>
      <c r="G16" s="206">
        <f t="shared" si="1"/>
        <v>0.99706529713866476</v>
      </c>
      <c r="H16" s="181" t="s">
        <v>494</v>
      </c>
      <c r="I16" s="29">
        <v>1</v>
      </c>
      <c r="J16" s="206">
        <f>($B16-I16)/$B16</f>
        <v>0.99706529713866476</v>
      </c>
      <c r="K16" s="181" t="s">
        <v>494</v>
      </c>
    </row>
    <row r="17" spans="1:11" x14ac:dyDescent="0.25">
      <c r="A17" s="24" t="s">
        <v>122</v>
      </c>
      <c r="B17" s="104">
        <f>'Coliform persistence+D&amp;F (Nov )'!B70</f>
        <v>21.5</v>
      </c>
      <c r="C17" s="29">
        <f>'D&amp;F ClO2 (Feb 2016)'!H17</f>
        <v>3</v>
      </c>
      <c r="D17" s="206">
        <f t="shared" si="0"/>
        <v>0.86046511627906974</v>
      </c>
      <c r="E17" s="181">
        <f t="shared" si="2"/>
        <v>0.8553172051959429</v>
      </c>
      <c r="F17" s="29">
        <v>1</v>
      </c>
      <c r="G17" s="206">
        <f t="shared" si="1"/>
        <v>0.95348837209302328</v>
      </c>
      <c r="H17" s="181" t="s">
        <v>495</v>
      </c>
      <c r="I17" s="29">
        <f>'D&amp;F ClO2 (Aug 2016)'!H17</f>
        <v>41</v>
      </c>
      <c r="J17" s="206" t="s">
        <v>493</v>
      </c>
      <c r="K17" s="181" t="s">
        <v>492</v>
      </c>
    </row>
    <row r="18" spans="1:11" x14ac:dyDescent="0.25">
      <c r="A18" s="24" t="s">
        <v>123</v>
      </c>
      <c r="B18" s="104">
        <f>'Coliform persistence+D&amp;F (Nov )'!B71</f>
        <v>3</v>
      </c>
      <c r="C18" s="29">
        <f>'D&amp;F ClO2 (Feb 2016)'!I17</f>
        <v>6</v>
      </c>
      <c r="D18" s="206" t="s">
        <v>493</v>
      </c>
      <c r="E18" s="181" t="s">
        <v>492</v>
      </c>
      <c r="F18" s="29">
        <v>1</v>
      </c>
      <c r="G18" s="206">
        <f t="shared" si="1"/>
        <v>0.66666666666666663</v>
      </c>
      <c r="H18" s="181" t="s">
        <v>496</v>
      </c>
      <c r="I18" s="29">
        <f>'D&amp;F ClO2 (Aug 2016)'!I17</f>
        <v>3</v>
      </c>
      <c r="J18" s="206">
        <f>($B18-I18)/$B18</f>
        <v>0</v>
      </c>
      <c r="K18" s="181">
        <f t="shared" ref="K18" si="3">-LOG(I18/B18)</f>
        <v>0</v>
      </c>
    </row>
    <row r="19" spans="1:11" x14ac:dyDescent="0.25">
      <c r="A19" s="24" t="s">
        <v>124</v>
      </c>
      <c r="B19" s="104">
        <f>'Coliform persistence+D&amp;F (Nov )'!B72</f>
        <v>215000</v>
      </c>
      <c r="C19" s="29">
        <v>1</v>
      </c>
      <c r="D19" s="221">
        <f t="shared" si="0"/>
        <v>0.99999534883720931</v>
      </c>
      <c r="E19" s="181" t="s">
        <v>490</v>
      </c>
      <c r="F19" s="29">
        <v>1</v>
      </c>
      <c r="G19" s="221">
        <f t="shared" si="1"/>
        <v>0.99999534883720931</v>
      </c>
      <c r="H19" s="181" t="s">
        <v>490</v>
      </c>
      <c r="I19" s="29">
        <v>1</v>
      </c>
      <c r="J19" s="206">
        <f>($B19-I19)/$B19</f>
        <v>0.99999534883720931</v>
      </c>
      <c r="K19" s="181" t="s">
        <v>490</v>
      </c>
    </row>
    <row r="20" spans="1:11" x14ac:dyDescent="0.25">
      <c r="A20" s="24" t="s">
        <v>125</v>
      </c>
      <c r="B20" s="104">
        <f>'Coliform persistence+D&amp;F (Nov )'!B73</f>
        <v>20684.5</v>
      </c>
      <c r="C20" s="29">
        <v>1</v>
      </c>
      <c r="D20" s="221">
        <f t="shared" si="0"/>
        <v>0.99995165462060964</v>
      </c>
      <c r="E20" s="181" t="s">
        <v>491</v>
      </c>
      <c r="F20" s="29">
        <v>1</v>
      </c>
      <c r="G20" s="221">
        <f t="shared" si="1"/>
        <v>0.99995165462060964</v>
      </c>
      <c r="H20" s="181" t="s">
        <v>491</v>
      </c>
      <c r="I20" s="29">
        <v>1</v>
      </c>
      <c r="J20" s="206">
        <f>($B20-I20)/$B20</f>
        <v>0.99995165462060964</v>
      </c>
      <c r="K20" s="181" t="s">
        <v>491</v>
      </c>
    </row>
    <row r="22" spans="1:11" x14ac:dyDescent="0.25">
      <c r="C22" s="351" t="s">
        <v>485</v>
      </c>
      <c r="D22" s="351"/>
      <c r="E22" s="351"/>
      <c r="F22" s="351" t="s">
        <v>486</v>
      </c>
      <c r="G22" s="351"/>
      <c r="H22" s="351"/>
    </row>
    <row r="23" spans="1:11" x14ac:dyDescent="0.25">
      <c r="A23" s="330" t="s">
        <v>110</v>
      </c>
      <c r="B23" s="330"/>
    </row>
    <row r="24" spans="1:11" ht="27.75" customHeight="1" x14ac:dyDescent="0.25">
      <c r="A24" s="102" t="s">
        <v>112</v>
      </c>
      <c r="B24" s="103" t="s">
        <v>127</v>
      </c>
      <c r="C24" s="202" t="s">
        <v>487</v>
      </c>
      <c r="D24" s="202" t="s">
        <v>488</v>
      </c>
      <c r="E24" s="202" t="s">
        <v>489</v>
      </c>
      <c r="F24" s="202" t="s">
        <v>487</v>
      </c>
      <c r="G24" s="202" t="s">
        <v>488</v>
      </c>
      <c r="H24" s="202" t="s">
        <v>489</v>
      </c>
    </row>
    <row r="25" spans="1:11" x14ac:dyDescent="0.25">
      <c r="A25" s="24" t="s">
        <v>114</v>
      </c>
      <c r="B25" s="104">
        <v>70000</v>
      </c>
      <c r="C25" s="29">
        <f>'D&amp;F O3 (March 2016)'!H13</f>
        <v>530</v>
      </c>
      <c r="D25" s="206">
        <f t="shared" ref="D25:D30" si="4">($B25-C25)/$B25</f>
        <v>0.99242857142857144</v>
      </c>
      <c r="E25" s="181">
        <f>-LOG(C25/B25)</f>
        <v>2.1208221704134678</v>
      </c>
      <c r="F25" s="29">
        <f>'D&amp;F O3 (April 2016)'!H13</f>
        <v>738</v>
      </c>
      <c r="G25" s="206">
        <f>($B25-F25)/$B25</f>
        <v>0.98945714285714281</v>
      </c>
      <c r="H25" s="181">
        <f>-LOG(F25/B25)</f>
        <v>1.9770416781912152</v>
      </c>
    </row>
    <row r="26" spans="1:11" x14ac:dyDescent="0.25">
      <c r="A26" s="24" t="s">
        <v>115</v>
      </c>
      <c r="B26" s="104">
        <v>340.75</v>
      </c>
      <c r="C26" s="29">
        <f>'D&amp;F O3 (March 2016)'!I13</f>
        <v>110.00000000000001</v>
      </c>
      <c r="D26" s="206">
        <f t="shared" si="4"/>
        <v>0.67718268525311809</v>
      </c>
      <c r="E26" s="181">
        <f t="shared" ref="E26:E28" si="5">-LOG(C26/B26)</f>
        <v>0.49104317934848607</v>
      </c>
      <c r="F26" s="29">
        <f>'D&amp;F O3 (April 2016)'!I13</f>
        <v>404.5</v>
      </c>
      <c r="G26" s="206" t="s">
        <v>493</v>
      </c>
      <c r="H26" s="1" t="s">
        <v>492</v>
      </c>
    </row>
    <row r="27" spans="1:11" x14ac:dyDescent="0.25">
      <c r="A27" s="24" t="s">
        <v>122</v>
      </c>
      <c r="B27" s="104">
        <v>21.5</v>
      </c>
      <c r="C27" s="29">
        <f>'D&amp;F O3 (March 2016)'!H17</f>
        <v>2</v>
      </c>
      <c r="D27" s="206">
        <f t="shared" si="4"/>
        <v>0.90697674418604646</v>
      </c>
      <c r="E27" s="181">
        <f t="shared" si="5"/>
        <v>1.0314084642516241</v>
      </c>
      <c r="F27" s="29">
        <v>1</v>
      </c>
      <c r="G27" s="206">
        <f>($B27-F27)/$B27</f>
        <v>0.95348837209302328</v>
      </c>
      <c r="H27" s="181" t="s">
        <v>495</v>
      </c>
    </row>
    <row r="28" spans="1:11" x14ac:dyDescent="0.25">
      <c r="A28" s="24" t="s">
        <v>123</v>
      </c>
      <c r="B28" s="104">
        <v>3</v>
      </c>
      <c r="C28" s="29">
        <f>'D&amp;F O3 (March 2016)'!I17</f>
        <v>3</v>
      </c>
      <c r="D28" s="206">
        <f t="shared" si="4"/>
        <v>0</v>
      </c>
      <c r="E28" s="181">
        <f t="shared" si="5"/>
        <v>0</v>
      </c>
      <c r="F28" s="29">
        <v>1</v>
      </c>
      <c r="G28" s="206">
        <f>($B28-F28)/$B28</f>
        <v>0.66666666666666663</v>
      </c>
      <c r="H28" s="181" t="s">
        <v>496</v>
      </c>
    </row>
    <row r="29" spans="1:11" x14ac:dyDescent="0.25">
      <c r="A29" s="24" t="s">
        <v>124</v>
      </c>
      <c r="B29" s="104">
        <v>215000</v>
      </c>
      <c r="C29" s="29">
        <v>1</v>
      </c>
      <c r="D29" s="206">
        <f t="shared" si="4"/>
        <v>0.99999534883720931</v>
      </c>
      <c r="E29" s="181" t="s">
        <v>490</v>
      </c>
      <c r="F29" s="29">
        <f>'D&amp;F O3 (April 2016)'!H18</f>
        <v>37</v>
      </c>
      <c r="G29" s="206">
        <f>($B29-F29)/$B29</f>
        <v>0.99982790697674417</v>
      </c>
      <c r="H29" s="181">
        <f t="shared" ref="H29:H30" si="6">-LOG(F29/B29)</f>
        <v>3.7642367358486104</v>
      </c>
    </row>
    <row r="30" spans="1:11" x14ac:dyDescent="0.25">
      <c r="A30" s="24" t="s">
        <v>125</v>
      </c>
      <c r="B30" s="104">
        <v>20684.5</v>
      </c>
      <c r="C30" s="29">
        <v>1</v>
      </c>
      <c r="D30" s="206">
        <f t="shared" si="4"/>
        <v>0.99995165462060964</v>
      </c>
      <c r="E30" s="181" t="s">
        <v>491</v>
      </c>
      <c r="F30" s="29">
        <f>'D&amp;F O3 (April 2016)'!I18</f>
        <v>156</v>
      </c>
      <c r="G30" s="206">
        <f>($B30-F30)/$B30</f>
        <v>0.9924581208151031</v>
      </c>
      <c r="H30" s="181">
        <f t="shared" si="6"/>
        <v>2.1225204289382034</v>
      </c>
    </row>
  </sheetData>
  <mergeCells count="8">
    <mergeCell ref="A23:B23"/>
    <mergeCell ref="C13:E13"/>
    <mergeCell ref="A1:B1"/>
    <mergeCell ref="F13:H13"/>
    <mergeCell ref="I13:K13"/>
    <mergeCell ref="C22:E22"/>
    <mergeCell ref="F22:H22"/>
    <mergeCell ref="A13:B13"/>
  </mergeCells>
  <pageMargins left="0.7" right="0.7" top="0.75" bottom="0.75" header="0.3" footer="0.3"/>
  <pageSetup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sqref="A1:XFD1"/>
    </sheetView>
  </sheetViews>
  <sheetFormatPr defaultRowHeight="15" x14ac:dyDescent="0.25"/>
  <cols>
    <col min="1" max="1" width="17.28515625" customWidth="1"/>
    <col min="2" max="2" width="10.5703125" customWidth="1"/>
    <col min="4" max="4" width="11.42578125" customWidth="1"/>
    <col min="5" max="5" width="13" customWidth="1"/>
    <col min="6" max="6" width="12" customWidth="1"/>
    <col min="7" max="9" width="12.7109375" customWidth="1"/>
    <col min="10" max="10" width="12.42578125" customWidth="1"/>
  </cols>
  <sheetData>
    <row r="1" spans="1:17" s="1" customFormat="1" x14ac:dyDescent="0.25">
      <c r="A1" t="s">
        <v>539</v>
      </c>
      <c r="D1" s="187" t="s">
        <v>540</v>
      </c>
      <c r="G1" s="187" t="s">
        <v>541</v>
      </c>
    </row>
    <row r="3" spans="1:17" ht="15.75" thickBot="1" x14ac:dyDescent="0.3">
      <c r="A3" s="105" t="s">
        <v>238</v>
      </c>
      <c r="J3" s="87"/>
      <c r="K3" s="87"/>
      <c r="L3" s="87"/>
      <c r="M3" s="87"/>
      <c r="N3" s="87"/>
      <c r="O3" s="87"/>
    </row>
    <row r="4" spans="1:17" s="155" customFormat="1" ht="30.75" thickTop="1" x14ac:dyDescent="0.25">
      <c r="A4" s="338" t="s">
        <v>56</v>
      </c>
      <c r="B4" s="151" t="s">
        <v>0</v>
      </c>
      <c r="C4" s="151" t="s">
        <v>12</v>
      </c>
      <c r="D4" s="151" t="s">
        <v>241</v>
      </c>
      <c r="E4" s="151" t="s">
        <v>242</v>
      </c>
      <c r="F4" s="151" t="s">
        <v>243</v>
      </c>
      <c r="G4" s="151" t="s">
        <v>244</v>
      </c>
      <c r="H4" s="151" t="s">
        <v>245</v>
      </c>
      <c r="I4" s="151" t="s">
        <v>246</v>
      </c>
      <c r="J4" s="354" t="s">
        <v>8</v>
      </c>
      <c r="K4" s="354"/>
      <c r="L4" s="354"/>
      <c r="M4" s="354"/>
      <c r="N4" s="354"/>
      <c r="O4" s="354"/>
    </row>
    <row r="5" spans="1:17" ht="15.75" thickBot="1" x14ac:dyDescent="0.3">
      <c r="A5" s="339"/>
      <c r="B5" s="41"/>
      <c r="C5" s="41"/>
      <c r="D5" s="41" t="s">
        <v>41</v>
      </c>
      <c r="E5" s="41" t="s">
        <v>41</v>
      </c>
      <c r="F5" s="41" t="s">
        <v>36</v>
      </c>
      <c r="G5" s="41" t="s">
        <v>36</v>
      </c>
      <c r="H5" s="41" t="s">
        <v>36</v>
      </c>
      <c r="I5" s="41" t="s">
        <v>36</v>
      </c>
      <c r="J5" s="355"/>
      <c r="K5" s="355"/>
      <c r="L5" s="355"/>
      <c r="M5" s="355"/>
      <c r="N5" s="355"/>
      <c r="O5" s="355"/>
    </row>
    <row r="6" spans="1:17" ht="15.75" thickTop="1" x14ac:dyDescent="0.25">
      <c r="A6" s="340" t="s">
        <v>53</v>
      </c>
      <c r="B6" s="43">
        <v>42409</v>
      </c>
      <c r="C6" s="44">
        <v>0.47916666666666669</v>
      </c>
      <c r="D6" s="45">
        <v>0</v>
      </c>
      <c r="E6" s="45">
        <v>0</v>
      </c>
      <c r="F6" s="45"/>
      <c r="G6" s="45"/>
      <c r="H6" s="45"/>
      <c r="I6" s="45"/>
      <c r="J6" s="154" t="s">
        <v>239</v>
      </c>
    </row>
    <row r="7" spans="1:17" x14ac:dyDescent="0.25">
      <c r="A7" s="341"/>
      <c r="B7" s="43">
        <v>42409</v>
      </c>
      <c r="C7" s="44">
        <v>0.5</v>
      </c>
      <c r="D7" s="45">
        <f>5.7*10^5</f>
        <v>570000</v>
      </c>
      <c r="E7" s="45">
        <f>5.7*10^5</f>
        <v>570000</v>
      </c>
      <c r="F7" s="45"/>
      <c r="G7" s="45"/>
      <c r="H7" s="45"/>
      <c r="I7" s="45"/>
      <c r="J7" s="46" t="s">
        <v>248</v>
      </c>
    </row>
    <row r="8" spans="1:17" x14ac:dyDescent="0.25">
      <c r="A8" s="341"/>
      <c r="B8" s="52">
        <v>38757</v>
      </c>
      <c r="C8" s="53">
        <v>0.64930555555555558</v>
      </c>
      <c r="D8" s="154"/>
      <c r="E8" s="54">
        <f>1.6*10^4</f>
        <v>16000</v>
      </c>
      <c r="F8" s="54"/>
      <c r="G8" s="54"/>
      <c r="H8" s="54"/>
      <c r="I8" s="54"/>
      <c r="J8" s="46"/>
    </row>
    <row r="9" spans="1:17" x14ac:dyDescent="0.25">
      <c r="A9" s="341"/>
      <c r="B9" s="52">
        <v>38757</v>
      </c>
      <c r="C9" s="44">
        <v>0.65277777777777779</v>
      </c>
      <c r="D9" s="45">
        <f>6.2*10^4</f>
        <v>62000</v>
      </c>
      <c r="E9" s="154"/>
      <c r="F9" s="45"/>
      <c r="G9" s="45"/>
      <c r="H9" s="45"/>
      <c r="I9" s="45"/>
      <c r="J9" s="47"/>
    </row>
    <row r="10" spans="1:17" x14ac:dyDescent="0.25">
      <c r="A10" s="341"/>
      <c r="B10" s="52">
        <v>42410</v>
      </c>
      <c r="C10" s="53">
        <v>0.44097222222222227</v>
      </c>
      <c r="D10" s="54"/>
      <c r="E10" s="54">
        <f>6.3*10^5</f>
        <v>630000</v>
      </c>
      <c r="F10" s="54"/>
      <c r="G10" s="54"/>
      <c r="H10" s="54"/>
      <c r="I10" s="54"/>
      <c r="J10" s="55"/>
    </row>
    <row r="11" spans="1:17" x14ac:dyDescent="0.25">
      <c r="A11" s="342"/>
      <c r="B11" s="48">
        <v>42410</v>
      </c>
      <c r="C11" s="49">
        <v>0.44444444444444442</v>
      </c>
      <c r="D11" s="50">
        <f>3.5*10^5</f>
        <v>350000</v>
      </c>
      <c r="E11" s="50"/>
      <c r="F11" s="50"/>
      <c r="G11" s="50"/>
      <c r="H11" s="50"/>
      <c r="I11" s="50"/>
      <c r="J11" s="51"/>
    </row>
    <row r="12" spans="1:17" x14ac:dyDescent="0.25">
      <c r="A12" s="343" t="s">
        <v>54</v>
      </c>
      <c r="B12" s="61">
        <v>42410</v>
      </c>
      <c r="C12" s="62">
        <v>0.64583333333333337</v>
      </c>
      <c r="D12" s="63">
        <v>0</v>
      </c>
      <c r="E12" s="63">
        <v>0</v>
      </c>
      <c r="F12" s="63"/>
      <c r="G12" s="63"/>
      <c r="H12" s="63"/>
      <c r="I12" s="63"/>
      <c r="J12" s="64" t="s">
        <v>249</v>
      </c>
      <c r="K12" s="111"/>
      <c r="L12" s="111"/>
      <c r="M12" s="111"/>
      <c r="N12" s="111"/>
      <c r="O12" s="111"/>
      <c r="P12" s="111"/>
      <c r="Q12" s="111"/>
    </row>
    <row r="13" spans="1:17" x14ac:dyDescent="0.25">
      <c r="A13" s="344"/>
      <c r="B13" s="61">
        <v>42410</v>
      </c>
      <c r="C13" s="62">
        <v>0.64583333333333337</v>
      </c>
      <c r="D13" s="65"/>
      <c r="E13" s="65"/>
      <c r="F13" s="63">
        <v>0</v>
      </c>
      <c r="G13" s="63">
        <v>0</v>
      </c>
      <c r="H13" s="63">
        <f>4.3*10^1</f>
        <v>43</v>
      </c>
      <c r="I13" s="63">
        <f>3*10^2</f>
        <v>300</v>
      </c>
      <c r="J13" s="65" t="s">
        <v>42</v>
      </c>
    </row>
    <row r="14" spans="1:17" x14ac:dyDescent="0.25">
      <c r="A14" s="344"/>
      <c r="B14" s="61">
        <v>42410</v>
      </c>
      <c r="C14" s="62">
        <v>0.64583333333333337</v>
      </c>
      <c r="D14" s="65"/>
      <c r="E14" s="65"/>
      <c r="F14" s="63">
        <v>0</v>
      </c>
      <c r="G14" s="63">
        <v>0</v>
      </c>
      <c r="H14" s="63">
        <v>0</v>
      </c>
      <c r="I14" s="63">
        <v>0</v>
      </c>
      <c r="J14" s="65" t="s">
        <v>43</v>
      </c>
    </row>
    <row r="15" spans="1:17" x14ac:dyDescent="0.25">
      <c r="A15" s="344"/>
      <c r="B15" s="61">
        <v>42410</v>
      </c>
      <c r="C15" s="62">
        <v>0.64583333333333337</v>
      </c>
      <c r="D15" s="65"/>
      <c r="E15" s="65"/>
      <c r="F15" s="63">
        <v>0</v>
      </c>
      <c r="G15" s="63">
        <v>0</v>
      </c>
      <c r="H15" s="63">
        <v>0</v>
      </c>
      <c r="I15" s="63">
        <v>0</v>
      </c>
      <c r="J15" s="65" t="s">
        <v>44</v>
      </c>
    </row>
    <row r="16" spans="1:17" x14ac:dyDescent="0.25">
      <c r="A16" s="344"/>
      <c r="B16" s="61">
        <v>42410</v>
      </c>
      <c r="C16" s="62">
        <v>0.64583333333333337</v>
      </c>
      <c r="D16" s="65"/>
      <c r="E16" s="65"/>
      <c r="F16" s="63">
        <v>0</v>
      </c>
      <c r="G16" s="63">
        <v>0</v>
      </c>
      <c r="H16" s="63">
        <v>0</v>
      </c>
      <c r="I16" s="63">
        <v>0</v>
      </c>
      <c r="J16" s="65" t="s">
        <v>45</v>
      </c>
    </row>
    <row r="17" spans="1:15" x14ac:dyDescent="0.25">
      <c r="A17" s="344"/>
      <c r="B17" s="61">
        <v>42410</v>
      </c>
      <c r="C17" s="62">
        <v>0.64583333333333337</v>
      </c>
      <c r="D17" s="65"/>
      <c r="E17" s="65"/>
      <c r="F17" s="63">
        <v>0</v>
      </c>
      <c r="G17" s="63">
        <v>0</v>
      </c>
      <c r="H17" s="63">
        <f>3</f>
        <v>3</v>
      </c>
      <c r="I17" s="63">
        <f>6</f>
        <v>6</v>
      </c>
      <c r="J17" s="65" t="s">
        <v>46</v>
      </c>
    </row>
    <row r="18" spans="1:15" x14ac:dyDescent="0.25">
      <c r="A18" s="344"/>
      <c r="B18" s="61">
        <v>42410</v>
      </c>
      <c r="C18" s="62">
        <v>0.64583333333333337</v>
      </c>
      <c r="D18" s="65"/>
      <c r="E18" s="65"/>
      <c r="F18" s="63">
        <v>0</v>
      </c>
      <c r="G18" s="63">
        <v>0</v>
      </c>
      <c r="H18" s="63">
        <v>0</v>
      </c>
      <c r="I18" s="63">
        <v>0</v>
      </c>
      <c r="J18" s="65" t="s">
        <v>47</v>
      </c>
    </row>
    <row r="19" spans="1:15" x14ac:dyDescent="0.25">
      <c r="A19" s="344"/>
      <c r="B19" s="61">
        <v>42410</v>
      </c>
      <c r="C19" s="62">
        <v>0.64583333333333337</v>
      </c>
      <c r="D19" s="65"/>
      <c r="E19" s="65"/>
      <c r="F19" s="63">
        <v>0</v>
      </c>
      <c r="G19" s="63"/>
      <c r="H19" s="156" t="s">
        <v>269</v>
      </c>
      <c r="I19" s="63"/>
      <c r="J19" s="64" t="s">
        <v>240</v>
      </c>
      <c r="K19" s="356" t="s">
        <v>247</v>
      </c>
      <c r="L19" s="356"/>
      <c r="M19" s="356"/>
      <c r="N19" s="356"/>
      <c r="O19" s="356"/>
    </row>
    <row r="20" spans="1:15" x14ac:dyDescent="0.25">
      <c r="A20" s="345"/>
      <c r="B20" s="66">
        <v>42410</v>
      </c>
      <c r="C20" s="67">
        <v>0.64583333333333337</v>
      </c>
      <c r="D20" s="68"/>
      <c r="E20" s="68"/>
      <c r="F20" s="69">
        <v>0</v>
      </c>
      <c r="G20" s="69"/>
      <c r="H20" s="157" t="s">
        <v>269</v>
      </c>
      <c r="I20" s="69"/>
      <c r="J20" s="68" t="s">
        <v>48</v>
      </c>
      <c r="K20" s="356"/>
      <c r="L20" s="356"/>
      <c r="M20" s="356"/>
      <c r="N20" s="356"/>
      <c r="O20" s="356"/>
    </row>
    <row r="21" spans="1:15" ht="15" customHeight="1" x14ac:dyDescent="0.25">
      <c r="A21" s="353" t="s">
        <v>55</v>
      </c>
      <c r="B21" s="56">
        <v>42411</v>
      </c>
      <c r="C21" s="57">
        <v>0.34722222222222227</v>
      </c>
      <c r="D21" s="58"/>
      <c r="E21" s="58">
        <v>0</v>
      </c>
      <c r="F21" s="60"/>
      <c r="G21" s="60"/>
      <c r="H21" s="60"/>
      <c r="I21" s="60"/>
      <c r="J21" s="59" t="s">
        <v>57</v>
      </c>
    </row>
    <row r="22" spans="1:15" x14ac:dyDescent="0.25">
      <c r="A22" s="346"/>
      <c r="B22" s="56">
        <v>42411</v>
      </c>
      <c r="C22" s="57">
        <v>0.35069444444444442</v>
      </c>
      <c r="D22" s="58">
        <v>0</v>
      </c>
      <c r="E22" s="58"/>
      <c r="F22" s="60"/>
      <c r="G22" s="60"/>
      <c r="H22" s="60"/>
      <c r="I22" s="60"/>
      <c r="J22" s="60"/>
    </row>
    <row r="24" spans="1:15" x14ac:dyDescent="0.25">
      <c r="A24" s="105" t="s">
        <v>471</v>
      </c>
      <c r="B24" s="118">
        <f>AVERAGE(D7:E11)</f>
        <v>366333.33333333331</v>
      </c>
    </row>
    <row r="26" spans="1:15" x14ac:dyDescent="0.25">
      <c r="B26" s="118"/>
      <c r="C26" s="118"/>
      <c r="F26" s="152"/>
      <c r="G26" s="94"/>
      <c r="H26" s="94"/>
      <c r="I26" s="94"/>
      <c r="J26" s="94"/>
    </row>
    <row r="27" spans="1:15" x14ac:dyDescent="0.25">
      <c r="E27" s="1"/>
      <c r="F27" s="1"/>
      <c r="G27" s="98"/>
      <c r="H27" s="98"/>
      <c r="I27" s="98"/>
      <c r="J27" s="96"/>
    </row>
    <row r="28" spans="1:15" x14ac:dyDescent="0.25">
      <c r="E28" s="1"/>
      <c r="F28" s="1"/>
      <c r="G28" s="98"/>
      <c r="H28" s="98"/>
      <c r="I28" s="98"/>
      <c r="J28" s="96"/>
    </row>
    <row r="29" spans="1:15" x14ac:dyDescent="0.25">
      <c r="E29" s="1"/>
      <c r="F29" s="1"/>
      <c r="G29" s="98"/>
      <c r="H29" s="98"/>
      <c r="I29" s="98"/>
      <c r="J29" s="98"/>
    </row>
    <row r="30" spans="1:15" x14ac:dyDescent="0.25">
      <c r="E30" s="1"/>
      <c r="F30" s="1"/>
      <c r="G30" s="98"/>
      <c r="H30" s="98"/>
      <c r="I30" s="98"/>
      <c r="J30" s="98"/>
    </row>
    <row r="31" spans="1:15" x14ac:dyDescent="0.25">
      <c r="E31" s="1"/>
      <c r="F31" s="1"/>
      <c r="G31" s="98"/>
      <c r="H31" s="98"/>
      <c r="I31" s="98"/>
      <c r="J31" s="98"/>
    </row>
    <row r="32" spans="1:15" x14ac:dyDescent="0.25">
      <c r="E32" s="1"/>
      <c r="F32" s="1"/>
      <c r="G32" s="98"/>
      <c r="H32" s="98"/>
      <c r="I32" s="98"/>
      <c r="J32" s="98"/>
    </row>
    <row r="33" spans="2:10" x14ac:dyDescent="0.25">
      <c r="E33" s="1"/>
      <c r="F33" s="1"/>
      <c r="G33" s="98"/>
      <c r="H33" s="98"/>
      <c r="I33" s="98"/>
      <c r="J33" s="98"/>
    </row>
    <row r="34" spans="2:10" x14ac:dyDescent="0.25">
      <c r="E34" s="1"/>
      <c r="F34" s="1"/>
      <c r="G34" s="98"/>
      <c r="H34" s="98"/>
      <c r="I34" s="98"/>
      <c r="J34" s="98"/>
    </row>
    <row r="35" spans="2:10" x14ac:dyDescent="0.25">
      <c r="E35" s="1"/>
      <c r="F35" s="1"/>
      <c r="G35" s="98"/>
      <c r="H35" s="98"/>
      <c r="I35" s="98"/>
      <c r="J35" s="96"/>
    </row>
    <row r="36" spans="2:10" x14ac:dyDescent="0.25">
      <c r="E36" s="1"/>
      <c r="F36" s="1"/>
      <c r="G36" s="98"/>
      <c r="H36" s="98"/>
      <c r="I36" s="98"/>
      <c r="J36" s="96"/>
    </row>
    <row r="37" spans="2:10" x14ac:dyDescent="0.25">
      <c r="E37" s="1"/>
      <c r="F37" s="1"/>
      <c r="G37" s="98"/>
      <c r="H37" s="98"/>
      <c r="I37" s="98"/>
      <c r="J37" s="98"/>
    </row>
    <row r="38" spans="2:10" x14ac:dyDescent="0.25">
      <c r="E38" s="1"/>
      <c r="F38" s="1"/>
      <c r="G38" s="98"/>
      <c r="H38" s="98"/>
      <c r="I38" s="98"/>
      <c r="J38" s="98"/>
    </row>
    <row r="39" spans="2:10" x14ac:dyDescent="0.25">
      <c r="B39" s="118"/>
      <c r="C39" s="118"/>
      <c r="D39" s="118"/>
      <c r="E39" s="1"/>
      <c r="F39" s="1"/>
      <c r="G39" s="98"/>
      <c r="H39" s="98"/>
      <c r="I39" s="98"/>
      <c r="J39" s="29"/>
    </row>
    <row r="40" spans="2:10" x14ac:dyDescent="0.25">
      <c r="B40" s="118"/>
      <c r="C40" s="118"/>
      <c r="D40" s="118"/>
      <c r="E40" s="1"/>
      <c r="F40" s="1"/>
      <c r="G40" s="153"/>
      <c r="H40" s="153"/>
      <c r="I40" s="153"/>
      <c r="J40" s="29"/>
    </row>
    <row r="41" spans="2:10" x14ac:dyDescent="0.25">
      <c r="B41" s="118"/>
      <c r="C41" s="118"/>
      <c r="D41" s="118"/>
    </row>
  </sheetData>
  <mergeCells count="7">
    <mergeCell ref="A4:A5"/>
    <mergeCell ref="A6:A11"/>
    <mergeCell ref="A12:A20"/>
    <mergeCell ref="A21:A22"/>
    <mergeCell ref="J4:O4"/>
    <mergeCell ref="J5:O5"/>
    <mergeCell ref="K19:O20"/>
  </mergeCells>
  <pageMargins left="0.7" right="0.7" top="0.75" bottom="0.75" header="0.3" footer="0.3"/>
  <pageSetup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sqref="A1:XFD1"/>
    </sheetView>
  </sheetViews>
  <sheetFormatPr defaultRowHeight="15" x14ac:dyDescent="0.25"/>
  <cols>
    <col min="1" max="1" width="17.28515625" customWidth="1"/>
    <col min="2" max="2" width="10.5703125" customWidth="1"/>
    <col min="4" max="4" width="12.42578125" customWidth="1"/>
    <col min="5" max="5" width="13" customWidth="1"/>
    <col min="6" max="6" width="12" customWidth="1"/>
    <col min="7" max="9" width="12.7109375" customWidth="1"/>
    <col min="10" max="10" width="12.42578125" customWidth="1"/>
  </cols>
  <sheetData>
    <row r="1" spans="1:17" s="1" customFormat="1" x14ac:dyDescent="0.25">
      <c r="A1" t="s">
        <v>539</v>
      </c>
      <c r="D1" s="187" t="s">
        <v>540</v>
      </c>
      <c r="G1" s="187" t="s">
        <v>541</v>
      </c>
    </row>
    <row r="3" spans="1:17" ht="15.75" thickBot="1" x14ac:dyDescent="0.3">
      <c r="A3" s="105" t="s">
        <v>270</v>
      </c>
      <c r="J3" s="87"/>
      <c r="K3" s="87"/>
      <c r="L3" s="87"/>
      <c r="M3" s="87"/>
      <c r="N3" s="87"/>
      <c r="O3" s="87"/>
    </row>
    <row r="4" spans="1:17" s="155" customFormat="1" ht="30.75" thickTop="1" x14ac:dyDescent="0.25">
      <c r="A4" s="338" t="s">
        <v>56</v>
      </c>
      <c r="B4" s="161" t="s">
        <v>0</v>
      </c>
      <c r="C4" s="161" t="s">
        <v>12</v>
      </c>
      <c r="D4" s="161" t="s">
        <v>241</v>
      </c>
      <c r="E4" s="161" t="s">
        <v>242</v>
      </c>
      <c r="F4" s="161" t="s">
        <v>243</v>
      </c>
      <c r="G4" s="161" t="s">
        <v>244</v>
      </c>
      <c r="H4" s="161" t="s">
        <v>245</v>
      </c>
      <c r="I4" s="161" t="s">
        <v>246</v>
      </c>
      <c r="J4" s="354" t="s">
        <v>8</v>
      </c>
      <c r="K4" s="354"/>
      <c r="L4" s="354"/>
      <c r="M4" s="354"/>
      <c r="N4" s="354"/>
      <c r="O4" s="354"/>
    </row>
    <row r="5" spans="1:17" ht="15.75" thickBot="1" x14ac:dyDescent="0.3">
      <c r="A5" s="339"/>
      <c r="B5" s="163"/>
      <c r="C5" s="163"/>
      <c r="D5" s="163" t="s">
        <v>41</v>
      </c>
      <c r="E5" s="163" t="s">
        <v>41</v>
      </c>
      <c r="F5" s="163" t="s">
        <v>36</v>
      </c>
      <c r="G5" s="163" t="s">
        <v>36</v>
      </c>
      <c r="H5" s="163" t="s">
        <v>36</v>
      </c>
      <c r="I5" s="163" t="s">
        <v>36</v>
      </c>
      <c r="J5" s="355"/>
      <c r="K5" s="355"/>
      <c r="L5" s="355"/>
      <c r="M5" s="355"/>
      <c r="N5" s="355"/>
      <c r="O5" s="355"/>
    </row>
    <row r="6" spans="1:17" ht="15.75" thickTop="1" x14ac:dyDescent="0.25">
      <c r="A6" s="340" t="s">
        <v>53</v>
      </c>
      <c r="B6" s="43">
        <v>42444</v>
      </c>
      <c r="C6" s="44">
        <v>0.47916666666666669</v>
      </c>
      <c r="D6" s="45">
        <v>0</v>
      </c>
      <c r="E6" s="45">
        <v>0</v>
      </c>
      <c r="F6" s="45"/>
      <c r="G6" s="45"/>
      <c r="H6" s="45"/>
      <c r="I6" s="45"/>
      <c r="J6" s="154" t="s">
        <v>239</v>
      </c>
    </row>
    <row r="7" spans="1:17" x14ac:dyDescent="0.25">
      <c r="A7" s="341"/>
      <c r="B7" s="43">
        <v>42444</v>
      </c>
      <c r="C7" s="44">
        <v>0.4826388888888889</v>
      </c>
      <c r="D7" s="45">
        <f>3.8*10^5</f>
        <v>380000</v>
      </c>
      <c r="E7" s="45">
        <f>3.8*10^5</f>
        <v>380000</v>
      </c>
      <c r="F7" s="45"/>
      <c r="G7" s="45"/>
      <c r="H7" s="45"/>
      <c r="I7" s="45"/>
      <c r="J7" s="46" t="s">
        <v>268</v>
      </c>
    </row>
    <row r="8" spans="1:17" x14ac:dyDescent="0.25">
      <c r="A8" s="341"/>
      <c r="B8" s="43">
        <v>42444</v>
      </c>
      <c r="C8" s="53">
        <v>0.63194444444444442</v>
      </c>
      <c r="D8" s="154"/>
      <c r="E8" s="54">
        <f>1.6*10^4</f>
        <v>16000</v>
      </c>
      <c r="F8" s="54"/>
      <c r="G8" s="54"/>
      <c r="H8" s="54"/>
      <c r="I8" s="54"/>
      <c r="J8" s="46"/>
    </row>
    <row r="9" spans="1:17" x14ac:dyDescent="0.25">
      <c r="A9" s="341"/>
      <c r="B9" s="43">
        <v>42444</v>
      </c>
      <c r="C9" s="44">
        <v>0.63541666666666663</v>
      </c>
      <c r="D9" s="45">
        <f>8.4*10^5</f>
        <v>840000</v>
      </c>
      <c r="E9" s="154"/>
      <c r="F9" s="45"/>
      <c r="G9" s="45"/>
      <c r="H9" s="45"/>
      <c r="I9" s="45"/>
      <c r="J9" s="47"/>
    </row>
    <row r="10" spans="1:17" x14ac:dyDescent="0.25">
      <c r="A10" s="341"/>
      <c r="B10" s="52">
        <v>42445</v>
      </c>
      <c r="C10" s="53">
        <v>0.3923611111111111</v>
      </c>
      <c r="D10" s="54"/>
      <c r="E10" s="54">
        <f>4.3*10^5</f>
        <v>430000</v>
      </c>
      <c r="F10" s="54"/>
      <c r="G10" s="54"/>
      <c r="H10" s="54"/>
      <c r="I10" s="54"/>
      <c r="J10" s="55"/>
    </row>
    <row r="11" spans="1:17" x14ac:dyDescent="0.25">
      <c r="A11" s="342"/>
      <c r="B11" s="48">
        <v>42445</v>
      </c>
      <c r="C11" s="49">
        <v>0.39583333333333331</v>
      </c>
      <c r="D11" s="50">
        <f>1.3*10^6</f>
        <v>1300000</v>
      </c>
      <c r="E11" s="50"/>
      <c r="F11" s="50"/>
      <c r="G11" s="50"/>
      <c r="H11" s="50"/>
      <c r="I11" s="50"/>
      <c r="J11" s="51"/>
    </row>
    <row r="12" spans="1:17" x14ac:dyDescent="0.25">
      <c r="A12" s="343" t="s">
        <v>54</v>
      </c>
      <c r="B12" s="61">
        <v>42445</v>
      </c>
      <c r="C12" s="62">
        <v>0.64583333333333337</v>
      </c>
      <c r="D12" s="63"/>
      <c r="E12" s="63"/>
      <c r="F12" s="63"/>
      <c r="G12" s="63"/>
      <c r="H12" s="63"/>
      <c r="I12" s="63"/>
      <c r="J12" s="64" t="s">
        <v>271</v>
      </c>
      <c r="K12" s="111"/>
      <c r="L12" s="111"/>
      <c r="M12" s="111"/>
      <c r="N12" s="111"/>
      <c r="O12" s="111"/>
      <c r="P12" s="111"/>
      <c r="Q12" s="111"/>
    </row>
    <row r="13" spans="1:17" x14ac:dyDescent="0.25">
      <c r="A13" s="344"/>
      <c r="B13" s="61">
        <v>42445</v>
      </c>
      <c r="C13" s="62">
        <v>0.64583333333333337</v>
      </c>
      <c r="D13" s="65"/>
      <c r="E13" s="65"/>
      <c r="F13" s="63">
        <v>0</v>
      </c>
      <c r="G13" s="63">
        <v>0</v>
      </c>
      <c r="H13" s="63">
        <f>5.3*10^2</f>
        <v>530</v>
      </c>
      <c r="I13" s="63">
        <f>1.1*10^2</f>
        <v>110.00000000000001</v>
      </c>
      <c r="J13" s="65" t="s">
        <v>42</v>
      </c>
    </row>
    <row r="14" spans="1:17" x14ac:dyDescent="0.25">
      <c r="A14" s="344"/>
      <c r="B14" s="61">
        <v>42445</v>
      </c>
      <c r="C14" s="62">
        <v>0.64583333333333337</v>
      </c>
      <c r="D14" s="65"/>
      <c r="E14" s="65"/>
      <c r="F14" s="63">
        <v>0</v>
      </c>
      <c r="G14" s="63">
        <v>0</v>
      </c>
      <c r="H14" s="63">
        <f>1.3*10^2</f>
        <v>130</v>
      </c>
      <c r="I14" s="63">
        <f>1.4*10^1</f>
        <v>14</v>
      </c>
      <c r="J14" s="65" t="s">
        <v>43</v>
      </c>
    </row>
    <row r="15" spans="1:17" x14ac:dyDescent="0.25">
      <c r="A15" s="344"/>
      <c r="B15" s="61">
        <v>42445</v>
      </c>
      <c r="C15" s="62">
        <v>0.64583333333333337</v>
      </c>
      <c r="D15" s="65"/>
      <c r="E15" s="65"/>
      <c r="F15" s="63">
        <v>0</v>
      </c>
      <c r="G15" s="63">
        <v>0</v>
      </c>
      <c r="H15" s="63">
        <v>0</v>
      </c>
      <c r="I15" s="63">
        <v>1</v>
      </c>
      <c r="J15" s="65" t="s">
        <v>44</v>
      </c>
    </row>
    <row r="16" spans="1:17" x14ac:dyDescent="0.25">
      <c r="A16" s="344"/>
      <c r="B16" s="61">
        <v>42445</v>
      </c>
      <c r="C16" s="62">
        <v>0.64583333333333337</v>
      </c>
      <c r="D16" s="65"/>
      <c r="E16" s="65"/>
      <c r="F16" s="63">
        <v>0</v>
      </c>
      <c r="G16" s="63">
        <v>0</v>
      </c>
      <c r="H16" s="63">
        <f>1.7*10^1</f>
        <v>17</v>
      </c>
      <c r="I16" s="63">
        <v>7</v>
      </c>
      <c r="J16" s="65" t="s">
        <v>45</v>
      </c>
    </row>
    <row r="17" spans="1:15" x14ac:dyDescent="0.25">
      <c r="A17" s="344"/>
      <c r="B17" s="61">
        <v>42445</v>
      </c>
      <c r="C17" s="62">
        <v>0.64583333333333337</v>
      </c>
      <c r="D17" s="65"/>
      <c r="E17" s="65"/>
      <c r="F17" s="63">
        <v>0</v>
      </c>
      <c r="G17" s="63">
        <v>0</v>
      </c>
      <c r="H17" s="63">
        <v>2</v>
      </c>
      <c r="I17" s="63">
        <v>3</v>
      </c>
      <c r="J17" s="65" t="s">
        <v>46</v>
      </c>
    </row>
    <row r="18" spans="1:15" x14ac:dyDescent="0.25">
      <c r="A18" s="344"/>
      <c r="B18" s="61">
        <v>42445</v>
      </c>
      <c r="C18" s="62">
        <v>0.64583333333333337</v>
      </c>
      <c r="D18" s="65"/>
      <c r="E18" s="65"/>
      <c r="F18" s="63">
        <v>0</v>
      </c>
      <c r="G18" s="63">
        <v>0</v>
      </c>
      <c r="H18" s="63">
        <v>0</v>
      </c>
      <c r="I18" s="63">
        <v>0</v>
      </c>
      <c r="J18" s="65" t="s">
        <v>47</v>
      </c>
    </row>
    <row r="19" spans="1:15" x14ac:dyDescent="0.25">
      <c r="A19" s="344"/>
      <c r="B19" s="61">
        <v>42445</v>
      </c>
      <c r="C19" s="62">
        <v>0.64583333333333337</v>
      </c>
      <c r="D19" s="65"/>
      <c r="E19" s="65"/>
      <c r="F19" s="63">
        <v>0</v>
      </c>
      <c r="G19" s="63"/>
      <c r="H19" s="156">
        <f>5.5*10^3</f>
        <v>5500</v>
      </c>
      <c r="I19" s="63"/>
      <c r="J19" s="64" t="s">
        <v>240</v>
      </c>
      <c r="K19" s="356"/>
      <c r="L19" s="356"/>
      <c r="M19" s="356"/>
      <c r="N19" s="356"/>
      <c r="O19" s="356"/>
    </row>
    <row r="20" spans="1:15" x14ac:dyDescent="0.25">
      <c r="A20" s="345"/>
      <c r="B20" s="66">
        <v>42445</v>
      </c>
      <c r="C20" s="67">
        <v>0.64583333333333337</v>
      </c>
      <c r="D20" s="68"/>
      <c r="E20" s="68"/>
      <c r="F20" s="157">
        <v>8.5</v>
      </c>
      <c r="G20" s="69"/>
      <c r="H20" s="157">
        <f>1.6*10^3</f>
        <v>1600</v>
      </c>
      <c r="I20" s="69"/>
      <c r="J20" s="68" t="s">
        <v>48</v>
      </c>
      <c r="K20" s="356"/>
      <c r="L20" s="356"/>
      <c r="M20" s="356"/>
      <c r="N20" s="356"/>
      <c r="O20" s="356"/>
    </row>
    <row r="21" spans="1:15" ht="15" customHeight="1" x14ac:dyDescent="0.25">
      <c r="A21" s="353" t="s">
        <v>55</v>
      </c>
      <c r="B21" s="56">
        <v>42446</v>
      </c>
      <c r="C21" s="57">
        <v>0.37152777777777773</v>
      </c>
      <c r="D21" s="58"/>
      <c r="E21" s="58">
        <v>0</v>
      </c>
      <c r="F21" s="60"/>
      <c r="G21" s="60"/>
      <c r="H21" s="60"/>
      <c r="I21" s="60"/>
      <c r="J21" s="59" t="s">
        <v>57</v>
      </c>
    </row>
    <row r="22" spans="1:15" x14ac:dyDescent="0.25">
      <c r="A22" s="346"/>
      <c r="B22" s="56">
        <v>42446</v>
      </c>
      <c r="C22" s="57">
        <v>0.375</v>
      </c>
      <c r="D22" s="156">
        <v>1</v>
      </c>
      <c r="E22" s="58"/>
      <c r="F22" s="60"/>
      <c r="G22" s="60"/>
      <c r="H22" s="60"/>
      <c r="I22" s="60"/>
      <c r="J22" s="59" t="s">
        <v>272</v>
      </c>
    </row>
    <row r="25" spans="1:15" x14ac:dyDescent="0.25">
      <c r="A25" s="162"/>
      <c r="B25" s="94"/>
      <c r="E25" s="162"/>
      <c r="F25" s="94"/>
      <c r="G25" s="94"/>
    </row>
    <row r="26" spans="1:15" x14ac:dyDescent="0.25">
      <c r="A26" s="95"/>
      <c r="B26" s="98"/>
      <c r="E26" s="1"/>
      <c r="F26" s="98"/>
      <c r="G26" s="96"/>
      <c r="H26" s="94"/>
      <c r="I26" s="94"/>
      <c r="J26" s="94"/>
    </row>
    <row r="27" spans="1:15" x14ac:dyDescent="0.25">
      <c r="A27" s="95"/>
      <c r="B27" s="96"/>
      <c r="E27" s="1"/>
      <c r="F27" s="98"/>
      <c r="G27" s="96"/>
      <c r="H27" s="98"/>
      <c r="I27" s="98"/>
      <c r="J27" s="96"/>
    </row>
    <row r="28" spans="1:15" x14ac:dyDescent="0.25">
      <c r="A28" s="95"/>
      <c r="B28" s="96"/>
      <c r="E28" s="1"/>
      <c r="F28" s="98"/>
      <c r="G28" s="96"/>
      <c r="H28" s="98"/>
      <c r="I28" s="98"/>
      <c r="J28" s="96"/>
    </row>
    <row r="29" spans="1:15" x14ac:dyDescent="0.25">
      <c r="A29" s="95"/>
      <c r="B29" s="96"/>
      <c r="E29" s="1"/>
      <c r="F29" s="98"/>
      <c r="G29" s="96"/>
      <c r="H29" s="98"/>
      <c r="I29" s="98"/>
      <c r="J29" s="98"/>
    </row>
    <row r="30" spans="1:15" x14ac:dyDescent="0.25">
      <c r="A30" s="95"/>
      <c r="B30" s="96"/>
      <c r="E30" s="1"/>
      <c r="F30" s="98"/>
      <c r="G30" s="96"/>
      <c r="H30" s="98"/>
      <c r="I30" s="98"/>
      <c r="J30" s="98"/>
    </row>
    <row r="31" spans="1:15" x14ac:dyDescent="0.25">
      <c r="A31" s="95"/>
      <c r="B31" s="96"/>
      <c r="E31" s="1"/>
      <c r="F31" s="98"/>
      <c r="G31" s="98"/>
      <c r="H31" s="98"/>
      <c r="I31" s="98"/>
      <c r="J31" s="98"/>
    </row>
    <row r="32" spans="1:15" x14ac:dyDescent="0.25">
      <c r="A32" s="95"/>
      <c r="B32" s="29"/>
      <c r="E32" s="1"/>
      <c r="F32" s="98"/>
      <c r="G32" s="96"/>
      <c r="H32" s="98"/>
      <c r="I32" s="98"/>
      <c r="J32" s="98"/>
    </row>
    <row r="33" spans="1:10" x14ac:dyDescent="0.25">
      <c r="A33" s="95"/>
      <c r="B33" s="98"/>
      <c r="E33" s="1"/>
      <c r="F33" s="98"/>
      <c r="G33" s="96"/>
      <c r="H33" s="98"/>
      <c r="I33" s="98"/>
      <c r="J33" s="98"/>
    </row>
    <row r="34" spans="1:10" x14ac:dyDescent="0.25">
      <c r="A34" s="95"/>
      <c r="B34" s="29"/>
      <c r="E34" s="1"/>
      <c r="F34" s="98"/>
      <c r="G34" s="96"/>
      <c r="H34" s="98"/>
      <c r="I34" s="98"/>
      <c r="J34" s="98"/>
    </row>
    <row r="35" spans="1:10" x14ac:dyDescent="0.25">
      <c r="E35" s="1"/>
      <c r="F35" s="98"/>
      <c r="G35" s="96"/>
      <c r="H35" s="98"/>
      <c r="I35" s="98"/>
      <c r="J35" s="96"/>
    </row>
    <row r="36" spans="1:10" x14ac:dyDescent="0.25">
      <c r="E36" s="1"/>
      <c r="F36" s="98"/>
      <c r="G36" s="98"/>
      <c r="H36" s="98"/>
      <c r="I36" s="98"/>
      <c r="J36" s="96"/>
    </row>
    <row r="37" spans="1:10" x14ac:dyDescent="0.25">
      <c r="E37" s="1"/>
      <c r="F37" s="98"/>
      <c r="G37" s="98"/>
      <c r="H37" s="98"/>
      <c r="I37" s="98"/>
      <c r="J37" s="98"/>
    </row>
    <row r="38" spans="1:10" x14ac:dyDescent="0.25">
      <c r="E38" s="1"/>
      <c r="F38" s="98"/>
      <c r="G38" s="96"/>
      <c r="H38" s="98"/>
      <c r="I38" s="98"/>
      <c r="J38" s="98"/>
    </row>
    <row r="39" spans="1:10" x14ac:dyDescent="0.25">
      <c r="B39" s="118"/>
      <c r="C39" s="118"/>
      <c r="D39" s="118"/>
      <c r="E39" s="1"/>
      <c r="F39" s="153"/>
      <c r="G39" s="96"/>
      <c r="H39" s="98"/>
      <c r="I39" s="98"/>
      <c r="J39" s="29"/>
    </row>
    <row r="40" spans="1:10" x14ac:dyDescent="0.25">
      <c r="B40" s="118"/>
      <c r="C40" s="118"/>
      <c r="D40" s="118"/>
      <c r="E40" s="1"/>
      <c r="F40" s="1"/>
      <c r="G40" s="153"/>
      <c r="H40" s="153"/>
      <c r="I40" s="153"/>
      <c r="J40" s="29"/>
    </row>
    <row r="41" spans="1:10" x14ac:dyDescent="0.25">
      <c r="B41" s="118"/>
      <c r="C41" s="118"/>
      <c r="D41" s="118"/>
    </row>
  </sheetData>
  <mergeCells count="7">
    <mergeCell ref="A21:A22"/>
    <mergeCell ref="A4:A5"/>
    <mergeCell ref="J4:O4"/>
    <mergeCell ref="J5:O5"/>
    <mergeCell ref="A6:A11"/>
    <mergeCell ref="A12:A20"/>
    <mergeCell ref="K19:O20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Disinfectant</vt:lpstr>
      <vt:lpstr>Other Parameters</vt:lpstr>
      <vt:lpstr>Purogene </vt:lpstr>
      <vt:lpstr>Aerator</vt:lpstr>
      <vt:lpstr>Biofilm+D&amp;F (Aug-Oct 2015)</vt:lpstr>
      <vt:lpstr>Coliform persistence+D&amp;F (Nov )</vt:lpstr>
      <vt:lpstr>D&amp;F summary</vt:lpstr>
      <vt:lpstr>D&amp;F ClO2 (Feb 2016)</vt:lpstr>
      <vt:lpstr>D&amp;F O3 (March 2016)</vt:lpstr>
      <vt:lpstr>D&amp;F O3 (April 2016)</vt:lpstr>
      <vt:lpstr>D&amp;F Cl02 (June 2016)</vt:lpstr>
      <vt:lpstr>D&amp;F ClO2 (Aug 2016)</vt:lpstr>
      <vt:lpstr>Disinfectant!Print_Titles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Jeff</dc:creator>
  <cp:lastModifiedBy>Szabo, Jeff</cp:lastModifiedBy>
  <dcterms:created xsi:type="dcterms:W3CDTF">2015-08-28T19:45:37Z</dcterms:created>
  <dcterms:modified xsi:type="dcterms:W3CDTF">2017-04-21T20:59:22Z</dcterms:modified>
</cp:coreProperties>
</file>