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F-K\JSZABO\Net MyDocuments\Desktop\WSTB\JAWWA article\ScienceHub Entry\"/>
    </mc:Choice>
  </mc:AlternateContent>
  <bookViews>
    <workbookView xWindow="0" yWindow="0" windowWidth="19200" windowHeight="11595" tabRatio="730"/>
  </bookViews>
  <sheets>
    <sheet name="Raw Data" sheetId="1" r:id="rId1"/>
    <sheet name="Pipe Decon-Water" sheetId="6" r:id="rId2"/>
    <sheet name="Pipe Decon-Coupons" sheetId="3" r:id="rId3"/>
    <sheet name="Summary" sheetId="7" r:id="rId4"/>
    <sheet name="Disinfectant Concentration" sheetId="5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6" l="1"/>
  <c r="AE15" i="7" l="1"/>
  <c r="AE6" i="7" l="1"/>
  <c r="AE7" i="7"/>
  <c r="AE8" i="7"/>
  <c r="AE9" i="7"/>
  <c r="AE10" i="7"/>
  <c r="AE11" i="7"/>
  <c r="AE12" i="7"/>
  <c r="AE13" i="7"/>
  <c r="AE14" i="7"/>
  <c r="AE5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6" i="7"/>
  <c r="C40" i="7" l="1"/>
  <c r="C41" i="7"/>
  <c r="C42" i="7"/>
  <c r="C43" i="7"/>
  <c r="C44" i="7"/>
  <c r="C45" i="7"/>
  <c r="C46" i="7"/>
  <c r="C47" i="7"/>
  <c r="C48" i="7"/>
  <c r="C39" i="7"/>
  <c r="C25" i="7"/>
  <c r="D25" i="7" s="1"/>
  <c r="B20" i="7"/>
  <c r="D15" i="6"/>
  <c r="B6" i="7" l="1"/>
  <c r="D14" i="3"/>
  <c r="I15" i="5" l="1"/>
  <c r="J15" i="5" s="1"/>
  <c r="I16" i="5"/>
  <c r="J16" i="5" s="1"/>
  <c r="I17" i="5"/>
  <c r="J17" i="5" s="1"/>
  <c r="I18" i="5"/>
  <c r="J18" i="5" s="1"/>
  <c r="G13" i="5"/>
  <c r="H13" i="5" s="1"/>
  <c r="G14" i="5"/>
  <c r="H14" i="5"/>
  <c r="G15" i="5"/>
  <c r="H15" i="5" s="1"/>
  <c r="G16" i="5"/>
  <c r="H16" i="5"/>
  <c r="G17" i="5"/>
  <c r="H17" i="5" s="1"/>
  <c r="G18" i="5"/>
  <c r="H18" i="5"/>
  <c r="G19" i="5"/>
  <c r="H19" i="5" s="1"/>
  <c r="G20" i="5"/>
  <c r="H20" i="5"/>
  <c r="G12" i="5"/>
  <c r="H12" i="5" s="1"/>
  <c r="E13" i="5"/>
  <c r="B41" i="7" s="1"/>
  <c r="F13" i="5"/>
  <c r="E14" i="5"/>
  <c r="B42" i="7" s="1"/>
  <c r="F14" i="5"/>
  <c r="E15" i="5"/>
  <c r="B43" i="7" s="1"/>
  <c r="F15" i="5"/>
  <c r="E16" i="5"/>
  <c r="B44" i="7" s="1"/>
  <c r="F16" i="5"/>
  <c r="E17" i="5"/>
  <c r="B45" i="7" s="1"/>
  <c r="E18" i="5"/>
  <c r="B46" i="7" s="1"/>
  <c r="F18" i="5"/>
  <c r="E19" i="5"/>
  <c r="B47" i="7" s="1"/>
  <c r="E20" i="5"/>
  <c r="B48" i="7" s="1"/>
  <c r="F20" i="5"/>
  <c r="I14" i="5"/>
  <c r="J14" i="5" s="1"/>
  <c r="E12" i="5"/>
  <c r="B40" i="7" s="1"/>
  <c r="Q20" i="6"/>
  <c r="P15" i="6"/>
  <c r="C20" i="7" s="1"/>
  <c r="D20" i="7" s="1"/>
  <c r="L30" i="6"/>
  <c r="N30" i="6" s="1"/>
  <c r="P30" i="6" s="1"/>
  <c r="C32" i="7" s="1"/>
  <c r="D32" i="7" s="1"/>
  <c r="L31" i="6"/>
  <c r="N31" i="6" s="1"/>
  <c r="P31" i="6" s="1"/>
  <c r="C33" i="7" s="1"/>
  <c r="D33" i="7" s="1"/>
  <c r="L32" i="6"/>
  <c r="N32" i="6" s="1"/>
  <c r="P32" i="6" s="1"/>
  <c r="C34" i="7" s="1"/>
  <c r="D34" i="7" s="1"/>
  <c r="L29" i="6"/>
  <c r="N29" i="6" s="1"/>
  <c r="P29" i="6" s="1"/>
  <c r="C31" i="7" s="1"/>
  <c r="D31" i="7" s="1"/>
  <c r="C31" i="6"/>
  <c r="B33" i="7" s="1"/>
  <c r="E31" i="6"/>
  <c r="F31" i="6"/>
  <c r="C32" i="6"/>
  <c r="B34" i="7" s="1"/>
  <c r="E32" i="6"/>
  <c r="F32" i="6"/>
  <c r="E30" i="6"/>
  <c r="F30" i="6" s="1"/>
  <c r="C30" i="6"/>
  <c r="D30" i="6" s="1"/>
  <c r="E29" i="6"/>
  <c r="F29" i="6" s="1"/>
  <c r="C29" i="6"/>
  <c r="D29" i="6" s="1"/>
  <c r="L18" i="6"/>
  <c r="P18" i="6" s="1"/>
  <c r="C23" i="7" s="1"/>
  <c r="D23" i="7" s="1"/>
  <c r="E23" i="7" s="1"/>
  <c r="L19" i="6"/>
  <c r="P19" i="6" s="1"/>
  <c r="C24" i="7" s="1"/>
  <c r="D24" i="7" s="1"/>
  <c r="L20" i="6"/>
  <c r="L21" i="6"/>
  <c r="P21" i="6" s="1"/>
  <c r="C26" i="7" s="1"/>
  <c r="D26" i="7" s="1"/>
  <c r="L22" i="6"/>
  <c r="P22" i="6" s="1"/>
  <c r="L23" i="6"/>
  <c r="P23" i="6" s="1"/>
  <c r="C28" i="7" s="1"/>
  <c r="D28" i="7" s="1"/>
  <c r="L24" i="6"/>
  <c r="P24" i="6" s="1"/>
  <c r="L25" i="6"/>
  <c r="P25" i="6" s="1"/>
  <c r="C30" i="7" s="1"/>
  <c r="D30" i="7" s="1"/>
  <c r="L26" i="6"/>
  <c r="P26" i="6" s="1"/>
  <c r="Q26" i="6" s="1"/>
  <c r="L27" i="6"/>
  <c r="P27" i="6" s="1"/>
  <c r="L15" i="6"/>
  <c r="J17" i="6"/>
  <c r="L17" i="6" s="1"/>
  <c r="P17" i="6" s="1"/>
  <c r="C22" i="7" s="1"/>
  <c r="D22" i="7" s="1"/>
  <c r="J16" i="6"/>
  <c r="L16" i="6" s="1"/>
  <c r="P16" i="6" s="1"/>
  <c r="C21" i="7" s="1"/>
  <c r="D21" i="7" s="1"/>
  <c r="C27" i="6"/>
  <c r="E27" i="6"/>
  <c r="F27" i="6" s="1"/>
  <c r="C26" i="6"/>
  <c r="E26" i="6"/>
  <c r="F26" i="6" s="1"/>
  <c r="C25" i="6"/>
  <c r="E25" i="6"/>
  <c r="F25" i="6" s="1"/>
  <c r="C23" i="6"/>
  <c r="E23" i="6"/>
  <c r="F23" i="6" s="1"/>
  <c r="G23" i="6"/>
  <c r="H23" i="6" s="1"/>
  <c r="C24" i="6"/>
  <c r="E24" i="6"/>
  <c r="F24" i="6" s="1"/>
  <c r="C22" i="6"/>
  <c r="B27" i="7" s="1"/>
  <c r="E22" i="6"/>
  <c r="F22" i="6"/>
  <c r="G22" i="6"/>
  <c r="H22" i="6" s="1"/>
  <c r="E20" i="6"/>
  <c r="F20" i="6" s="1"/>
  <c r="G20" i="6"/>
  <c r="H20" i="6" s="1"/>
  <c r="E21" i="6"/>
  <c r="F21" i="6" s="1"/>
  <c r="G21" i="6"/>
  <c r="H21" i="6" s="1"/>
  <c r="C20" i="6"/>
  <c r="B25" i="7" s="1"/>
  <c r="D20" i="6"/>
  <c r="C21" i="6"/>
  <c r="B26" i="7" s="1"/>
  <c r="C19" i="6"/>
  <c r="E19" i="6"/>
  <c r="F19" i="6" s="1"/>
  <c r="G19" i="6"/>
  <c r="H19" i="6" s="1"/>
  <c r="C18" i="6"/>
  <c r="C17" i="6"/>
  <c r="G18" i="6"/>
  <c r="H18" i="6" s="1"/>
  <c r="E18" i="6"/>
  <c r="F18" i="6" s="1"/>
  <c r="C16" i="6"/>
  <c r="L15" i="3"/>
  <c r="N15" i="3" s="1"/>
  <c r="P15" i="3" s="1"/>
  <c r="L16" i="3"/>
  <c r="N16" i="3" s="1"/>
  <c r="P16" i="3" s="1"/>
  <c r="L20" i="3"/>
  <c r="N20" i="3" s="1"/>
  <c r="P20" i="3" s="1"/>
  <c r="L22" i="3"/>
  <c r="N22" i="3" s="1"/>
  <c r="P22" i="3" s="1"/>
  <c r="L24" i="3"/>
  <c r="N24" i="3" s="1"/>
  <c r="P24" i="3" s="1"/>
  <c r="Q24" i="3" s="1"/>
  <c r="L25" i="3"/>
  <c r="N25" i="3" s="1"/>
  <c r="P25" i="3" s="1"/>
  <c r="L26" i="3"/>
  <c r="N26" i="3" s="1"/>
  <c r="P26" i="3" s="1"/>
  <c r="L27" i="3"/>
  <c r="N27" i="3" s="1"/>
  <c r="P27" i="3" s="1"/>
  <c r="Q26" i="3" s="1"/>
  <c r="L28" i="3"/>
  <c r="N28" i="3" s="1"/>
  <c r="P28" i="3" s="1"/>
  <c r="Q28" i="3" s="1"/>
  <c r="L31" i="3"/>
  <c r="N31" i="3" s="1"/>
  <c r="P31" i="3" s="1"/>
  <c r="L32" i="3"/>
  <c r="N32" i="3" s="1"/>
  <c r="P32" i="3" s="1"/>
  <c r="L33" i="3"/>
  <c r="N33" i="3" s="1"/>
  <c r="P33" i="3" s="1"/>
  <c r="R32" i="3" s="1"/>
  <c r="D15" i="7" s="1"/>
  <c r="L14" i="3"/>
  <c r="N14" i="3" s="1"/>
  <c r="P14" i="3" s="1"/>
  <c r="C32" i="3"/>
  <c r="E32" i="3"/>
  <c r="F32" i="3" s="1"/>
  <c r="C30" i="3"/>
  <c r="E30" i="3"/>
  <c r="F30" i="3" s="1"/>
  <c r="C28" i="3"/>
  <c r="E28" i="3"/>
  <c r="F28" i="3" s="1"/>
  <c r="C26" i="3"/>
  <c r="E26" i="3"/>
  <c r="F26" i="3" s="1"/>
  <c r="G22" i="3"/>
  <c r="G24" i="3"/>
  <c r="H24" i="3" s="1"/>
  <c r="G20" i="3"/>
  <c r="E22" i="3"/>
  <c r="E24" i="3"/>
  <c r="E20" i="3"/>
  <c r="F20" i="3" s="1"/>
  <c r="C24" i="3"/>
  <c r="C22" i="3"/>
  <c r="C20" i="3"/>
  <c r="C18" i="3"/>
  <c r="C16" i="3"/>
  <c r="B7" i="7" s="1"/>
  <c r="F24" i="3"/>
  <c r="H22" i="3"/>
  <c r="F22" i="3"/>
  <c r="H20" i="3"/>
  <c r="J30" i="3"/>
  <c r="L30" i="3" s="1"/>
  <c r="N30" i="3" s="1"/>
  <c r="P30" i="3" s="1"/>
  <c r="R30" i="3" s="1"/>
  <c r="D14" i="7" s="1"/>
  <c r="J29" i="3"/>
  <c r="L29" i="3" s="1"/>
  <c r="N29" i="3" s="1"/>
  <c r="P29" i="3" s="1"/>
  <c r="J25" i="3"/>
  <c r="J24" i="3"/>
  <c r="J23" i="3"/>
  <c r="L23" i="3" s="1"/>
  <c r="N23" i="3" s="1"/>
  <c r="P23" i="3" s="1"/>
  <c r="Q22" i="3" s="1"/>
  <c r="J21" i="3"/>
  <c r="L21" i="3" s="1"/>
  <c r="N21" i="3" s="1"/>
  <c r="P21" i="3" s="1"/>
  <c r="R20" i="3" s="1"/>
  <c r="D9" i="7" s="1"/>
  <c r="J20" i="3"/>
  <c r="J19" i="3"/>
  <c r="L19" i="3" s="1"/>
  <c r="N19" i="3" s="1"/>
  <c r="P19" i="3" s="1"/>
  <c r="J18" i="3"/>
  <c r="L18" i="3" s="1"/>
  <c r="N18" i="3" s="1"/>
  <c r="P18" i="3" s="1"/>
  <c r="R18" i="3" s="1"/>
  <c r="D8" i="7" s="1"/>
  <c r="E8" i="7" s="1"/>
  <c r="J17" i="3"/>
  <c r="L17" i="3" s="1"/>
  <c r="N17" i="3" s="1"/>
  <c r="P17" i="3" s="1"/>
  <c r="R16" i="3" s="1"/>
  <c r="D7" i="7" s="1"/>
  <c r="J16" i="3"/>
  <c r="E32" i="7" l="1"/>
  <c r="E14" i="7"/>
  <c r="R22" i="3"/>
  <c r="D10" i="7" s="1"/>
  <c r="E10" i="7" s="1"/>
  <c r="Q24" i="6"/>
  <c r="C29" i="7"/>
  <c r="D29" i="7" s="1"/>
  <c r="E29" i="7" s="1"/>
  <c r="Q32" i="3"/>
  <c r="C15" i="7" s="1"/>
  <c r="R26" i="3"/>
  <c r="D12" i="7" s="1"/>
  <c r="E12" i="7" s="1"/>
  <c r="Q20" i="3"/>
  <c r="Q18" i="3"/>
  <c r="C8" i="7" s="1"/>
  <c r="R28" i="3"/>
  <c r="D13" i="7" s="1"/>
  <c r="Q30" i="3"/>
  <c r="R24" i="3"/>
  <c r="D11" i="7" s="1"/>
  <c r="E11" i="7" s="1"/>
  <c r="Q16" i="3"/>
  <c r="C7" i="7" s="1"/>
  <c r="D30" i="3"/>
  <c r="B14" i="7"/>
  <c r="Q22" i="6"/>
  <c r="C27" i="7"/>
  <c r="D27" i="7" s="1"/>
  <c r="E27" i="7" s="1"/>
  <c r="D18" i="3"/>
  <c r="B8" i="7"/>
  <c r="E22" i="7"/>
  <c r="E25" i="7"/>
  <c r="E26" i="7"/>
  <c r="E31" i="7"/>
  <c r="F12" i="5"/>
  <c r="D16" i="3"/>
  <c r="D20" i="3"/>
  <c r="B9" i="7"/>
  <c r="D28" i="3"/>
  <c r="B13" i="7"/>
  <c r="D32" i="3"/>
  <c r="B15" i="7"/>
  <c r="D17" i="6"/>
  <c r="B22" i="7"/>
  <c r="D19" i="6"/>
  <c r="B24" i="7"/>
  <c r="D24" i="6"/>
  <c r="B29" i="7"/>
  <c r="E34" i="7"/>
  <c r="F19" i="5"/>
  <c r="F17" i="5"/>
  <c r="D24" i="3"/>
  <c r="B11" i="7"/>
  <c r="D26" i="3"/>
  <c r="B12" i="7"/>
  <c r="D23" i="6"/>
  <c r="B28" i="7"/>
  <c r="D26" i="6"/>
  <c r="B31" i="7"/>
  <c r="E30" i="7"/>
  <c r="D22" i="3"/>
  <c r="B10" i="7"/>
  <c r="D16" i="6"/>
  <c r="B21" i="7"/>
  <c r="D18" i="6"/>
  <c r="B23" i="7"/>
  <c r="D21" i="6"/>
  <c r="D22" i="6"/>
  <c r="D25" i="6"/>
  <c r="B30" i="7"/>
  <c r="D27" i="6"/>
  <c r="B32" i="7"/>
  <c r="E28" i="7"/>
  <c r="E24" i="7"/>
  <c r="D32" i="6"/>
  <c r="D31" i="6"/>
  <c r="E33" i="7"/>
  <c r="E15" i="7"/>
  <c r="E13" i="7"/>
  <c r="E9" i="7"/>
  <c r="C14" i="7"/>
  <c r="S30" i="3"/>
  <c r="C12" i="7"/>
  <c r="C10" i="7"/>
  <c r="S22" i="3"/>
  <c r="S32" i="3"/>
  <c r="C13" i="7"/>
  <c r="C11" i="7"/>
  <c r="S24" i="3"/>
  <c r="C9" i="7"/>
  <c r="R14" i="3"/>
  <c r="D6" i="7" s="1"/>
  <c r="Q14" i="3"/>
  <c r="Q18" i="6"/>
  <c r="R18" i="6"/>
  <c r="Q32" i="6"/>
  <c r="R32" i="6"/>
  <c r="Q30" i="6"/>
  <c r="R30" i="6"/>
  <c r="Q17" i="6"/>
  <c r="R20" i="6"/>
  <c r="R17" i="6"/>
  <c r="R27" i="6"/>
  <c r="Q27" i="6"/>
  <c r="R25" i="6"/>
  <c r="Q25" i="6"/>
  <c r="R23" i="6"/>
  <c r="Q23" i="6"/>
  <c r="R21" i="6"/>
  <c r="Q21" i="6"/>
  <c r="R19" i="6"/>
  <c r="Q19" i="6"/>
  <c r="Q29" i="6"/>
  <c r="R29" i="6"/>
  <c r="Q31" i="6"/>
  <c r="R31" i="6"/>
  <c r="R24" i="6"/>
  <c r="R22" i="6"/>
  <c r="J11" i="1"/>
  <c r="S20" i="3" l="1"/>
  <c r="S28" i="3"/>
  <c r="S18" i="3"/>
  <c r="S26" i="3"/>
  <c r="I11" i="1"/>
  <c r="H11" i="1"/>
  <c r="H26" i="1" l="1"/>
  <c r="H25" i="1"/>
  <c r="H21" i="1"/>
  <c r="H20" i="1"/>
  <c r="H19" i="1"/>
  <c r="H13" i="1"/>
  <c r="H17" i="1"/>
  <c r="H16" i="1"/>
  <c r="H15" i="1"/>
  <c r="H14" i="1"/>
</calcChain>
</file>

<file path=xl/sharedStrings.xml><?xml version="1.0" encoding="utf-8"?>
<sst xmlns="http://schemas.openxmlformats.org/spreadsheetml/2006/main" count="428" uniqueCount="162">
  <si>
    <t>Sample ID</t>
  </si>
  <si>
    <t>BWS 0</t>
  </si>
  <si>
    <t>BWS 1</t>
  </si>
  <si>
    <t>BWS 2</t>
  </si>
  <si>
    <t>BWS 3</t>
  </si>
  <si>
    <t>BWS 4</t>
  </si>
  <si>
    <t>BWS 5</t>
  </si>
  <si>
    <t>BWS 6</t>
  </si>
  <si>
    <t>BWS 7</t>
  </si>
  <si>
    <t>BWS 8</t>
  </si>
  <si>
    <t>BWS 9</t>
  </si>
  <si>
    <t>BWS 10</t>
  </si>
  <si>
    <t>BWS 11</t>
  </si>
  <si>
    <t>BWS 5A</t>
  </si>
  <si>
    <t>CP 0</t>
  </si>
  <si>
    <t>CP 0D</t>
  </si>
  <si>
    <t>CP 1</t>
  </si>
  <si>
    <t>CP 2</t>
  </si>
  <si>
    <t>CP 2D</t>
  </si>
  <si>
    <t>CP 3</t>
  </si>
  <si>
    <t>CP 3D</t>
  </si>
  <si>
    <t>CP 4</t>
  </si>
  <si>
    <t>CP 4D</t>
  </si>
  <si>
    <t>CP 5</t>
  </si>
  <si>
    <t>CP 5D</t>
  </si>
  <si>
    <t>CP 6</t>
  </si>
  <si>
    <t>CP 6D</t>
  </si>
  <si>
    <t>CP 7</t>
  </si>
  <si>
    <t>CP 7D</t>
  </si>
  <si>
    <t>CP 8</t>
  </si>
  <si>
    <t>CP 8D</t>
  </si>
  <si>
    <t>CP 9</t>
  </si>
  <si>
    <t>CP 9D</t>
  </si>
  <si>
    <t>CP 1D</t>
  </si>
  <si>
    <t>Unit volume</t>
  </si>
  <si>
    <t>1.0mL</t>
  </si>
  <si>
    <t>20mL</t>
  </si>
  <si>
    <t>55mL</t>
  </si>
  <si>
    <t>75mL</t>
  </si>
  <si>
    <t>65mL</t>
  </si>
  <si>
    <t>70mL</t>
  </si>
  <si>
    <t>60mL</t>
  </si>
  <si>
    <t>BWB</t>
  </si>
  <si>
    <t>BWB 2</t>
  </si>
  <si>
    <t>BWB 1</t>
  </si>
  <si>
    <t>BWB 5</t>
  </si>
  <si>
    <t>BWB 6</t>
  </si>
  <si>
    <t>BWB 7</t>
  </si>
  <si>
    <t>10mL</t>
  </si>
  <si>
    <t>TMTC</t>
  </si>
  <si>
    <t>40mL</t>
  </si>
  <si>
    <t>24hr B. globigii CFU</t>
  </si>
  <si>
    <t>48hr B. globigii CFU</t>
  </si>
  <si>
    <t>72hr B. globigii CFU</t>
  </si>
  <si>
    <t>85mL</t>
  </si>
  <si>
    <t>These coupon samples were not brought to 100mL before</t>
  </si>
  <si>
    <t>analysis.  Reported data should be reduced by one-half.</t>
  </si>
  <si>
    <t>WSC-1</t>
  </si>
  <si>
    <t>WSC-2</t>
  </si>
  <si>
    <t>WSC-3</t>
  </si>
  <si>
    <t>WSC-4</t>
  </si>
  <si>
    <t>50 ml samples</t>
  </si>
  <si>
    <t>Sample Day</t>
  </si>
  <si>
    <t>Sample Time</t>
  </si>
  <si>
    <t>N/A</t>
  </si>
  <si>
    <t>(mg/L)</t>
  </si>
  <si>
    <t>(hr)</t>
  </si>
  <si>
    <t>(min)</t>
  </si>
  <si>
    <t>Elapsed Time After Spore Injection Start</t>
  </si>
  <si>
    <r>
      <t>Elapsed Time After 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Injection Start</t>
    </r>
  </si>
  <si>
    <t xml:space="preserve">Monday </t>
  </si>
  <si>
    <t>Tuesday</t>
  </si>
  <si>
    <t>Wednesday</t>
  </si>
  <si>
    <t>Thursday</t>
  </si>
  <si>
    <t>Friday</t>
  </si>
  <si>
    <r>
      <t>Coupon contact time with CLO</t>
    </r>
    <r>
      <rPr>
        <vertAlign val="subscript"/>
        <sz val="11"/>
        <color theme="1"/>
        <rFont val="Calibri"/>
        <family val="2"/>
        <scheme val="minor"/>
      </rPr>
      <t>2</t>
    </r>
  </si>
  <si>
    <r>
      <t>Coupon contact time with 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</si>
  <si>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Start</t>
  </si>
  <si>
    <t>End</t>
  </si>
  <si>
    <t>Resume Baseline Flow (2.5 gpm)</t>
  </si>
  <si>
    <t>Coupon Area</t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</si>
  <si>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</si>
  <si>
    <t>CFU</t>
  </si>
  <si>
    <t>Volume of water analyzed</t>
  </si>
  <si>
    <t>ml</t>
  </si>
  <si>
    <t>BG counts on plate</t>
  </si>
  <si>
    <t>BG Density</t>
  </si>
  <si>
    <t>CFU/ml</t>
  </si>
  <si>
    <t>Volume in Sample Container</t>
  </si>
  <si>
    <t>BG in Sample Container</t>
  </si>
  <si>
    <t>BG attached to Coupon Surface</t>
  </si>
  <si>
    <r>
      <t>CFU/in</t>
    </r>
    <r>
      <rPr>
        <vertAlign val="superscript"/>
        <sz val="11"/>
        <color theme="1"/>
        <rFont val="Calibri"/>
        <family val="2"/>
        <scheme val="minor"/>
      </rPr>
      <t>2</t>
    </r>
  </si>
  <si>
    <t>Mean BG attached to Coupon Surface</t>
  </si>
  <si>
    <t>Range between coupons</t>
  </si>
  <si>
    <t>Log Reduction</t>
  </si>
  <si>
    <t>Experiment Phase</t>
  </si>
  <si>
    <t>Pre Contamination Baseline</t>
  </si>
  <si>
    <t>BG contamination</t>
  </si>
  <si>
    <t>Spore Injection</t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</si>
  <si>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Injection</t>
    </r>
  </si>
  <si>
    <t>Flushing (15 or 5 gpm)</t>
  </si>
  <si>
    <r>
      <t>ClO</t>
    </r>
    <r>
      <rPr>
        <vertAlign val="sub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Coupon Contact</t>
    </r>
  </si>
  <si>
    <t>Decontamination with chlorine dioxide</t>
  </si>
  <si>
    <t>Flush WSTB</t>
  </si>
  <si>
    <t>Return to Baseline</t>
  </si>
  <si>
    <t>Monday</t>
  </si>
  <si>
    <r>
      <t>Water contact time with 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</si>
  <si>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BG density in water</t>
  </si>
  <si>
    <t>Concentrate Volume</t>
  </si>
  <si>
    <t>(ml)</t>
  </si>
  <si>
    <t>Spores in concentrate</t>
  </si>
  <si>
    <t>(CFU)</t>
  </si>
  <si>
    <t>Sample Volume</t>
  </si>
  <si>
    <t>BG spore density in water</t>
  </si>
  <si>
    <t>CFU/100 ml</t>
  </si>
  <si>
    <t>ClO2 1</t>
  </si>
  <si>
    <t>ClO2 0</t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</si>
  <si>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</t>
    </r>
  </si>
  <si>
    <t>ClO2 2</t>
  </si>
  <si>
    <t>ClO2 3</t>
  </si>
  <si>
    <t>ClO2 4</t>
  </si>
  <si>
    <t>ClO2 5</t>
  </si>
  <si>
    <t>ClO2 6</t>
  </si>
  <si>
    <t>ClO2 7</t>
  </si>
  <si>
    <t>ClO2 8</t>
  </si>
  <si>
    <t>ClO2 9</t>
  </si>
  <si>
    <r>
      <t>Coupon/Water contact time with 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</si>
  <si>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Elapsed Time (after spore injection)</t>
  </si>
  <si>
    <t>Mean Attached BG Spores</t>
  </si>
  <si>
    <t>Attached BG Range</t>
  </si>
  <si>
    <r>
      <t>(cfu/in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</si>
  <si>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Experimental Phase</t>
  </si>
  <si>
    <t>Pre-Injection Baseline</t>
  </si>
  <si>
    <t>BG Contamination</t>
  </si>
  <si>
    <t>Decontamination with Chlorine Dioxide</t>
  </si>
  <si>
    <t>Flushing</t>
  </si>
  <si>
    <t>Return to Pre-Injection Baseline</t>
  </si>
  <si>
    <t>(cfu/ml)</t>
  </si>
  <si>
    <t>Mean Bulk Water BG Spores</t>
  </si>
  <si>
    <t>(cfu/100 ml)</t>
  </si>
  <si>
    <t>Return to Pre Injection Baseline</t>
  </si>
  <si>
    <t>BG Pipe Decontamination</t>
  </si>
  <si>
    <t>BG Water Disinfection</t>
  </si>
  <si>
    <t>Chlorine Dioxide Concentration</t>
  </si>
  <si>
    <t>Decon</t>
  </si>
  <si>
    <t>flushing</t>
  </si>
  <si>
    <t>baseline</t>
  </si>
  <si>
    <t>Cumulative Time</t>
  </si>
  <si>
    <t>CL Coupon Average</t>
  </si>
  <si>
    <t>(cfu/in2)</t>
  </si>
  <si>
    <t>Time</t>
  </si>
  <si>
    <t>BG Spores</t>
  </si>
  <si>
    <t>Cl02</t>
  </si>
  <si>
    <t>CLO2 conc</t>
  </si>
  <si>
    <t>(HR)</t>
  </si>
  <si>
    <t>hr</t>
  </si>
  <si>
    <r>
      <t>Coupon/Water contact time with CLO</t>
    </r>
    <r>
      <rPr>
        <vertAlign val="subscript"/>
        <sz val="11"/>
        <color theme="1"/>
        <rFont val="Calibri"/>
        <family val="2"/>
        <scheme val="minor"/>
      </rPr>
      <t>2</t>
    </r>
  </si>
  <si>
    <r>
      <t>BG=</t>
    </r>
    <r>
      <rPr>
        <i/>
        <sz val="11"/>
        <color theme="1"/>
        <rFont val="Calibri"/>
        <family val="2"/>
        <scheme val="minor"/>
      </rPr>
      <t>Bacillus globigii</t>
    </r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</si>
  <si>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=Chlorine dioxide</t>
    </r>
  </si>
  <si>
    <t>CP=Coupon</t>
  </si>
  <si>
    <t>D=Duplicate</t>
  </si>
  <si>
    <t>BWS=Bulk water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</si>
</sst>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E+00"/>
    <numFmt numFmtId="165" formatCode="0.0"/>
    <numFmt numFmtId="166" formatCode="0.0000"/>
    <numFmt numFmtId="167" formatCode="[$-409]m/d/yy\ h:mm\ AM/PM;@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18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8" borderId="0" xfId="0" applyFill="1" applyAlignment="1">
      <alignment horizontal="center" wrapText="1"/>
    </xf>
    <xf numFmtId="164" fontId="0" fillId="8" borderId="0" xfId="0" applyNumberFormat="1" applyFill="1" applyAlignment="1">
      <alignment wrapText="1"/>
    </xf>
    <xf numFmtId="165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 wrapText="1"/>
    </xf>
    <xf numFmtId="164" fontId="0" fillId="4" borderId="0" xfId="0" applyNumberFormat="1" applyFill="1" applyAlignment="1">
      <alignment vertical="center" wrapText="1"/>
    </xf>
    <xf numFmtId="164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164" fontId="0" fillId="5" borderId="0" xfId="0" applyNumberFormat="1" applyFill="1" applyAlignment="1">
      <alignment wrapText="1"/>
    </xf>
    <xf numFmtId="2" fontId="0" fillId="5" borderId="0" xfId="0" applyNumberFormat="1" applyFill="1" applyAlignment="1">
      <alignment horizontal="center" vertical="center" wrapText="1"/>
    </xf>
    <xf numFmtId="164" fontId="0" fillId="7" borderId="0" xfId="0" applyNumberFormat="1" applyFill="1" applyAlignment="1">
      <alignment horizontal="center" wrapText="1"/>
    </xf>
    <xf numFmtId="164" fontId="0" fillId="7" borderId="0" xfId="0" applyNumberFormat="1" applyFill="1" applyAlignment="1">
      <alignment wrapText="1"/>
    </xf>
    <xf numFmtId="2" fontId="0" fillId="7" borderId="0" xfId="0" applyNumberFormat="1" applyFill="1" applyAlignment="1">
      <alignment horizontal="center" vertical="center" wrapText="1"/>
    </xf>
    <xf numFmtId="164" fontId="0" fillId="6" borderId="0" xfId="0" applyNumberFormat="1" applyFill="1" applyAlignment="1">
      <alignment horizontal="center" wrapText="1"/>
    </xf>
    <xf numFmtId="164" fontId="0" fillId="6" borderId="0" xfId="0" applyNumberFormat="1" applyFill="1" applyAlignment="1">
      <alignment wrapText="1"/>
    </xf>
    <xf numFmtId="2" fontId="0" fillId="6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wrapText="1"/>
    </xf>
    <xf numFmtId="2" fontId="0" fillId="4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4" borderId="8" xfId="0" applyNumberFormat="1" applyFill="1" applyBorder="1" applyAlignment="1">
      <alignment horizontal="center" wrapText="1"/>
    </xf>
    <xf numFmtId="164" fontId="0" fillId="0" borderId="9" xfId="0" applyNumberFormat="1" applyFill="1" applyBorder="1" applyAlignment="1">
      <alignment horizontal="center"/>
    </xf>
    <xf numFmtId="0" fontId="0" fillId="0" borderId="6" xfId="0" applyNumberFormat="1" applyBorder="1" applyAlignment="1">
      <alignment horizontal="center" wrapText="1"/>
    </xf>
    <xf numFmtId="0" fontId="0" fillId="4" borderId="6" xfId="0" applyNumberFormat="1" applyFill="1" applyBorder="1" applyAlignment="1">
      <alignment horizontal="center" wrapText="1"/>
    </xf>
    <xf numFmtId="0" fontId="0" fillId="4" borderId="10" xfId="0" applyNumberFormat="1" applyFill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8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" fontId="0" fillId="0" borderId="0" xfId="0" applyNumberFormat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6" borderId="0" xfId="0" applyNumberForma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165" fontId="0" fillId="5" borderId="0" xfId="0" applyNumberFormat="1" applyFill="1" applyAlignment="1">
      <alignment horizontal="center" vertical="center" wrapText="1"/>
    </xf>
    <xf numFmtId="165" fontId="0" fillId="7" borderId="0" xfId="0" applyNumberFormat="1" applyFill="1" applyAlignment="1">
      <alignment horizontal="center" vertical="center" wrapText="1"/>
    </xf>
    <xf numFmtId="165" fontId="0" fillId="6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23749851593289"/>
          <c:y val="5.707836777647151E-2"/>
          <c:w val="0.70642353460803509"/>
          <c:h val="0.80673080988361212"/>
        </c:manualLayout>
      </c:layout>
      <c:scatterChart>
        <c:scatterStyle val="lineMarker"/>
        <c:varyColors val="0"/>
        <c:ser>
          <c:idx val="0"/>
          <c:order val="0"/>
          <c:tx>
            <c:v>BG spores attached to coupons (cfu/in2)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Summary!$B$6:$B$15</c:f>
              <c:numCache>
                <c:formatCode>0.0</c:formatCode>
                <c:ptCount val="10"/>
                <c:pt idx="0">
                  <c:v>0</c:v>
                </c:pt>
                <c:pt idx="1">
                  <c:v>1.1666666668024845</c:v>
                </c:pt>
                <c:pt idx="2">
                  <c:v>1.5</c:v>
                </c:pt>
                <c:pt idx="3">
                  <c:v>3.3333333333721384</c:v>
                </c:pt>
                <c:pt idx="4">
                  <c:v>6.5000000000582077</c:v>
                </c:pt>
                <c:pt idx="5">
                  <c:v>25.333333333313931</c:v>
                </c:pt>
                <c:pt idx="6">
                  <c:v>29.000000000058208</c:v>
                </c:pt>
                <c:pt idx="7">
                  <c:v>50.000000000058208</c:v>
                </c:pt>
                <c:pt idx="8">
                  <c:v>74.000000000058208</c:v>
                </c:pt>
                <c:pt idx="9">
                  <c:v>98.000000000058208</c:v>
                </c:pt>
              </c:numCache>
            </c:numRef>
          </c:xVal>
          <c:yVal>
            <c:numRef>
              <c:f>Summary!$C$6:$C$15</c:f>
              <c:numCache>
                <c:formatCode>0.0E+00</c:formatCode>
                <c:ptCount val="10"/>
                <c:pt idx="0">
                  <c:v>0</c:v>
                </c:pt>
                <c:pt idx="1">
                  <c:v>9514.8247978436666</c:v>
                </c:pt>
                <c:pt idx="2">
                  <c:v>1263477.0889487872</c:v>
                </c:pt>
                <c:pt idx="3">
                  <c:v>12803.23450134771</c:v>
                </c:pt>
                <c:pt idx="4">
                  <c:v>18194.070080862533</c:v>
                </c:pt>
                <c:pt idx="5">
                  <c:v>33692.722371967655</c:v>
                </c:pt>
                <c:pt idx="6">
                  <c:v>9433.9622641509432</c:v>
                </c:pt>
                <c:pt idx="7">
                  <c:v>15640.161725067386</c:v>
                </c:pt>
                <c:pt idx="8">
                  <c:v>7749.3261455525608</c:v>
                </c:pt>
                <c:pt idx="9">
                  <c:v>2574.1239892183289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20-4A87-903E-4464DFE52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71552"/>
        <c:axId val="200871936"/>
      </c:scatterChart>
      <c:scatterChart>
        <c:scatterStyle val="lineMarker"/>
        <c:varyColors val="0"/>
        <c:ser>
          <c:idx val="1"/>
          <c:order val="1"/>
          <c:tx>
            <c:v>Chlorine Dioxide Concentration (mg/L)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20-4A87-903E-4464DFE52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1016"/>
        <c:axId val="200890632"/>
      </c:scatterChart>
      <c:valAx>
        <c:axId val="20087155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71936"/>
        <c:crosses val="autoZero"/>
        <c:crossBetween val="midCat"/>
        <c:majorUnit val="10"/>
      </c:valAx>
      <c:valAx>
        <c:axId val="2008719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Attached BG spore density (cfu/in2)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71552"/>
        <c:crosses val="autoZero"/>
        <c:crossBetween val="midCat"/>
      </c:valAx>
      <c:valAx>
        <c:axId val="200890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 dioxide conc.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91016"/>
        <c:crosses val="max"/>
        <c:crossBetween val="midCat"/>
      </c:valAx>
      <c:valAx>
        <c:axId val="2008910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0890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58593737985207928"/>
          <c:y val="0.13034318077735726"/>
          <c:w val="0.28898534100530243"/>
          <c:h val="0.25042501009898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Attached BG and bulk water chlorine dioxide</a:t>
            </a:r>
          </a:p>
        </c:rich>
      </c:tx>
      <c:layout>
        <c:manualLayout>
          <c:xMode val="edge"/>
          <c:yMode val="edge"/>
          <c:x val="0.2140950594457309"/>
          <c:y val="1.3536371804696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37542643220422"/>
          <c:y val="8.8663235320764033E-2"/>
          <c:w val="0.7532856066917637"/>
          <c:h val="0.75709744659972378"/>
        </c:manualLayout>
      </c:layout>
      <c:scatterChart>
        <c:scatterStyle val="lineMarker"/>
        <c:varyColors val="0"/>
        <c:ser>
          <c:idx val="0"/>
          <c:order val="0"/>
          <c:tx>
            <c:v>Attached BG Log Reduction</c:v>
          </c:tx>
          <c:spPr>
            <a:ln w="381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0"/>
            <c:val val="100"/>
            <c:spPr>
              <a:noFill/>
              <a:ln w="101600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xVal>
            <c:numRef>
              <c:f>Summary!$B$6:$B$15</c:f>
              <c:numCache>
                <c:formatCode>0.0</c:formatCode>
                <c:ptCount val="10"/>
                <c:pt idx="0">
                  <c:v>0</c:v>
                </c:pt>
                <c:pt idx="1">
                  <c:v>1.1666666668024845</c:v>
                </c:pt>
                <c:pt idx="2">
                  <c:v>1.5</c:v>
                </c:pt>
                <c:pt idx="3">
                  <c:v>3.3333333333721384</c:v>
                </c:pt>
                <c:pt idx="4">
                  <c:v>6.5000000000582077</c:v>
                </c:pt>
                <c:pt idx="5">
                  <c:v>25.333333333313931</c:v>
                </c:pt>
                <c:pt idx="6">
                  <c:v>29.000000000058208</c:v>
                </c:pt>
                <c:pt idx="7">
                  <c:v>50.000000000058208</c:v>
                </c:pt>
                <c:pt idx="8">
                  <c:v>74.000000000058208</c:v>
                </c:pt>
                <c:pt idx="9">
                  <c:v>98.000000000058208</c:v>
                </c:pt>
              </c:numCache>
            </c:numRef>
          </c:xVal>
          <c:yVal>
            <c:numRef>
              <c:f>Summary!$E$6:$E$15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2.8044801891059925</c:v>
                </c:pt>
                <c:pt idx="4" formatCode="0.0">
                  <c:v>2.0641174996117488</c:v>
                </c:pt>
                <c:pt idx="5" formatCode="0.0">
                  <c:v>2.0263289387223491</c:v>
                </c:pt>
                <c:pt idx="6" formatCode="0.0">
                  <c:v>2.2024201977780304</c:v>
                </c:pt>
                <c:pt idx="7" formatCode="0.0">
                  <c:v>1.7876556954385048</c:v>
                </c:pt>
                <c:pt idx="8" formatCode="0.0">
                  <c:v>2.2304489213782737</c:v>
                </c:pt>
                <c:pt idx="9" formatCode="0.0">
                  <c:v>2.7670536911653691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2D-4266-8F69-755B1E0668A7}"/>
            </c:ext>
          </c:extLst>
        </c:ser>
        <c:ser>
          <c:idx val="2"/>
          <c:order val="2"/>
          <c:tx>
            <c:v>BG contamination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Summary!$O$6:$O$7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Summary!$P$6:$P$7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2D-4266-8F69-755B1E0668A7}"/>
            </c:ext>
          </c:extLst>
        </c:ser>
        <c:ser>
          <c:idx val="3"/>
          <c:order val="3"/>
          <c:tx>
            <c:v>BG Decontamination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Summary!$O$9:$O$10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Summary!$P$9:$P$10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2D-4266-8F69-755B1E0668A7}"/>
            </c:ext>
          </c:extLst>
        </c:ser>
        <c:ser>
          <c:idx val="4"/>
          <c:order val="4"/>
          <c:tx>
            <c:v>Flushing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Summary!$O$12:$O$13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Summary!$P$12:$P$13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2D-4266-8F69-755B1E0668A7}"/>
            </c:ext>
          </c:extLst>
        </c:ser>
        <c:ser>
          <c:idx val="5"/>
          <c:order val="5"/>
          <c:tx>
            <c:v>baseline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Summary!$O$15:$O$16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Summary!$P$15:$P$16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2D-4266-8F69-755B1E06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15160"/>
        <c:axId val="201115544"/>
      </c:scatterChart>
      <c:scatterChart>
        <c:scatterStyle val="lineMarker"/>
        <c:varyColors val="0"/>
        <c:ser>
          <c:idx val="1"/>
          <c:order val="1"/>
          <c:tx>
            <c:v>Chlorine Dioxide Concentration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2D-4266-8F69-755B1E06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78488"/>
        <c:axId val="201115928"/>
      </c:scatterChart>
      <c:valAx>
        <c:axId val="20111516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15544"/>
        <c:crosses val="autoZero"/>
        <c:crossBetween val="midCat"/>
        <c:majorUnit val="10"/>
        <c:minorUnit val="1"/>
      </c:valAx>
      <c:valAx>
        <c:axId val="20111554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Attached BG spore</a:t>
                </a:r>
                <a:r>
                  <a:rPr lang="en-US" baseline="0"/>
                  <a:t> log reduction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15160"/>
        <c:crosses val="autoZero"/>
        <c:crossBetween val="midCat"/>
      </c:valAx>
      <c:valAx>
        <c:axId val="201115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</a:t>
                </a:r>
                <a:r>
                  <a:rPr lang="en-US" baseline="0"/>
                  <a:t> dioxide conc.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78488"/>
        <c:crosses val="max"/>
        <c:crossBetween val="midCat"/>
      </c:valAx>
      <c:valAx>
        <c:axId val="2010784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1115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Bulk water BG and bulk water chlorine dioxide</a:t>
            </a:r>
          </a:p>
        </c:rich>
      </c:tx>
      <c:layout>
        <c:manualLayout>
          <c:xMode val="edge"/>
          <c:yMode val="edge"/>
          <c:x val="0.2140950594457309"/>
          <c:y val="1.3536371804696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37542643220422"/>
          <c:y val="8.8663235320764033E-2"/>
          <c:w val="0.7532856066917637"/>
          <c:h val="0.75709744659972378"/>
        </c:manualLayout>
      </c:layout>
      <c:scatterChart>
        <c:scatterStyle val="lineMarker"/>
        <c:varyColors val="0"/>
        <c:ser>
          <c:idx val="0"/>
          <c:order val="0"/>
          <c:tx>
            <c:v>Bulk Water BG Log Reduction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0"/>
            <c:val val="100"/>
            <c:spPr>
              <a:noFill/>
              <a:ln w="101600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xVal>
            <c:numRef>
              <c:f>(Summary!$B$20,Summary!$B$23:$B$34)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3.3333333333721384</c:v>
                </c:pt>
                <c:pt idx="2">
                  <c:v>4.3333333333139308</c:v>
                </c:pt>
                <c:pt idx="3">
                  <c:v>5.3333333334303461</c:v>
                </c:pt>
                <c:pt idx="4">
                  <c:v>6.4166666668024845</c:v>
                </c:pt>
                <c:pt idx="5">
                  <c:v>7.3333333333139308</c:v>
                </c:pt>
                <c:pt idx="6">
                  <c:v>25.333333333313931</c:v>
                </c:pt>
                <c:pt idx="7">
                  <c:v>29.000000000058208</c:v>
                </c:pt>
                <c:pt idx="8">
                  <c:v>49.833333333372138</c:v>
                </c:pt>
                <c:pt idx="9" formatCode="General">
                  <c:v>74.000000000058208</c:v>
                </c:pt>
                <c:pt idx="10" formatCode="General">
                  <c:v>98.000000000058208</c:v>
                </c:pt>
                <c:pt idx="11" formatCode="General">
                  <c:v>218.00000000005821</c:v>
                </c:pt>
                <c:pt idx="12" formatCode="General">
                  <c:v>396</c:v>
                </c:pt>
              </c:numCache>
            </c:numRef>
          </c:xVal>
          <c:yVal>
            <c:numRef>
              <c:f>(Summary!$E$20,Summary!$E$23:$E$34)</c:f>
              <c:numCache>
                <c:formatCode>0.0</c:formatCode>
                <c:ptCount val="13"/>
                <c:pt idx="1">
                  <c:v>4.6989700043360187</c:v>
                </c:pt>
                <c:pt idx="2">
                  <c:v>6.4822608943720734</c:v>
                </c:pt>
                <c:pt idx="3">
                  <c:v>6</c:v>
                </c:pt>
                <c:pt idx="4">
                  <c:v>7.8450980400142569</c:v>
                </c:pt>
                <c:pt idx="5">
                  <c:v>7.7781512503836439</c:v>
                </c:pt>
                <c:pt idx="6">
                  <c:v>7.3010299956639813</c:v>
                </c:pt>
                <c:pt idx="7">
                  <c:v>7.3010299956639813</c:v>
                </c:pt>
                <c:pt idx="8">
                  <c:v>7.3010299956639813</c:v>
                </c:pt>
                <c:pt idx="9">
                  <c:v>7.6796648491406323</c:v>
                </c:pt>
                <c:pt idx="10">
                  <c:v>8.1035405919070698</c:v>
                </c:pt>
                <c:pt idx="11">
                  <c:v>8.4973246408079497</c:v>
                </c:pt>
                <c:pt idx="12">
                  <c:v>7.7626390842053965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68-4492-82CB-058A2319FE09}"/>
            </c:ext>
          </c:extLst>
        </c:ser>
        <c:ser>
          <c:idx val="2"/>
          <c:order val="2"/>
          <c:tx>
            <c:v>BG contamination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Summary!$O$20:$O$21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Summary!$P$20:$P$21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68-4492-82CB-058A2319FE09}"/>
            </c:ext>
          </c:extLst>
        </c:ser>
        <c:ser>
          <c:idx val="3"/>
          <c:order val="3"/>
          <c:tx>
            <c:v>BG Decontamination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Summary!$O$23:$O$24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Summary!$P$23:$P$24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68-4492-82CB-058A2319FE09}"/>
            </c:ext>
          </c:extLst>
        </c:ser>
        <c:ser>
          <c:idx val="4"/>
          <c:order val="4"/>
          <c:tx>
            <c:v>Flushing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Summary!$O$26:$O$27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Summary!$P$26:$P$27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68-4492-82CB-058A2319FE09}"/>
            </c:ext>
          </c:extLst>
        </c:ser>
        <c:ser>
          <c:idx val="5"/>
          <c:order val="5"/>
          <c:tx>
            <c:v>baseline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Summary!$O$29:$O$30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Summary!$P$29:$P$30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68-4492-82CB-058A2319F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2000"/>
        <c:axId val="201005184"/>
      </c:scatterChart>
      <c:scatterChart>
        <c:scatterStyle val="lineMarker"/>
        <c:varyColors val="0"/>
        <c:ser>
          <c:idx val="1"/>
          <c:order val="1"/>
          <c:tx>
            <c:v>Chlorine Dioxide Concentration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68-4492-82CB-058A2319F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19664"/>
        <c:axId val="201309384"/>
      </c:scatterChart>
      <c:valAx>
        <c:axId val="20103200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05184"/>
        <c:crosses val="autoZero"/>
        <c:crossBetween val="midCat"/>
        <c:majorUnit val="10"/>
        <c:minorUnit val="5"/>
      </c:valAx>
      <c:valAx>
        <c:axId val="20100518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Bulk Water BG spore log reduction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32000"/>
        <c:crosses val="autoZero"/>
        <c:crossBetween val="midCat"/>
      </c:valAx>
      <c:valAx>
        <c:axId val="201309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</a:t>
                </a:r>
                <a:r>
                  <a:rPr lang="en-US" baseline="0"/>
                  <a:t> dioxide conc.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19664"/>
        <c:crosses val="max"/>
        <c:crossBetween val="midCat"/>
      </c:valAx>
      <c:valAx>
        <c:axId val="20141966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1309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Bulk water BG and bulk water chlorine dioxide</a:t>
            </a:r>
          </a:p>
        </c:rich>
      </c:tx>
      <c:layout>
        <c:manualLayout>
          <c:xMode val="edge"/>
          <c:yMode val="edge"/>
          <c:x val="0.2140950594457309"/>
          <c:y val="1.3536371804696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37542643220422"/>
          <c:y val="8.8663235320764033E-2"/>
          <c:w val="0.7532856066917637"/>
          <c:h val="0.75709744659972378"/>
        </c:manualLayout>
      </c:layout>
      <c:scatterChart>
        <c:scatterStyle val="lineMarker"/>
        <c:varyColors val="0"/>
        <c:ser>
          <c:idx val="0"/>
          <c:order val="0"/>
          <c:tx>
            <c:v>Bulk Water BG Log Reduction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0"/>
            <c:val val="100"/>
            <c:spPr>
              <a:noFill/>
              <a:ln w="101600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xVal>
            <c:numRef>
              <c:f>(Summary!$B$20,Summary!$B$23:$B$34)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3.3333333333721384</c:v>
                </c:pt>
                <c:pt idx="2">
                  <c:v>4.3333333333139308</c:v>
                </c:pt>
                <c:pt idx="3">
                  <c:v>5.3333333334303461</c:v>
                </c:pt>
                <c:pt idx="4">
                  <c:v>6.4166666668024845</c:v>
                </c:pt>
                <c:pt idx="5">
                  <c:v>7.3333333333139308</c:v>
                </c:pt>
                <c:pt idx="6">
                  <c:v>25.333333333313931</c:v>
                </c:pt>
                <c:pt idx="7">
                  <c:v>29.000000000058208</c:v>
                </c:pt>
                <c:pt idx="8">
                  <c:v>49.833333333372138</c:v>
                </c:pt>
                <c:pt idx="9" formatCode="General">
                  <c:v>74.000000000058208</c:v>
                </c:pt>
                <c:pt idx="10" formatCode="General">
                  <c:v>98.000000000058208</c:v>
                </c:pt>
                <c:pt idx="11" formatCode="General">
                  <c:v>218.00000000005821</c:v>
                </c:pt>
                <c:pt idx="12" formatCode="General">
                  <c:v>396</c:v>
                </c:pt>
              </c:numCache>
            </c:numRef>
          </c:xVal>
          <c:yVal>
            <c:numRef>
              <c:f>(Summary!$E$20,Summary!$E$23:$E$34)</c:f>
              <c:numCache>
                <c:formatCode>0.0</c:formatCode>
                <c:ptCount val="13"/>
                <c:pt idx="1">
                  <c:v>4.6989700043360187</c:v>
                </c:pt>
                <c:pt idx="2">
                  <c:v>6.4822608943720734</c:v>
                </c:pt>
                <c:pt idx="3">
                  <c:v>6</c:v>
                </c:pt>
                <c:pt idx="4">
                  <c:v>7.8450980400142569</c:v>
                </c:pt>
                <c:pt idx="5">
                  <c:v>7.7781512503836439</c:v>
                </c:pt>
                <c:pt idx="6">
                  <c:v>7.3010299956639813</c:v>
                </c:pt>
                <c:pt idx="7">
                  <c:v>7.3010299956639813</c:v>
                </c:pt>
                <c:pt idx="8">
                  <c:v>7.3010299956639813</c:v>
                </c:pt>
                <c:pt idx="9">
                  <c:v>7.6796648491406323</c:v>
                </c:pt>
                <c:pt idx="10">
                  <c:v>8.1035405919070698</c:v>
                </c:pt>
                <c:pt idx="11">
                  <c:v>8.4973246408079497</c:v>
                </c:pt>
                <c:pt idx="12">
                  <c:v>7.7626390842053965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28-4B5F-B226-1BB02EC01547}"/>
            </c:ext>
          </c:extLst>
        </c:ser>
        <c:ser>
          <c:idx val="2"/>
          <c:order val="2"/>
          <c:tx>
            <c:v>BG contamination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Summary!$O$20:$O$21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Summary!$P$20:$P$21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28-4B5F-B226-1BB02EC01547}"/>
            </c:ext>
          </c:extLst>
        </c:ser>
        <c:ser>
          <c:idx val="3"/>
          <c:order val="3"/>
          <c:tx>
            <c:v>BG Decontamination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Summary!$O$23:$O$24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Summary!$P$23:$P$24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28-4B5F-B226-1BB02EC01547}"/>
            </c:ext>
          </c:extLst>
        </c:ser>
        <c:ser>
          <c:idx val="4"/>
          <c:order val="4"/>
          <c:tx>
            <c:v>Flushing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Summary!$O$26:$O$27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Summary!$P$26:$P$27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28-4B5F-B226-1BB02EC01547}"/>
            </c:ext>
          </c:extLst>
        </c:ser>
        <c:ser>
          <c:idx val="5"/>
          <c:order val="5"/>
          <c:tx>
            <c:v>baseline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xVal>
            <c:numRef>
              <c:f>Summary!$O$44:$O$45</c:f>
              <c:numCache>
                <c:formatCode>General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xVal>
          <c:yVal>
            <c:numRef>
              <c:f>Summary!$P$44:$P$45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28-4B5F-B226-1BB02EC01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39568"/>
        <c:axId val="138439960"/>
      </c:scatterChart>
      <c:scatterChart>
        <c:scatterStyle val="lineMarker"/>
        <c:varyColors val="0"/>
        <c:ser>
          <c:idx val="1"/>
          <c:order val="1"/>
          <c:tx>
            <c:v>Chlorine Dioxide Concentration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28-4B5F-B226-1BB02EC01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40744"/>
        <c:axId val="138440352"/>
      </c:scatterChart>
      <c:valAx>
        <c:axId val="138439568"/>
        <c:scaling>
          <c:orientation val="minMax"/>
          <c:max val="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39960"/>
        <c:crosses val="autoZero"/>
        <c:crossBetween val="midCat"/>
        <c:majorUnit val="50"/>
        <c:minorUnit val="1"/>
      </c:valAx>
      <c:valAx>
        <c:axId val="13843996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Bulk Water BG spore log reduction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39568"/>
        <c:crosses val="autoZero"/>
        <c:crossBetween val="midCat"/>
      </c:valAx>
      <c:valAx>
        <c:axId val="138440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</a:t>
                </a:r>
                <a:r>
                  <a:rPr lang="en-US" baseline="0"/>
                  <a:t> dioxide conc.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40744"/>
        <c:crosses val="max"/>
        <c:crossBetween val="midCat"/>
      </c:valAx>
      <c:valAx>
        <c:axId val="1384407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844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Bulk</a:t>
            </a:r>
            <a:r>
              <a:rPr lang="en-US" sz="1200" baseline="0"/>
              <a:t> water</a:t>
            </a:r>
            <a:r>
              <a:rPr lang="en-US" sz="1200"/>
              <a:t> BG and bulk water chlorine dioxide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23749851593289"/>
          <c:y val="0.11573597893015763"/>
          <c:w val="0.70642353460803509"/>
          <c:h val="0.74807319872992595"/>
        </c:manualLayout>
      </c:layout>
      <c:scatterChart>
        <c:scatterStyle val="lineMarker"/>
        <c:varyColors val="0"/>
        <c:ser>
          <c:idx val="0"/>
          <c:order val="0"/>
          <c:tx>
            <c:v>BG spores in water (cfu/ml)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Summary!$B$20:$B$34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1.1666666668024845</c:v>
                </c:pt>
                <c:pt idx="2">
                  <c:v>1.5</c:v>
                </c:pt>
                <c:pt idx="3">
                  <c:v>3.3333333333721384</c:v>
                </c:pt>
                <c:pt idx="4">
                  <c:v>4.3333333333139308</c:v>
                </c:pt>
                <c:pt idx="5">
                  <c:v>5.3333333334303461</c:v>
                </c:pt>
                <c:pt idx="6">
                  <c:v>6.4166666668024845</c:v>
                </c:pt>
                <c:pt idx="7">
                  <c:v>7.3333333333139308</c:v>
                </c:pt>
                <c:pt idx="8">
                  <c:v>25.333333333313931</c:v>
                </c:pt>
                <c:pt idx="9">
                  <c:v>29.000000000058208</c:v>
                </c:pt>
                <c:pt idx="10">
                  <c:v>49.833333333372138</c:v>
                </c:pt>
                <c:pt idx="11" formatCode="General">
                  <c:v>74.000000000058208</c:v>
                </c:pt>
                <c:pt idx="12" formatCode="General">
                  <c:v>98.000000000058208</c:v>
                </c:pt>
                <c:pt idx="13" formatCode="General">
                  <c:v>218.00000000005821</c:v>
                </c:pt>
                <c:pt idx="14" formatCode="General">
                  <c:v>396</c:v>
                </c:pt>
              </c:numCache>
            </c:numRef>
          </c:xVal>
          <c:yVal>
            <c:numRef>
              <c:f>Summary!$D$20:$D$34</c:f>
              <c:numCache>
                <c:formatCode>0.0E+00</c:formatCode>
                <c:ptCount val="15"/>
                <c:pt idx="0">
                  <c:v>2.666666666666667</c:v>
                </c:pt>
                <c:pt idx="1">
                  <c:v>70000000</c:v>
                </c:pt>
                <c:pt idx="2">
                  <c:v>100000000</c:v>
                </c:pt>
                <c:pt idx="3">
                  <c:v>2000</c:v>
                </c:pt>
                <c:pt idx="4">
                  <c:v>32.941176470588232</c:v>
                </c:pt>
                <c:pt idx="5">
                  <c:v>100</c:v>
                </c:pt>
                <c:pt idx="6">
                  <c:v>1.4285714285714286</c:v>
                </c:pt>
                <c:pt idx="7">
                  <c:v>1.6666666666666667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2.0909090909090908</c:v>
                </c:pt>
                <c:pt idx="12">
                  <c:v>0.78787878787878773</c:v>
                </c:pt>
                <c:pt idx="13">
                  <c:v>0.31818181818181812</c:v>
                </c:pt>
                <c:pt idx="14">
                  <c:v>1.7272727272727273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A-400E-9376-0B9E2A7DD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17208"/>
        <c:axId val="201617600"/>
      </c:scatterChart>
      <c:scatterChart>
        <c:scatterStyle val="lineMarker"/>
        <c:varyColors val="0"/>
        <c:ser>
          <c:idx val="1"/>
          <c:order val="1"/>
          <c:tx>
            <c:v>Chlorine Dioxide Concentration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FA-400E-9376-0B9E2A7DD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18384"/>
        <c:axId val="201617992"/>
      </c:scatterChart>
      <c:valAx>
        <c:axId val="20161720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7600"/>
        <c:crosses val="autoZero"/>
        <c:crossBetween val="midCat"/>
        <c:majorUnit val="10"/>
      </c:valAx>
      <c:valAx>
        <c:axId val="20161760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Attached BG spore density (cfu/100</a:t>
                </a:r>
                <a:r>
                  <a:rPr lang="en-US" baseline="0"/>
                  <a:t> ml</a:t>
                </a:r>
                <a:r>
                  <a:rPr lang="en-US"/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7208"/>
        <c:crosses val="autoZero"/>
        <c:crossBetween val="midCat"/>
      </c:valAx>
      <c:valAx>
        <c:axId val="201617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 dioxide conc.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8384"/>
        <c:crosses val="max"/>
        <c:crossBetween val="midCat"/>
      </c:valAx>
      <c:valAx>
        <c:axId val="2016183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161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Bulk</a:t>
            </a:r>
            <a:r>
              <a:rPr lang="en-US" sz="1200" baseline="0"/>
              <a:t> water BG</a:t>
            </a:r>
            <a:r>
              <a:rPr lang="en-US" sz="1200"/>
              <a:t> and bulk water chlorine dioxide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23749851593289"/>
          <c:y val="0.11573597893015763"/>
          <c:w val="0.70642353460803509"/>
          <c:h val="0.74807319872992595"/>
        </c:manualLayout>
      </c:layout>
      <c:scatterChart>
        <c:scatterStyle val="lineMarker"/>
        <c:varyColors val="0"/>
        <c:ser>
          <c:idx val="0"/>
          <c:order val="0"/>
          <c:tx>
            <c:v>BG spores in water (cfu/ml)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Summary!$B$20:$B$34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1.1666666668024845</c:v>
                </c:pt>
                <c:pt idx="2">
                  <c:v>1.5</c:v>
                </c:pt>
                <c:pt idx="3">
                  <c:v>3.3333333333721384</c:v>
                </c:pt>
                <c:pt idx="4">
                  <c:v>4.3333333333139308</c:v>
                </c:pt>
                <c:pt idx="5">
                  <c:v>5.3333333334303461</c:v>
                </c:pt>
                <c:pt idx="6">
                  <c:v>6.4166666668024845</c:v>
                </c:pt>
                <c:pt idx="7">
                  <c:v>7.3333333333139308</c:v>
                </c:pt>
                <c:pt idx="8">
                  <c:v>25.333333333313931</c:v>
                </c:pt>
                <c:pt idx="9">
                  <c:v>29.000000000058208</c:v>
                </c:pt>
                <c:pt idx="10">
                  <c:v>49.833333333372138</c:v>
                </c:pt>
                <c:pt idx="11" formatCode="General">
                  <c:v>74.000000000058208</c:v>
                </c:pt>
                <c:pt idx="12" formatCode="General">
                  <c:v>98.000000000058208</c:v>
                </c:pt>
                <c:pt idx="13" formatCode="General">
                  <c:v>218.00000000005821</c:v>
                </c:pt>
                <c:pt idx="14" formatCode="General">
                  <c:v>396</c:v>
                </c:pt>
              </c:numCache>
            </c:numRef>
          </c:xVal>
          <c:yVal>
            <c:numRef>
              <c:f>Summary!$D$20:$D$34</c:f>
              <c:numCache>
                <c:formatCode>0.0E+00</c:formatCode>
                <c:ptCount val="15"/>
                <c:pt idx="0">
                  <c:v>2.666666666666667</c:v>
                </c:pt>
                <c:pt idx="1">
                  <c:v>70000000</c:v>
                </c:pt>
                <c:pt idx="2">
                  <c:v>100000000</c:v>
                </c:pt>
                <c:pt idx="3">
                  <c:v>2000</c:v>
                </c:pt>
                <c:pt idx="4">
                  <c:v>32.941176470588232</c:v>
                </c:pt>
                <c:pt idx="5">
                  <c:v>100</c:v>
                </c:pt>
                <c:pt idx="6">
                  <c:v>1.4285714285714286</c:v>
                </c:pt>
                <c:pt idx="7">
                  <c:v>1.6666666666666667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2.0909090909090908</c:v>
                </c:pt>
                <c:pt idx="12">
                  <c:v>0.78787878787878773</c:v>
                </c:pt>
                <c:pt idx="13">
                  <c:v>0.31818181818181812</c:v>
                </c:pt>
                <c:pt idx="14">
                  <c:v>1.7272727272727273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AF-484C-A8C9-AFF2C1A9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21720"/>
        <c:axId val="201722112"/>
      </c:scatterChart>
      <c:scatterChart>
        <c:scatterStyle val="lineMarker"/>
        <c:varyColors val="0"/>
        <c:ser>
          <c:idx val="1"/>
          <c:order val="1"/>
          <c:tx>
            <c:v>Chlorine Dioxide Concentration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Summary!$B$39:$B$48</c:f>
              <c:numCache>
                <c:formatCode>0.0</c:formatCode>
                <c:ptCount val="10"/>
                <c:pt idx="0">
                  <c:v>2</c:v>
                </c:pt>
                <c:pt idx="1">
                  <c:v>2.7500000000582077</c:v>
                </c:pt>
                <c:pt idx="2">
                  <c:v>2.9500000000116415</c:v>
                </c:pt>
                <c:pt idx="3">
                  <c:v>4.3333333333139308</c:v>
                </c:pt>
                <c:pt idx="4">
                  <c:v>6.3333333333721384</c:v>
                </c:pt>
                <c:pt idx="5">
                  <c:v>7.2500000000582077</c:v>
                </c:pt>
                <c:pt idx="6">
                  <c:v>22.750000000116415</c:v>
                </c:pt>
                <c:pt idx="7">
                  <c:v>25.166666666802485</c:v>
                </c:pt>
                <c:pt idx="8">
                  <c:v>28.5</c:v>
                </c:pt>
                <c:pt idx="9">
                  <c:v>46.750000000116415</c:v>
                </c:pt>
              </c:numCache>
            </c:numRef>
          </c:xVal>
          <c:yVal>
            <c:numRef>
              <c:f>Summary!$C$39:$C$48</c:f>
              <c:numCache>
                <c:formatCode>General</c:formatCode>
                <c:ptCount val="10"/>
                <c:pt idx="0">
                  <c:v>0</c:v>
                </c:pt>
                <c:pt idx="1">
                  <c:v>110</c:v>
                </c:pt>
                <c:pt idx="2">
                  <c:v>105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  <c:pt idx="6">
                  <c:v>18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F-484C-A8C9-AFF2C1A9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22896"/>
        <c:axId val="201722504"/>
      </c:scatterChart>
      <c:valAx>
        <c:axId val="201721720"/>
        <c:scaling>
          <c:orientation val="minMax"/>
          <c:max val="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2112"/>
        <c:crosses val="autoZero"/>
        <c:crossBetween val="midCat"/>
        <c:majorUnit val="50"/>
        <c:minorUnit val="10"/>
      </c:valAx>
      <c:valAx>
        <c:axId val="201722112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Attached BG spore density (cfu/100</a:t>
                </a:r>
                <a:r>
                  <a:rPr lang="en-US" baseline="0"/>
                  <a:t> ml</a:t>
                </a:r>
                <a:r>
                  <a:rPr lang="en-US"/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1720"/>
        <c:crosses val="autoZero"/>
        <c:crossBetween val="midCat"/>
      </c:valAx>
      <c:valAx>
        <c:axId val="2017225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 dioxide conc.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2896"/>
        <c:crosses val="max"/>
        <c:crossBetween val="midCat"/>
      </c:valAx>
      <c:valAx>
        <c:axId val="2017228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1722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23749851593289"/>
          <c:y val="6.6102615646269375E-2"/>
          <c:w val="0.70642353460803509"/>
          <c:h val="0.79770656201381418"/>
        </c:manualLayout>
      </c:layout>
      <c:scatterChart>
        <c:scatterStyle val="lineMarker"/>
        <c:varyColors val="0"/>
        <c:ser>
          <c:idx val="0"/>
          <c:order val="0"/>
          <c:tx>
            <c:v>BG spores attached to coupons (cfu/in2)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(Summary!$AB$6,Summary!$AB$8,Summary!$AB$10:$AB$21)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20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46</c:v>
                </c:pt>
              </c:numCache>
            </c:numRef>
          </c:xVal>
          <c:yVal>
            <c:numRef>
              <c:f>(Summary!$AC$6,Summary!$AC$8,Summary!$AC$10:$AC$21)</c:f>
              <c:numCache>
                <c:formatCode>0.0E+00</c:formatCode>
                <c:ptCount val="14"/>
                <c:pt idx="0">
                  <c:v>1</c:v>
                </c:pt>
                <c:pt idx="1">
                  <c:v>51500</c:v>
                </c:pt>
                <c:pt idx="2">
                  <c:v>250.05</c:v>
                </c:pt>
                <c:pt idx="3">
                  <c:v>250.05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B-4C6D-8107-DABC8D98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23680"/>
        <c:axId val="201724072"/>
      </c:scatterChart>
      <c:scatterChart>
        <c:scatterStyle val="lineMarker"/>
        <c:varyColors val="0"/>
        <c:ser>
          <c:idx val="1"/>
          <c:order val="1"/>
          <c:tx>
            <c:v>Chlorine Dioxide Concentration (mg/L)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Summary!$AE$5:$AE$14</c:f>
              <c:numCache>
                <c:formatCode>General</c:formatCode>
                <c:ptCount val="10"/>
                <c:pt idx="0">
                  <c:v>2.25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Summary!$AF$5:$AF$14</c:f>
              <c:numCache>
                <c:formatCode>General</c:formatCode>
                <c:ptCount val="10"/>
                <c:pt idx="0">
                  <c:v>29.8</c:v>
                </c:pt>
                <c:pt idx="1">
                  <c:v>30.1</c:v>
                </c:pt>
                <c:pt idx="2">
                  <c:v>31.4</c:v>
                </c:pt>
                <c:pt idx="3">
                  <c:v>30.5</c:v>
                </c:pt>
                <c:pt idx="4">
                  <c:v>30.2</c:v>
                </c:pt>
                <c:pt idx="5">
                  <c:v>32.299999999999997</c:v>
                </c:pt>
                <c:pt idx="6">
                  <c:v>28.1</c:v>
                </c:pt>
                <c:pt idx="7">
                  <c:v>27.4</c:v>
                </c:pt>
                <c:pt idx="8">
                  <c:v>28.1</c:v>
                </c:pt>
                <c:pt idx="9">
                  <c:v>23.5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6B-4C6D-8107-DABC8D98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24856"/>
        <c:axId val="201724464"/>
      </c:scatterChart>
      <c:valAx>
        <c:axId val="20172368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after spore injection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4072"/>
        <c:crosses val="autoZero"/>
        <c:crossBetween val="midCat"/>
        <c:majorUnit val="10"/>
        <c:minorUnit val="5"/>
      </c:valAx>
      <c:valAx>
        <c:axId val="2017240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Attached BG spore density (cfu/in2)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3680"/>
        <c:crosses val="autoZero"/>
        <c:crossBetween val="midCat"/>
      </c:valAx>
      <c:valAx>
        <c:axId val="201724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chlorine dioxide conc.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4856"/>
        <c:crosses val="max"/>
        <c:crossBetween val="midCat"/>
      </c:valAx>
      <c:valAx>
        <c:axId val="201724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172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01468462625395"/>
          <c:y val="0.12583105684245832"/>
          <c:w val="0.28898534100530243"/>
          <c:h val="0.25042501009898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3</xdr:row>
      <xdr:rowOff>42861</xdr:rowOff>
    </xdr:from>
    <xdr:to>
      <xdr:col>21</xdr:col>
      <xdr:colOff>19050</xdr:colOff>
      <xdr:row>15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13</xdr:col>
      <xdr:colOff>9526</xdr:colOff>
      <xdr:row>15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3</xdr:row>
      <xdr:rowOff>247651</xdr:rowOff>
    </xdr:from>
    <xdr:to>
      <xdr:col>6</xdr:col>
      <xdr:colOff>47625</xdr:colOff>
      <xdr:row>13</xdr:row>
      <xdr:rowOff>47626</xdr:rowOff>
    </xdr:to>
    <xdr:sp macro="" textlink="">
      <xdr:nvSpPr>
        <xdr:cNvPr id="2" name="TextBox 1"/>
        <xdr:cNvSpPr txBox="1"/>
      </xdr:nvSpPr>
      <xdr:spPr>
        <a:xfrm>
          <a:off x="5191125" y="438151"/>
          <a:ext cx="57150" cy="2114550"/>
        </a:xfrm>
        <a:prstGeom prst="rect">
          <a:avLst/>
        </a:prstGeom>
        <a:solidFill>
          <a:srgbClr val="FFC000">
            <a:alpha val="25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123825</xdr:colOff>
      <xdr:row>17</xdr:row>
      <xdr:rowOff>514350</xdr:rowOff>
    </xdr:from>
    <xdr:to>
      <xdr:col>13</xdr:col>
      <xdr:colOff>123826</xdr:colOff>
      <xdr:row>32</xdr:row>
      <xdr:rowOff>61914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123825</xdr:colOff>
      <xdr:row>32</xdr:row>
      <xdr:rowOff>123825</xdr:rowOff>
    </xdr:from>
    <xdr:to>
      <xdr:col>13</xdr:col>
      <xdr:colOff>123826</xdr:colOff>
      <xdr:row>45</xdr:row>
      <xdr:rowOff>42864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123825</xdr:colOff>
      <xdr:row>17</xdr:row>
      <xdr:rowOff>514350</xdr:rowOff>
    </xdr:from>
    <xdr:to>
      <xdr:col>21</xdr:col>
      <xdr:colOff>123826</xdr:colOff>
      <xdr:row>32</xdr:row>
      <xdr:rowOff>61914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142875</xdr:colOff>
      <xdr:row>32</xdr:row>
      <xdr:rowOff>133350</xdr:rowOff>
    </xdr:from>
    <xdr:to>
      <xdr:col>21</xdr:col>
      <xdr:colOff>142876</xdr:colOff>
      <xdr:row>45</xdr:row>
      <xdr:rowOff>52389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504825</xdr:colOff>
      <xdr:row>16</xdr:row>
      <xdr:rowOff>0</xdr:rowOff>
    </xdr:from>
    <xdr:to>
      <xdr:col>36</xdr:col>
      <xdr:colOff>504826</xdr:colOff>
      <xdr:row>28</xdr:row>
      <xdr:rowOff>147639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0.16667</cdr:x>
      <cdr:y>0.05584</cdr:y>
    </cdr:from>
    <cdr:to>
      <cdr:x>0.18555</cdr:x>
      <cdr:y>0.86746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2816" y="157164"/>
          <a:ext cx="92060" cy="2284423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0.18034</cdr:x>
      <cdr:y>0.05584</cdr:y>
    </cdr:from>
    <cdr:to>
      <cdr:x>0.35352</cdr:x>
      <cdr:y>0.86407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79482" y="157164"/>
          <a:ext cx="844544" cy="2274881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0.35221</cdr:x>
      <cdr:y>0.05584</cdr:y>
    </cdr:from>
    <cdr:to>
      <cdr:x>0.53516</cdr:x>
      <cdr:y>0.86464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17657" y="157164"/>
          <a:ext cx="892193" cy="22764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0.53711</cdr:x>
      <cdr:y>0.05584</cdr:y>
    </cdr:from>
    <cdr:to>
      <cdr:x>0.875</cdr:x>
      <cdr:y>0.85787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619376" y="157165"/>
          <a:ext cx="1647826" cy="22574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0.13737</cdr:x>
      <cdr:y>0.08911</cdr:y>
    </cdr:from>
    <cdr:to>
      <cdr:x>0.31641</cdr:x>
      <cdr:y>0.84038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9924" y="250825"/>
          <a:ext cx="873126" cy="211455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0.3151</cdr:x>
      <cdr:y>0.08911</cdr:y>
    </cdr:from>
    <cdr:to>
      <cdr:x>0.49609</cdr:x>
      <cdr:y>0.84038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6700" y="250825"/>
          <a:ext cx="882650" cy="2114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0.49674</cdr:x>
      <cdr:y>0.0925</cdr:y>
    </cdr:from>
    <cdr:to>
      <cdr:x>0.87109</cdr:x>
      <cdr:y>0.84377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22524" y="260350"/>
          <a:ext cx="1825625" cy="2114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0.13737</cdr:x>
      <cdr:y>0.08911</cdr:y>
    </cdr:from>
    <cdr:to>
      <cdr:x>0.31641</cdr:x>
      <cdr:y>0.84038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9924" y="250825"/>
          <a:ext cx="873126" cy="211455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0.3151</cdr:x>
      <cdr:y>0.08911</cdr:y>
    </cdr:from>
    <cdr:to>
      <cdr:x>0.49609</cdr:x>
      <cdr:y>0.84038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6700" y="250825"/>
          <a:ext cx="882650" cy="2114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0.49869</cdr:x>
      <cdr:y>0.08799</cdr:y>
    </cdr:from>
    <cdr:to>
      <cdr:x>0.87304</cdr:x>
      <cdr:y>0.83926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32027" y="247650"/>
          <a:ext cx="1825631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0.12174</cdr:x>
      <cdr:y>0.08911</cdr:y>
    </cdr:from>
    <cdr:to>
      <cdr:x>0.13672</cdr:x>
      <cdr:y>0.84038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3724" y="250825"/>
          <a:ext cx="73025" cy="211455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0.13086</cdr:x>
      <cdr:y>0.08911</cdr:y>
    </cdr:from>
    <cdr:to>
      <cdr:x>0.16211</cdr:x>
      <cdr:y>0.84038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8176" y="250812"/>
          <a:ext cx="152400" cy="211455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0.16276</cdr:x>
      <cdr:y>0.08911</cdr:y>
    </cdr:from>
    <cdr:to>
      <cdr:x>0.2168</cdr:x>
      <cdr:y>0.84038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3730" y="250812"/>
          <a:ext cx="263545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0.21744</cdr:x>
      <cdr:y>0.08968</cdr:y>
    </cdr:from>
    <cdr:to>
      <cdr:x>0.87109</cdr:x>
      <cdr:y>0.84095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60427" y="252410"/>
          <a:ext cx="3187723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0.12174</cdr:x>
      <cdr:y>0.08911</cdr:y>
    </cdr:from>
    <cdr:to>
      <cdr:x>0.13112</cdr:x>
      <cdr:y>0.84038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3725" y="250825"/>
          <a:ext cx="45719" cy="211455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0.16667</cdr:x>
      <cdr:y>0.11619</cdr:y>
    </cdr:from>
    <cdr:to>
      <cdr:x>0.17839</cdr:x>
      <cdr:y>0.86746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2800" y="327025"/>
          <a:ext cx="57150" cy="211455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0.18034</cdr:x>
      <cdr:y>0.1128</cdr:y>
    </cdr:from>
    <cdr:to>
      <cdr:x>0.34961</cdr:x>
      <cdr:y>0.86407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79475" y="317500"/>
          <a:ext cx="825501" cy="211455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0.35221</cdr:x>
      <cdr:y>0.1128</cdr:y>
    </cdr:from>
    <cdr:to>
      <cdr:x>0.52148</cdr:x>
      <cdr:y>0.86407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17675" y="317500"/>
          <a:ext cx="825501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0.52344</cdr:x>
      <cdr:y>0.12183</cdr:y>
    </cdr:from>
    <cdr:to>
      <cdr:x>0.87696</cdr:x>
      <cdr:y>0.86012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552700" y="342900"/>
          <a:ext cx="1724047" cy="20780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0.25391</cdr:x>
      <cdr:y>0.11619</cdr:y>
    </cdr:from>
    <cdr:to>
      <cdr:x>0.87305</cdr:x>
      <cdr:y>0.86746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38250" y="327025"/>
          <a:ext cx="3019446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0.20703</cdr:x>
      <cdr:y>0.11619</cdr:y>
    </cdr:from>
    <cdr:to>
      <cdr:x>0.25196</cdr:x>
      <cdr:y>0.86746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009650" y="327025"/>
          <a:ext cx="219092" cy="21145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0.18164</cdr:x>
      <cdr:y>0.11957</cdr:y>
    </cdr:from>
    <cdr:to>
      <cdr:x>0.20573</cdr:x>
      <cdr:y>0.87084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885824" y="336550"/>
          <a:ext cx="117475" cy="211455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0.17057</cdr:x>
      <cdr:y>0.11957</cdr:y>
    </cdr:from>
    <cdr:to>
      <cdr:x>0.17995</cdr:x>
      <cdr:y>0.87084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31850" y="336550"/>
          <a:ext cx="45744" cy="2114554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0.16406</cdr:x>
      <cdr:y>0.0643</cdr:y>
    </cdr:from>
    <cdr:to>
      <cdr:x>0.19336</cdr:x>
      <cdr:y>0.86746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0087" y="180976"/>
          <a:ext cx="142887" cy="226061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0.19206</cdr:x>
      <cdr:y>0.06768</cdr:y>
    </cdr:from>
    <cdr:to>
      <cdr:x>0.50391</cdr:x>
      <cdr:y>0.86745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36639" y="190500"/>
          <a:ext cx="1520812" cy="2251059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25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0.50651</cdr:x>
      <cdr:y>0.06768</cdr:y>
    </cdr:from>
    <cdr:to>
      <cdr:x>0.87305</cdr:x>
      <cdr:y>0.86125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70133" y="190500"/>
          <a:ext cx="1787542" cy="2233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zabo/Desktop/Disinfection%20Loop%20Data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8-ClO2 5"/>
      <sheetName val="Test 9-ClO2 5"/>
      <sheetName val="Test 10-ClO 25"/>
      <sheetName val="Test 11-ClO 25"/>
      <sheetName val="Test 12-ozone 3"/>
      <sheetName val="Test 13-ozone 3"/>
      <sheetName val="Test 14-ozone 3"/>
      <sheetName val="Test 15-ClO 25"/>
      <sheetName val="Summary-ClO2 5"/>
      <sheetName val="Summary-ClO2 25"/>
      <sheetName val="Ozone Summary"/>
      <sheetName val="Summary 0.1 M NO3 pH 2"/>
      <sheetName val="Summary 0.1 M NO3 pH 3"/>
      <sheetName val="Summary Cl2 25 ppm pH 7"/>
      <sheetName val="Summary CLNH4 25 ppm pH 7"/>
      <sheetName val="Summary PAA 25 ppm"/>
      <sheetName val="Summary (1.7 fps) Flushing"/>
      <sheetName val="Disinfecton Summary"/>
    </sheetNames>
    <sheetDataSet>
      <sheetData sheetId="0">
        <row r="4">
          <cell r="A4" t="str">
            <v>Pre-Injection</v>
          </cell>
        </row>
      </sheetData>
      <sheetData sheetId="1">
        <row r="60">
          <cell r="D60">
            <v>120</v>
          </cell>
          <cell r="E60">
            <v>0.1</v>
          </cell>
        </row>
        <row r="61">
          <cell r="D61">
            <v>120</v>
          </cell>
          <cell r="E61">
            <v>1000000</v>
          </cell>
        </row>
        <row r="63">
          <cell r="D63">
            <v>1440</v>
          </cell>
          <cell r="E63">
            <v>0.1</v>
          </cell>
        </row>
        <row r="64">
          <cell r="D64">
            <v>1440</v>
          </cell>
          <cell r="E64">
            <v>1000000</v>
          </cell>
        </row>
        <row r="66">
          <cell r="D66">
            <v>2760</v>
          </cell>
          <cell r="E66">
            <v>0.1</v>
          </cell>
        </row>
        <row r="67">
          <cell r="D67">
            <v>2760</v>
          </cell>
          <cell r="E67">
            <v>1000000</v>
          </cell>
        </row>
      </sheetData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 refreshError="1"/>
      <sheetData sheetId="5" refreshError="1"/>
      <sheetData sheetId="6" refreshError="1"/>
      <sheetData sheetId="7">
        <row r="4">
          <cell r="J4">
            <v>0</v>
          </cell>
        </row>
      </sheetData>
      <sheetData sheetId="8" refreshError="1"/>
      <sheetData sheetId="9">
        <row r="4">
          <cell r="P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E31" sqref="E31"/>
    </sheetView>
  </sheetViews>
  <sheetFormatPr defaultRowHeight="15" x14ac:dyDescent="0.25"/>
  <sheetData>
    <row r="1" spans="1:12" x14ac:dyDescent="0.25">
      <c r="A1" s="97" t="s">
        <v>157</v>
      </c>
    </row>
    <row r="2" spans="1:12" ht="18" x14ac:dyDescent="0.25">
      <c r="A2" s="141" t="s">
        <v>158</v>
      </c>
    </row>
    <row r="3" spans="1:12" x14ac:dyDescent="0.25">
      <c r="A3" s="141" t="s">
        <v>159</v>
      </c>
    </row>
    <row r="4" spans="1:12" x14ac:dyDescent="0.25">
      <c r="A4" s="141" t="s">
        <v>160</v>
      </c>
    </row>
    <row r="5" spans="1:12" x14ac:dyDescent="0.25">
      <c r="A5" s="141" t="s">
        <v>161</v>
      </c>
    </row>
    <row r="8" spans="1:12" ht="45" x14ac:dyDescent="0.25">
      <c r="A8" s="3" t="s">
        <v>0</v>
      </c>
      <c r="B8" s="2" t="s">
        <v>51</v>
      </c>
      <c r="C8" s="2" t="s">
        <v>52</v>
      </c>
      <c r="D8" s="2" t="s">
        <v>53</v>
      </c>
      <c r="E8" s="2" t="s">
        <v>34</v>
      </c>
      <c r="G8" s="1" t="s">
        <v>0</v>
      </c>
      <c r="H8" s="2" t="s">
        <v>51</v>
      </c>
      <c r="I8" s="2" t="s">
        <v>52</v>
      </c>
      <c r="J8" s="2" t="s">
        <v>53</v>
      </c>
      <c r="K8" s="2" t="s">
        <v>34</v>
      </c>
    </row>
    <row r="9" spans="1:12" x14ac:dyDescent="0.25">
      <c r="A9" s="4" t="s">
        <v>1</v>
      </c>
      <c r="B9" s="5">
        <v>2</v>
      </c>
      <c r="C9" s="5">
        <v>2</v>
      </c>
      <c r="D9" s="5">
        <v>2</v>
      </c>
      <c r="E9" s="5" t="s">
        <v>38</v>
      </c>
      <c r="G9" s="21" t="s">
        <v>14</v>
      </c>
      <c r="H9" s="5">
        <v>2</v>
      </c>
      <c r="I9" s="5">
        <v>2</v>
      </c>
      <c r="J9" s="5">
        <v>2</v>
      </c>
      <c r="K9" s="5" t="s">
        <v>36</v>
      </c>
      <c r="L9" t="s">
        <v>61</v>
      </c>
    </row>
    <row r="10" spans="1:12" x14ac:dyDescent="0.25">
      <c r="A10" s="4" t="s">
        <v>2</v>
      </c>
      <c r="B10" s="14">
        <v>700000</v>
      </c>
      <c r="C10" s="15"/>
      <c r="D10" s="15"/>
      <c r="E10" s="5" t="s">
        <v>35</v>
      </c>
      <c r="G10" s="21" t="s">
        <v>15</v>
      </c>
      <c r="H10" s="5">
        <v>0</v>
      </c>
      <c r="I10" s="5">
        <v>0</v>
      </c>
      <c r="J10" s="5">
        <v>0</v>
      </c>
      <c r="K10" s="5" t="s">
        <v>37</v>
      </c>
    </row>
    <row r="11" spans="1:12" x14ac:dyDescent="0.25">
      <c r="A11" s="4" t="s">
        <v>3</v>
      </c>
      <c r="B11" s="14">
        <v>1000000</v>
      </c>
      <c r="C11" s="15"/>
      <c r="D11" s="15"/>
      <c r="E11" s="5" t="s">
        <v>35</v>
      </c>
      <c r="G11" s="21" t="s">
        <v>16</v>
      </c>
      <c r="H11" s="5">
        <f>AVERAGE(169,155)</f>
        <v>162</v>
      </c>
      <c r="I11" s="5">
        <f>AVERAGE(163,159)</f>
        <v>161</v>
      </c>
      <c r="J11" s="5">
        <f>AVERAGE(150,172)</f>
        <v>161</v>
      </c>
      <c r="K11" s="5" t="s">
        <v>48</v>
      </c>
    </row>
    <row r="12" spans="1:12" x14ac:dyDescent="0.25">
      <c r="A12" s="4" t="s">
        <v>4</v>
      </c>
      <c r="B12" s="5">
        <v>20</v>
      </c>
      <c r="C12" s="16"/>
      <c r="D12" s="16"/>
      <c r="E12" s="5" t="s">
        <v>35</v>
      </c>
      <c r="G12" s="21" t="s">
        <v>16</v>
      </c>
      <c r="H12" s="5" t="s">
        <v>49</v>
      </c>
      <c r="I12" s="16"/>
      <c r="J12" s="16"/>
      <c r="K12" s="5" t="s">
        <v>50</v>
      </c>
    </row>
    <row r="13" spans="1:12" x14ac:dyDescent="0.25">
      <c r="A13" s="4" t="s">
        <v>5</v>
      </c>
      <c r="B13" s="5">
        <v>28</v>
      </c>
      <c r="C13" s="5">
        <v>26</v>
      </c>
      <c r="D13" s="5">
        <v>27</v>
      </c>
      <c r="E13" s="5" t="s">
        <v>54</v>
      </c>
      <c r="G13" s="21" t="s">
        <v>33</v>
      </c>
      <c r="H13" s="5">
        <f>AVERAGE(150,100)</f>
        <v>125</v>
      </c>
      <c r="I13" s="16"/>
      <c r="J13" s="16"/>
      <c r="K13" s="5" t="s">
        <v>35</v>
      </c>
    </row>
    <row r="14" spans="1:12" x14ac:dyDescent="0.25">
      <c r="A14" s="4" t="s">
        <v>6</v>
      </c>
      <c r="B14" s="5">
        <v>0</v>
      </c>
      <c r="C14" s="5">
        <v>0</v>
      </c>
      <c r="D14" s="5">
        <v>0</v>
      </c>
      <c r="E14" s="5" t="s">
        <v>39</v>
      </c>
      <c r="G14" s="21" t="s">
        <v>17</v>
      </c>
      <c r="H14" s="5">
        <f>AVERAGE(1000,5000)</f>
        <v>3000</v>
      </c>
      <c r="I14" s="16"/>
      <c r="J14" s="16"/>
      <c r="K14" s="5" t="s">
        <v>35</v>
      </c>
    </row>
    <row r="15" spans="1:12" x14ac:dyDescent="0.25">
      <c r="A15" s="4" t="s">
        <v>13</v>
      </c>
      <c r="B15" s="5">
        <v>1</v>
      </c>
      <c r="C15" s="5">
        <v>1</v>
      </c>
      <c r="D15" s="5">
        <v>1</v>
      </c>
      <c r="E15" s="5" t="s">
        <v>40</v>
      </c>
      <c r="G15" s="21" t="s">
        <v>18</v>
      </c>
      <c r="H15" s="12">
        <f>AVERAGE(1500,30000)</f>
        <v>15750</v>
      </c>
      <c r="I15" s="19"/>
      <c r="J15" s="19"/>
      <c r="K15" s="5" t="s">
        <v>35</v>
      </c>
    </row>
    <row r="16" spans="1:12" x14ac:dyDescent="0.25">
      <c r="A16" s="4" t="s">
        <v>7</v>
      </c>
      <c r="B16" s="5">
        <v>1</v>
      </c>
      <c r="C16" s="5">
        <v>2</v>
      </c>
      <c r="D16" s="5">
        <v>2</v>
      </c>
      <c r="E16" s="5" t="s">
        <v>41</v>
      </c>
      <c r="G16" s="21" t="s">
        <v>19</v>
      </c>
      <c r="H16" s="5">
        <f>AVERAGE(110,100)</f>
        <v>105</v>
      </c>
      <c r="I16" s="16"/>
      <c r="J16" s="16"/>
      <c r="K16" s="5" t="s">
        <v>35</v>
      </c>
    </row>
    <row r="17" spans="1:12" x14ac:dyDescent="0.25">
      <c r="A17" s="4" t="s">
        <v>8</v>
      </c>
      <c r="B17" s="5">
        <v>1</v>
      </c>
      <c r="C17" s="5">
        <v>1</v>
      </c>
      <c r="D17" s="5">
        <v>1</v>
      </c>
      <c r="E17" s="5" t="s">
        <v>36</v>
      </c>
      <c r="G17" s="21" t="s">
        <v>20</v>
      </c>
      <c r="H17" s="5">
        <f>AVERAGE(70,100)</f>
        <v>85</v>
      </c>
      <c r="I17" s="16"/>
      <c r="J17" s="16"/>
      <c r="K17" s="5" t="s">
        <v>35</v>
      </c>
    </row>
    <row r="18" spans="1:12" x14ac:dyDescent="0.25">
      <c r="A18" s="4" t="s">
        <v>9</v>
      </c>
      <c r="B18" s="5">
        <v>1</v>
      </c>
      <c r="C18" s="5">
        <v>1</v>
      </c>
      <c r="D18" s="5">
        <v>1</v>
      </c>
      <c r="E18" s="5" t="s">
        <v>36</v>
      </c>
      <c r="G18" s="4" t="s">
        <v>21</v>
      </c>
      <c r="H18" s="5">
        <v>40</v>
      </c>
      <c r="I18" s="16"/>
      <c r="J18" s="16"/>
      <c r="K18" s="5" t="s">
        <v>35</v>
      </c>
    </row>
    <row r="19" spans="1:12" x14ac:dyDescent="0.25">
      <c r="A19" s="4" t="s">
        <v>10</v>
      </c>
      <c r="B19" s="5">
        <v>1</v>
      </c>
      <c r="C19" s="5">
        <v>1</v>
      </c>
      <c r="D19" s="5">
        <v>1</v>
      </c>
      <c r="E19" s="5" t="s">
        <v>36</v>
      </c>
      <c r="G19" s="4" t="s">
        <v>22</v>
      </c>
      <c r="H19" s="5">
        <f>AVERAGE(90,100)</f>
        <v>95</v>
      </c>
      <c r="I19" s="16"/>
      <c r="J19" s="16"/>
      <c r="K19" s="5" t="s">
        <v>35</v>
      </c>
    </row>
    <row r="20" spans="1:12" x14ac:dyDescent="0.25">
      <c r="A20" s="4" t="s">
        <v>11</v>
      </c>
      <c r="B20" s="5">
        <v>0</v>
      </c>
      <c r="C20" s="5">
        <v>0</v>
      </c>
      <c r="D20" s="5">
        <v>0</v>
      </c>
      <c r="E20" s="5" t="s">
        <v>39</v>
      </c>
      <c r="G20" s="4" t="s">
        <v>23</v>
      </c>
      <c r="H20" s="5">
        <f>AVERAGE(140,50)</f>
        <v>95</v>
      </c>
      <c r="I20" s="16"/>
      <c r="J20" s="16"/>
      <c r="K20" s="5" t="s">
        <v>35</v>
      </c>
    </row>
    <row r="21" spans="1:12" ht="15.75" thickBot="1" x14ac:dyDescent="0.3">
      <c r="A21" s="10" t="s">
        <v>12</v>
      </c>
      <c r="B21" s="11">
        <v>5</v>
      </c>
      <c r="C21" s="17"/>
      <c r="D21" s="17"/>
      <c r="E21" s="11" t="s">
        <v>35</v>
      </c>
      <c r="G21" s="4" t="s">
        <v>24</v>
      </c>
      <c r="H21" s="5">
        <f>AVERAGE(110,200)</f>
        <v>155</v>
      </c>
      <c r="I21" s="16"/>
      <c r="J21" s="16"/>
      <c r="K21" s="5" t="s">
        <v>35</v>
      </c>
    </row>
    <row r="22" spans="1:12" ht="15.75" thickTop="1" x14ac:dyDescent="0.25">
      <c r="A22" s="8" t="s">
        <v>42</v>
      </c>
      <c r="B22" s="9">
        <v>0</v>
      </c>
      <c r="C22" s="18"/>
      <c r="D22" s="18"/>
      <c r="E22" s="9" t="s">
        <v>35</v>
      </c>
      <c r="G22" s="4" t="s">
        <v>25</v>
      </c>
      <c r="H22" s="5">
        <v>15</v>
      </c>
      <c r="I22" s="16"/>
      <c r="J22" s="16"/>
      <c r="K22" s="5" t="s">
        <v>35</v>
      </c>
    </row>
    <row r="23" spans="1:12" x14ac:dyDescent="0.25">
      <c r="A23" s="6" t="s">
        <v>44</v>
      </c>
      <c r="B23" s="7">
        <v>0</v>
      </c>
      <c r="C23" s="16"/>
      <c r="D23" s="16"/>
      <c r="E23" s="7" t="s">
        <v>35</v>
      </c>
      <c r="G23" s="4" t="s">
        <v>26</v>
      </c>
      <c r="H23" s="5">
        <v>55</v>
      </c>
      <c r="I23" s="16"/>
      <c r="J23" s="16"/>
      <c r="K23" s="5" t="s">
        <v>35</v>
      </c>
    </row>
    <row r="24" spans="1:12" x14ac:dyDescent="0.25">
      <c r="A24" s="6" t="s">
        <v>43</v>
      </c>
      <c r="B24" s="7">
        <v>0</v>
      </c>
      <c r="C24" s="16"/>
      <c r="D24" s="16"/>
      <c r="E24" s="7" t="s">
        <v>35</v>
      </c>
      <c r="G24" s="4" t="s">
        <v>27</v>
      </c>
      <c r="H24" s="5">
        <v>121</v>
      </c>
      <c r="I24" s="5">
        <v>115</v>
      </c>
      <c r="J24" s="5">
        <v>121</v>
      </c>
      <c r="K24" s="5" t="s">
        <v>36</v>
      </c>
    </row>
    <row r="25" spans="1:12" x14ac:dyDescent="0.25">
      <c r="A25" s="6" t="s">
        <v>45</v>
      </c>
      <c r="B25" s="7">
        <v>0</v>
      </c>
      <c r="C25" s="16"/>
      <c r="D25" s="16"/>
      <c r="E25" s="7" t="s">
        <v>35</v>
      </c>
      <c r="G25" s="4" t="s">
        <v>28</v>
      </c>
      <c r="H25" s="5">
        <f>AVERAGE(70,150)</f>
        <v>110</v>
      </c>
      <c r="I25" s="16"/>
      <c r="J25" s="16"/>
      <c r="K25" s="5" t="s">
        <v>35</v>
      </c>
    </row>
    <row r="26" spans="1:12" x14ac:dyDescent="0.25">
      <c r="A26" s="6" t="s">
        <v>46</v>
      </c>
      <c r="B26" s="7">
        <v>0</v>
      </c>
      <c r="C26" s="16"/>
      <c r="D26" s="16"/>
      <c r="E26" s="7" t="s">
        <v>35</v>
      </c>
      <c r="G26" s="4" t="s">
        <v>29</v>
      </c>
      <c r="H26" s="13">
        <f>AVERAGE(45,50)</f>
        <v>47.5</v>
      </c>
      <c r="I26" s="20"/>
      <c r="J26" s="20"/>
      <c r="K26" s="5" t="s">
        <v>35</v>
      </c>
    </row>
    <row r="27" spans="1:12" x14ac:dyDescent="0.25">
      <c r="A27" s="6" t="s">
        <v>47</v>
      </c>
      <c r="B27" s="7">
        <v>0</v>
      </c>
      <c r="C27" s="16"/>
      <c r="D27" s="16"/>
      <c r="E27" s="7" t="s">
        <v>35</v>
      </c>
      <c r="G27" s="4" t="s">
        <v>30</v>
      </c>
      <c r="H27" s="5">
        <v>10</v>
      </c>
      <c r="I27" s="16"/>
      <c r="J27" s="16"/>
      <c r="K27" s="5" t="s">
        <v>35</v>
      </c>
    </row>
    <row r="28" spans="1:12" x14ac:dyDescent="0.25">
      <c r="G28" s="4" t="s">
        <v>31</v>
      </c>
      <c r="H28" s="5">
        <v>15</v>
      </c>
      <c r="I28" s="16"/>
      <c r="J28" s="16"/>
      <c r="K28" s="5" t="s">
        <v>35</v>
      </c>
    </row>
    <row r="29" spans="1:12" x14ac:dyDescent="0.25">
      <c r="G29" s="4" t="s">
        <v>32</v>
      </c>
      <c r="H29" s="5">
        <v>82</v>
      </c>
      <c r="I29" s="5">
        <v>89</v>
      </c>
      <c r="J29" s="5">
        <v>80</v>
      </c>
      <c r="K29" s="5" t="s">
        <v>36</v>
      </c>
    </row>
    <row r="30" spans="1:12" x14ac:dyDescent="0.25">
      <c r="G30" s="23" t="s">
        <v>55</v>
      </c>
      <c r="H30" s="22"/>
      <c r="I30" s="22"/>
      <c r="J30" s="22"/>
      <c r="K30" s="22"/>
      <c r="L30" s="22"/>
    </row>
    <row r="31" spans="1:12" x14ac:dyDescent="0.25">
      <c r="G31" s="23" t="s">
        <v>56</v>
      </c>
      <c r="H31" s="22"/>
      <c r="I31" s="22"/>
      <c r="J31" s="22"/>
      <c r="K31" s="22"/>
      <c r="L31" s="22"/>
    </row>
    <row r="32" spans="1:12" x14ac:dyDescent="0.25">
      <c r="A32" s="54"/>
      <c r="B32" s="54"/>
      <c r="C32" s="54"/>
      <c r="D32" s="54"/>
      <c r="E32" s="54"/>
      <c r="F32" s="54"/>
      <c r="G32" s="54"/>
      <c r="H32" s="54"/>
      <c r="I32" s="54"/>
    </row>
    <row r="33" spans="1:9" x14ac:dyDescent="0.25">
      <c r="A33" s="142"/>
      <c r="B33" s="111"/>
      <c r="C33" s="111"/>
      <c r="D33" s="54"/>
      <c r="E33" s="54"/>
      <c r="F33" s="54"/>
      <c r="G33" s="54"/>
      <c r="H33" s="54"/>
      <c r="I33" s="54"/>
    </row>
    <row r="34" spans="1:9" x14ac:dyDescent="0.25">
      <c r="A34" s="54"/>
      <c r="B34" s="55"/>
      <c r="C34" s="55"/>
      <c r="D34" s="54"/>
      <c r="E34" s="54"/>
      <c r="F34" s="54"/>
      <c r="G34" s="54"/>
      <c r="H34" s="54"/>
      <c r="I34" s="54"/>
    </row>
    <row r="35" spans="1:9" x14ac:dyDescent="0.25">
      <c r="A35" s="54"/>
      <c r="B35" s="143"/>
      <c r="C35" s="55"/>
      <c r="D35" s="54"/>
      <c r="E35" s="54"/>
      <c r="F35" s="54"/>
      <c r="G35" s="54"/>
      <c r="H35" s="54"/>
      <c r="I35" s="54"/>
    </row>
    <row r="36" spans="1:9" x14ac:dyDescent="0.25">
      <c r="A36" s="54"/>
      <c r="B36" s="143"/>
      <c r="C36" s="55"/>
      <c r="D36" s="54"/>
      <c r="E36" s="54"/>
      <c r="F36" s="54"/>
      <c r="G36" s="54"/>
      <c r="H36" s="54"/>
      <c r="I36" s="54"/>
    </row>
    <row r="37" spans="1:9" x14ac:dyDescent="0.25">
      <c r="A37" s="54"/>
      <c r="B37" s="55"/>
      <c r="C37" s="55"/>
      <c r="D37" s="54"/>
      <c r="E37" s="54"/>
      <c r="F37" s="54"/>
      <c r="G37" s="54"/>
      <c r="H37" s="54"/>
      <c r="I37" s="54"/>
    </row>
    <row r="38" spans="1:9" x14ac:dyDescent="0.25">
      <c r="A38" s="54"/>
      <c r="B38" s="54"/>
      <c r="C38" s="54"/>
      <c r="D38" s="54"/>
      <c r="E38" s="54"/>
      <c r="F38" s="54"/>
      <c r="G38" s="54"/>
      <c r="H38" s="54"/>
      <c r="I38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E7" workbookViewId="0">
      <selection activeCell="R27" sqref="R27"/>
    </sheetView>
  </sheetViews>
  <sheetFormatPr defaultRowHeight="15" x14ac:dyDescent="0.25"/>
  <cols>
    <col min="1" max="1" width="11.5703125" style="24" customWidth="1"/>
    <col min="2" max="2" width="17.7109375" style="24" customWidth="1"/>
    <col min="3" max="3" width="10.7109375" style="24" customWidth="1"/>
    <col min="4" max="4" width="10.5703125" style="24" customWidth="1"/>
    <col min="5" max="6" width="10.7109375" style="24" customWidth="1"/>
    <col min="7" max="9" width="9.140625" style="24"/>
    <col min="10" max="10" width="10.28515625" style="24" customWidth="1"/>
    <col min="11" max="11" width="9.140625" style="24" customWidth="1"/>
    <col min="12" max="12" width="10.140625" style="24" customWidth="1"/>
    <col min="13" max="13" width="12.140625" style="24" customWidth="1"/>
    <col min="14" max="14" width="11.42578125" style="24" customWidth="1"/>
    <col min="15" max="15" width="11.28515625" style="24" customWidth="1"/>
    <col min="16" max="16" width="10.85546875" style="24" customWidth="1"/>
    <col min="17" max="17" width="10.7109375" style="24" customWidth="1"/>
    <col min="18" max="18" width="10.42578125" style="24" customWidth="1"/>
    <col min="19" max="19" width="18.140625" style="24" customWidth="1"/>
    <col min="20" max="20" width="28.42578125" style="24" customWidth="1"/>
    <col min="21" max="16384" width="9.140625" style="24"/>
  </cols>
  <sheetData>
    <row r="1" spans="1:21" x14ac:dyDescent="0.25">
      <c r="A1" s="97" t="s">
        <v>157</v>
      </c>
    </row>
    <row r="2" spans="1:21" ht="18" x14ac:dyDescent="0.25">
      <c r="A2" s="141" t="s">
        <v>158</v>
      </c>
    </row>
    <row r="3" spans="1:21" x14ac:dyDescent="0.25">
      <c r="A3" s="141" t="s">
        <v>159</v>
      </c>
    </row>
    <row r="4" spans="1:21" x14ac:dyDescent="0.25">
      <c r="A4" s="141" t="s">
        <v>160</v>
      </c>
    </row>
    <row r="5" spans="1:21" x14ac:dyDescent="0.25">
      <c r="A5" s="141" t="s">
        <v>161</v>
      </c>
    </row>
    <row r="7" spans="1:21" x14ac:dyDescent="0.25">
      <c r="C7" s="113" t="s">
        <v>77</v>
      </c>
      <c r="D7" s="113"/>
      <c r="E7" s="113" t="s">
        <v>78</v>
      </c>
      <c r="F7" s="113"/>
    </row>
    <row r="8" spans="1:21" x14ac:dyDescent="0.25">
      <c r="A8" s="113" t="s">
        <v>98</v>
      </c>
      <c r="B8" s="113"/>
      <c r="C8" s="114">
        <v>41918.416666666664</v>
      </c>
      <c r="D8" s="114"/>
      <c r="E8" s="114">
        <v>41918.458333333336</v>
      </c>
      <c r="F8" s="114"/>
    </row>
    <row r="9" spans="1:21" x14ac:dyDescent="0.25">
      <c r="A9" s="113" t="s">
        <v>99</v>
      </c>
      <c r="B9" s="113"/>
      <c r="C9" s="114">
        <v>41918.5</v>
      </c>
      <c r="D9" s="114"/>
      <c r="E9" s="114">
        <v>41918.541666666664</v>
      </c>
      <c r="F9" s="114"/>
    </row>
    <row r="10" spans="1:21" x14ac:dyDescent="0.25">
      <c r="A10" s="113" t="s">
        <v>101</v>
      </c>
      <c r="B10" s="113"/>
      <c r="C10" s="116">
        <v>41918.541666666664</v>
      </c>
      <c r="D10" s="116"/>
      <c r="E10" s="114">
        <v>41919.541666666664</v>
      </c>
      <c r="F10" s="114"/>
    </row>
    <row r="11" spans="1:21" x14ac:dyDescent="0.25">
      <c r="A11" s="113" t="s">
        <v>100</v>
      </c>
      <c r="B11" s="113"/>
      <c r="C11" s="116">
        <v>41919.5</v>
      </c>
      <c r="D11" s="116"/>
      <c r="E11" s="114">
        <v>41920.541666666664</v>
      </c>
      <c r="F11" s="114"/>
    </row>
    <row r="12" spans="1:21" x14ac:dyDescent="0.25">
      <c r="A12" s="113" t="s">
        <v>79</v>
      </c>
      <c r="B12" s="113"/>
      <c r="C12" s="116">
        <v>41920.541666666664</v>
      </c>
      <c r="D12" s="116"/>
      <c r="E12" s="116">
        <v>41934.541666666664</v>
      </c>
      <c r="F12" s="116"/>
    </row>
    <row r="13" spans="1:21" ht="79.5" x14ac:dyDescent="0.35">
      <c r="A13" s="26" t="s">
        <v>62</v>
      </c>
      <c r="B13" s="26" t="s">
        <v>63</v>
      </c>
      <c r="C13" s="26" t="s">
        <v>68</v>
      </c>
      <c r="D13" s="26" t="s">
        <v>68</v>
      </c>
      <c r="E13" s="26" t="s">
        <v>69</v>
      </c>
      <c r="F13" s="26" t="s">
        <v>69</v>
      </c>
      <c r="G13" s="51" t="s">
        <v>106</v>
      </c>
      <c r="H13" s="51" t="s">
        <v>75</v>
      </c>
      <c r="I13" s="34" t="s">
        <v>0</v>
      </c>
      <c r="J13" s="34" t="s">
        <v>85</v>
      </c>
      <c r="K13" s="34" t="s">
        <v>83</v>
      </c>
      <c r="L13" s="34" t="s">
        <v>107</v>
      </c>
      <c r="M13" s="34" t="s">
        <v>108</v>
      </c>
      <c r="N13" s="34" t="s">
        <v>110</v>
      </c>
      <c r="O13" s="34" t="s">
        <v>112</v>
      </c>
      <c r="P13" s="34" t="s">
        <v>113</v>
      </c>
      <c r="Q13" s="34" t="s">
        <v>113</v>
      </c>
      <c r="R13" s="34" t="s">
        <v>94</v>
      </c>
      <c r="S13" s="34" t="s">
        <v>95</v>
      </c>
      <c r="T13" s="34"/>
      <c r="U13" s="34"/>
    </row>
    <row r="14" spans="1:21" ht="30" x14ac:dyDescent="0.25">
      <c r="A14" s="26"/>
      <c r="B14" s="26"/>
      <c r="C14" s="26" t="s">
        <v>66</v>
      </c>
      <c r="D14" s="26" t="s">
        <v>67</v>
      </c>
      <c r="E14" s="26" t="s">
        <v>66</v>
      </c>
      <c r="F14" s="26" t="s">
        <v>67</v>
      </c>
      <c r="G14" s="26" t="s">
        <v>66</v>
      </c>
      <c r="H14" s="26" t="s">
        <v>67</v>
      </c>
      <c r="I14" s="34"/>
      <c r="J14" s="34" t="s">
        <v>82</v>
      </c>
      <c r="K14" s="34" t="s">
        <v>84</v>
      </c>
      <c r="L14" s="34" t="s">
        <v>87</v>
      </c>
      <c r="M14" s="34" t="s">
        <v>109</v>
      </c>
      <c r="N14" s="34" t="s">
        <v>111</v>
      </c>
      <c r="O14" s="34" t="s">
        <v>109</v>
      </c>
      <c r="P14" s="34" t="s">
        <v>87</v>
      </c>
      <c r="Q14" s="34" t="s">
        <v>114</v>
      </c>
      <c r="R14" s="34"/>
    </row>
    <row r="15" spans="1:21" ht="15" customHeight="1" x14ac:dyDescent="0.25">
      <c r="A15" s="27" t="s">
        <v>70</v>
      </c>
      <c r="B15" s="33">
        <v>41918.368055555555</v>
      </c>
      <c r="C15" s="96">
        <v>0</v>
      </c>
      <c r="D15" s="92">
        <f>C15*60</f>
        <v>0</v>
      </c>
      <c r="E15" s="52" t="s">
        <v>64</v>
      </c>
      <c r="F15" s="34" t="s">
        <v>64</v>
      </c>
      <c r="G15" s="52" t="s">
        <v>64</v>
      </c>
      <c r="H15" s="34" t="s">
        <v>64</v>
      </c>
      <c r="I15" s="54" t="s">
        <v>1</v>
      </c>
      <c r="J15" s="55">
        <v>2</v>
      </c>
      <c r="K15" s="55">
        <v>75</v>
      </c>
      <c r="L15" s="42">
        <f>J15/K15</f>
        <v>2.6666666666666668E-2</v>
      </c>
      <c r="M15" s="70"/>
      <c r="N15" s="71"/>
      <c r="O15" s="70"/>
      <c r="P15" s="73">
        <f>L15</f>
        <v>2.6666666666666668E-2</v>
      </c>
      <c r="Q15" s="45"/>
      <c r="R15" s="74"/>
      <c r="S15" s="45" t="s">
        <v>96</v>
      </c>
    </row>
    <row r="16" spans="1:21" x14ac:dyDescent="0.25">
      <c r="A16" s="27" t="s">
        <v>70</v>
      </c>
      <c r="B16" s="33">
        <v>41918.465277777781</v>
      </c>
      <c r="C16" s="31">
        <f>(B16-$C$8)*24</f>
        <v>1.1666666668024845</v>
      </c>
      <c r="D16" s="34">
        <f>C16*60</f>
        <v>70.000000008149073</v>
      </c>
      <c r="E16" s="52" t="s">
        <v>64</v>
      </c>
      <c r="F16" s="34" t="s">
        <v>64</v>
      </c>
      <c r="G16" s="52" t="s">
        <v>64</v>
      </c>
      <c r="H16" s="34" t="s">
        <v>64</v>
      </c>
      <c r="I16" s="54" t="s">
        <v>2</v>
      </c>
      <c r="J16" s="56">
        <f>700000</f>
        <v>700000</v>
      </c>
      <c r="K16" s="55">
        <v>1</v>
      </c>
      <c r="L16" s="42">
        <f t="shared" ref="L16:L27" si="0">J16/K16</f>
        <v>700000</v>
      </c>
      <c r="M16" s="70"/>
      <c r="N16" s="71"/>
      <c r="O16" s="70"/>
      <c r="P16" s="75">
        <f t="shared" ref="P16:P27" si="1">L16</f>
        <v>700000</v>
      </c>
      <c r="Q16" s="76"/>
      <c r="R16" s="77"/>
      <c r="S16" s="67" t="s">
        <v>97</v>
      </c>
    </row>
    <row r="17" spans="1:19" ht="15" customHeight="1" x14ac:dyDescent="0.25">
      <c r="A17" s="27" t="s">
        <v>70</v>
      </c>
      <c r="B17" s="33">
        <v>41918.479166666664</v>
      </c>
      <c r="C17" s="31">
        <f>(B17-$C$8)*24</f>
        <v>1.5</v>
      </c>
      <c r="D17" s="34">
        <f>C17*60</f>
        <v>90</v>
      </c>
      <c r="E17" s="52" t="s">
        <v>64</v>
      </c>
      <c r="F17" s="34" t="s">
        <v>64</v>
      </c>
      <c r="G17" s="52" t="s">
        <v>64</v>
      </c>
      <c r="H17" s="34" t="s">
        <v>64</v>
      </c>
      <c r="I17" s="54" t="s">
        <v>3</v>
      </c>
      <c r="J17" s="56">
        <f>1000000</f>
        <v>1000000</v>
      </c>
      <c r="K17" s="55">
        <v>1</v>
      </c>
      <c r="L17" s="42">
        <f t="shared" si="0"/>
        <v>1000000</v>
      </c>
      <c r="M17" s="70"/>
      <c r="N17" s="71"/>
      <c r="O17" s="70"/>
      <c r="P17" s="75">
        <f t="shared" si="1"/>
        <v>1000000</v>
      </c>
      <c r="Q17" s="78">
        <f>P17*100</f>
        <v>100000000</v>
      </c>
      <c r="R17" s="79">
        <f t="shared" ref="R17:R27" si="2">-LOG(P17/$P$17)</f>
        <v>0</v>
      </c>
      <c r="S17" s="67"/>
    </row>
    <row r="18" spans="1:19" x14ac:dyDescent="0.25">
      <c r="A18" s="27" t="s">
        <v>70</v>
      </c>
      <c r="B18" s="33">
        <v>41918.555555555555</v>
      </c>
      <c r="C18" s="31">
        <f>(B18-$C$8)*24</f>
        <v>3.3333333333721384</v>
      </c>
      <c r="D18" s="34">
        <f>C18*60</f>
        <v>200.00000000232831</v>
      </c>
      <c r="E18" s="31">
        <f>(B18-$C$9)*24</f>
        <v>1.3333333333139308</v>
      </c>
      <c r="F18" s="53">
        <f>E18*60</f>
        <v>79.999999998835847</v>
      </c>
      <c r="G18" s="31">
        <f>(B18-$C$10)*24</f>
        <v>0.33333333337213844</v>
      </c>
      <c r="H18" s="29">
        <f>G18*60</f>
        <v>20.000000002328306</v>
      </c>
      <c r="I18" s="54" t="s">
        <v>4</v>
      </c>
      <c r="J18" s="55">
        <v>20</v>
      </c>
      <c r="K18" s="55">
        <v>1</v>
      </c>
      <c r="L18" s="42">
        <f t="shared" si="0"/>
        <v>20</v>
      </c>
      <c r="M18" s="70"/>
      <c r="N18" s="71"/>
      <c r="O18" s="70"/>
      <c r="P18" s="80">
        <f t="shared" si="1"/>
        <v>20</v>
      </c>
      <c r="Q18" s="81">
        <f t="shared" ref="Q18:Q32" si="3">P18*100</f>
        <v>2000</v>
      </c>
      <c r="R18" s="82">
        <f t="shared" si="2"/>
        <v>4.6989700043360187</v>
      </c>
      <c r="S18" s="115" t="s">
        <v>102</v>
      </c>
    </row>
    <row r="19" spans="1:19" ht="15" customHeight="1" x14ac:dyDescent="0.25">
      <c r="A19" s="26" t="s">
        <v>105</v>
      </c>
      <c r="B19" s="33">
        <v>41918.597222222219</v>
      </c>
      <c r="C19" s="31">
        <f>(B19-$C$8)*24</f>
        <v>4.3333333333139308</v>
      </c>
      <c r="D19" s="34">
        <f>C19*60</f>
        <v>259.99999999883585</v>
      </c>
      <c r="E19" s="31">
        <f>(B19-$C$9)*24</f>
        <v>2.3333333332557231</v>
      </c>
      <c r="F19" s="53">
        <f>E19*60</f>
        <v>139.99999999534339</v>
      </c>
      <c r="G19" s="31">
        <f>(B19-$C$10)*24</f>
        <v>1.3333333333139308</v>
      </c>
      <c r="H19" s="29">
        <f>G19*60</f>
        <v>79.999999998835847</v>
      </c>
      <c r="I19" s="54" t="s">
        <v>5</v>
      </c>
      <c r="J19" s="55">
        <v>28</v>
      </c>
      <c r="K19" s="55">
        <v>85</v>
      </c>
      <c r="L19" s="42">
        <f t="shared" si="0"/>
        <v>0.32941176470588235</v>
      </c>
      <c r="M19" s="70"/>
      <c r="N19" s="71"/>
      <c r="O19" s="70"/>
      <c r="P19" s="80">
        <f t="shared" si="1"/>
        <v>0.32941176470588235</v>
      </c>
      <c r="Q19" s="81">
        <f t="shared" si="3"/>
        <v>32.941176470588232</v>
      </c>
      <c r="R19" s="82">
        <f t="shared" si="2"/>
        <v>6.4822608943720734</v>
      </c>
      <c r="S19" s="115"/>
    </row>
    <row r="20" spans="1:19" x14ac:dyDescent="0.25">
      <c r="A20" s="27" t="s">
        <v>105</v>
      </c>
      <c r="B20" s="33">
        <v>41918.638888888891</v>
      </c>
      <c r="C20" s="31">
        <f t="shared" ref="C20:C27" si="4">(B20-$C$8)*24</f>
        <v>5.3333333334303461</v>
      </c>
      <c r="D20" s="34">
        <f t="shared" ref="D20:D27" si="5">C20*60</f>
        <v>320.00000000582077</v>
      </c>
      <c r="E20" s="31">
        <f t="shared" ref="E20:E22" si="6">(B20-$C$9)*24</f>
        <v>3.3333333333721384</v>
      </c>
      <c r="F20" s="53">
        <f t="shared" ref="F20:F27" si="7">E20*60</f>
        <v>200.00000000232831</v>
      </c>
      <c r="G20" s="31">
        <f t="shared" ref="G20:G22" si="8">(B20-$C$10)*24</f>
        <v>2.3333333334303461</v>
      </c>
      <c r="H20" s="29">
        <f t="shared" ref="H20:H23" si="9">G20*60</f>
        <v>140.00000000582077</v>
      </c>
      <c r="I20" s="54" t="s">
        <v>6</v>
      </c>
      <c r="J20" s="55">
        <v>0</v>
      </c>
      <c r="K20" s="55">
        <v>65</v>
      </c>
      <c r="L20" s="42">
        <f t="shared" si="0"/>
        <v>0</v>
      </c>
      <c r="M20" s="70"/>
      <c r="N20" s="71"/>
      <c r="O20" s="70"/>
      <c r="P20" s="80">
        <v>1</v>
      </c>
      <c r="Q20" s="81">
        <f t="shared" si="3"/>
        <v>100</v>
      </c>
      <c r="R20" s="82">
        <f t="shared" si="2"/>
        <v>6</v>
      </c>
      <c r="S20" s="115"/>
    </row>
    <row r="21" spans="1:19" ht="15" customHeight="1" x14ac:dyDescent="0.25">
      <c r="A21" s="26" t="s">
        <v>105</v>
      </c>
      <c r="B21" s="33">
        <v>41918.684027777781</v>
      </c>
      <c r="C21" s="31">
        <f t="shared" si="4"/>
        <v>6.4166666668024845</v>
      </c>
      <c r="D21" s="34">
        <f t="shared" si="5"/>
        <v>385.00000000814907</v>
      </c>
      <c r="E21" s="31">
        <f t="shared" si="6"/>
        <v>4.4166666667442769</v>
      </c>
      <c r="F21" s="53">
        <f t="shared" si="7"/>
        <v>265.00000000465661</v>
      </c>
      <c r="G21" s="31">
        <f t="shared" si="8"/>
        <v>3.4166666668024845</v>
      </c>
      <c r="H21" s="29">
        <f t="shared" si="9"/>
        <v>205.00000000814907</v>
      </c>
      <c r="I21" s="54" t="s">
        <v>13</v>
      </c>
      <c r="J21" s="55">
        <v>1</v>
      </c>
      <c r="K21" s="55">
        <v>70</v>
      </c>
      <c r="L21" s="42">
        <f t="shared" si="0"/>
        <v>1.4285714285714285E-2</v>
      </c>
      <c r="M21" s="70"/>
      <c r="N21" s="71"/>
      <c r="O21" s="70"/>
      <c r="P21" s="80">
        <f t="shared" si="1"/>
        <v>1.4285714285714285E-2</v>
      </c>
      <c r="Q21" s="81">
        <f t="shared" si="3"/>
        <v>1.4285714285714286</v>
      </c>
      <c r="R21" s="82">
        <f t="shared" si="2"/>
        <v>7.8450980400142569</v>
      </c>
      <c r="S21" s="115"/>
    </row>
    <row r="22" spans="1:19" x14ac:dyDescent="0.25">
      <c r="A22" s="27" t="s">
        <v>105</v>
      </c>
      <c r="B22" s="33">
        <v>41918.722222222219</v>
      </c>
      <c r="C22" s="31">
        <f t="shared" si="4"/>
        <v>7.3333333333139308</v>
      </c>
      <c r="D22" s="34">
        <f t="shared" si="5"/>
        <v>439.99999999883585</v>
      </c>
      <c r="E22" s="31">
        <f t="shared" si="6"/>
        <v>5.3333333332557231</v>
      </c>
      <c r="F22" s="53">
        <f t="shared" si="7"/>
        <v>319.99999999534339</v>
      </c>
      <c r="G22" s="31">
        <f t="shared" si="8"/>
        <v>4.3333333333139308</v>
      </c>
      <c r="H22" s="29">
        <f t="shared" si="9"/>
        <v>259.99999999883585</v>
      </c>
      <c r="I22" s="54" t="s">
        <v>7</v>
      </c>
      <c r="J22" s="55">
        <v>1</v>
      </c>
      <c r="K22" s="55">
        <v>60</v>
      </c>
      <c r="L22" s="42">
        <f t="shared" si="0"/>
        <v>1.6666666666666666E-2</v>
      </c>
      <c r="M22" s="70"/>
      <c r="N22" s="71"/>
      <c r="O22" s="70"/>
      <c r="P22" s="80">
        <f t="shared" si="1"/>
        <v>1.6666666666666666E-2</v>
      </c>
      <c r="Q22" s="81">
        <f t="shared" si="3"/>
        <v>1.6666666666666667</v>
      </c>
      <c r="R22" s="82">
        <f t="shared" si="2"/>
        <v>7.7781512503836439</v>
      </c>
      <c r="S22" s="115"/>
    </row>
    <row r="23" spans="1:19" ht="15" customHeight="1" x14ac:dyDescent="0.25">
      <c r="A23" s="27" t="s">
        <v>71</v>
      </c>
      <c r="B23" s="33">
        <v>41919.472222222219</v>
      </c>
      <c r="C23" s="31">
        <f t="shared" si="4"/>
        <v>25.333333333313931</v>
      </c>
      <c r="D23" s="34">
        <f t="shared" si="5"/>
        <v>1519.9999999988358</v>
      </c>
      <c r="E23" s="31">
        <f t="shared" ref="E23:E27" si="10">(B23-$C$9)*24</f>
        <v>23.333333333255723</v>
      </c>
      <c r="F23" s="53">
        <f t="shared" si="7"/>
        <v>1399.9999999953434</v>
      </c>
      <c r="G23" s="31">
        <f t="shared" ref="G23" si="11">(B23-$C$10)*24</f>
        <v>22.333333333313931</v>
      </c>
      <c r="H23" s="29">
        <f t="shared" si="9"/>
        <v>1339.9999999988358</v>
      </c>
      <c r="I23" s="54" t="s">
        <v>8</v>
      </c>
      <c r="J23" s="55">
        <v>1</v>
      </c>
      <c r="K23" s="55">
        <v>20</v>
      </c>
      <c r="L23" s="42">
        <f t="shared" si="0"/>
        <v>0.05</v>
      </c>
      <c r="M23" s="70"/>
      <c r="N23" s="71"/>
      <c r="O23" s="70"/>
      <c r="P23" s="80">
        <f t="shared" si="1"/>
        <v>0.05</v>
      </c>
      <c r="Q23" s="81">
        <f t="shared" si="3"/>
        <v>5</v>
      </c>
      <c r="R23" s="82">
        <f t="shared" si="2"/>
        <v>7.3010299956639813</v>
      </c>
      <c r="S23" s="115"/>
    </row>
    <row r="24" spans="1:19" x14ac:dyDescent="0.25">
      <c r="A24" s="27" t="s">
        <v>71</v>
      </c>
      <c r="B24" s="33">
        <v>41919.625</v>
      </c>
      <c r="C24" s="31">
        <f t="shared" si="4"/>
        <v>29.000000000058208</v>
      </c>
      <c r="D24" s="34">
        <f t="shared" si="5"/>
        <v>1740.0000000034925</v>
      </c>
      <c r="E24" s="31">
        <f t="shared" si="10"/>
        <v>27</v>
      </c>
      <c r="F24" s="53">
        <f t="shared" si="7"/>
        <v>1620</v>
      </c>
      <c r="G24" s="31" t="s">
        <v>64</v>
      </c>
      <c r="H24" s="29" t="s">
        <v>64</v>
      </c>
      <c r="I24" s="54" t="s">
        <v>9</v>
      </c>
      <c r="J24" s="55">
        <v>1</v>
      </c>
      <c r="K24" s="55">
        <v>20</v>
      </c>
      <c r="L24" s="42">
        <f t="shared" si="0"/>
        <v>0.05</v>
      </c>
      <c r="M24" s="70"/>
      <c r="N24" s="71"/>
      <c r="O24" s="70"/>
      <c r="P24" s="83">
        <f t="shared" si="1"/>
        <v>0.05</v>
      </c>
      <c r="Q24" s="84">
        <f t="shared" si="3"/>
        <v>5</v>
      </c>
      <c r="R24" s="85">
        <f t="shared" si="2"/>
        <v>7.3010299956639813</v>
      </c>
      <c r="S24" s="68" t="s">
        <v>103</v>
      </c>
    </row>
    <row r="25" spans="1:19" x14ac:dyDescent="0.25">
      <c r="A25" s="27" t="s">
        <v>72</v>
      </c>
      <c r="B25" s="33">
        <v>41920.493055555555</v>
      </c>
      <c r="C25" s="31">
        <f t="shared" si="4"/>
        <v>49.833333333372138</v>
      </c>
      <c r="D25" s="34">
        <f t="shared" si="5"/>
        <v>2990.0000000023283</v>
      </c>
      <c r="E25" s="31">
        <f t="shared" si="10"/>
        <v>47.833333333313931</v>
      </c>
      <c r="F25" s="53">
        <f t="shared" si="7"/>
        <v>2869.9999999988358</v>
      </c>
      <c r="G25" s="31" t="s">
        <v>64</v>
      </c>
      <c r="H25" s="29" t="s">
        <v>64</v>
      </c>
      <c r="I25" s="54" t="s">
        <v>10</v>
      </c>
      <c r="J25" s="55">
        <v>1</v>
      </c>
      <c r="K25" s="55">
        <v>20</v>
      </c>
      <c r="L25" s="42">
        <f t="shared" si="0"/>
        <v>0.05</v>
      </c>
      <c r="M25" s="70"/>
      <c r="N25" s="71"/>
      <c r="O25" s="70"/>
      <c r="P25" s="83">
        <f t="shared" si="1"/>
        <v>0.05</v>
      </c>
      <c r="Q25" s="84">
        <f t="shared" si="3"/>
        <v>5</v>
      </c>
      <c r="R25" s="85">
        <f t="shared" si="2"/>
        <v>7.3010299956639813</v>
      </c>
      <c r="S25" s="68"/>
    </row>
    <row r="26" spans="1:19" x14ac:dyDescent="0.25">
      <c r="A26" s="27" t="s">
        <v>73</v>
      </c>
      <c r="B26" s="33">
        <v>41921.5</v>
      </c>
      <c r="C26" s="31">
        <f t="shared" si="4"/>
        <v>74.000000000058208</v>
      </c>
      <c r="D26" s="34">
        <f t="shared" si="5"/>
        <v>4440.0000000034925</v>
      </c>
      <c r="E26" s="31">
        <f t="shared" si="10"/>
        <v>72</v>
      </c>
      <c r="F26" s="53">
        <f t="shared" si="7"/>
        <v>4320</v>
      </c>
      <c r="G26" s="31" t="s">
        <v>64</v>
      </c>
      <c r="H26" s="29" t="s">
        <v>64</v>
      </c>
      <c r="I26" s="54" t="s">
        <v>11</v>
      </c>
      <c r="J26" s="55">
        <v>0</v>
      </c>
      <c r="K26" s="55">
        <v>65</v>
      </c>
      <c r="L26" s="42">
        <f t="shared" si="0"/>
        <v>0</v>
      </c>
      <c r="M26" s="70"/>
      <c r="N26" s="71"/>
      <c r="O26" s="70"/>
      <c r="P26" s="73">
        <f t="shared" si="1"/>
        <v>0</v>
      </c>
      <c r="Q26" s="86">
        <f t="shared" si="3"/>
        <v>0</v>
      </c>
      <c r="R26" s="87" t="e">
        <f>-LOG(P26/$P$17)</f>
        <v>#NUM!</v>
      </c>
      <c r="S26" s="69" t="s">
        <v>104</v>
      </c>
    </row>
    <row r="27" spans="1:19" ht="15" customHeight="1" x14ac:dyDescent="0.25">
      <c r="A27" s="27" t="s">
        <v>74</v>
      </c>
      <c r="B27" s="33">
        <v>41922.5</v>
      </c>
      <c r="C27" s="31">
        <f t="shared" si="4"/>
        <v>98.000000000058208</v>
      </c>
      <c r="D27" s="34">
        <f t="shared" si="5"/>
        <v>5880.0000000034925</v>
      </c>
      <c r="E27" s="31">
        <f t="shared" si="10"/>
        <v>96</v>
      </c>
      <c r="F27" s="53">
        <f t="shared" si="7"/>
        <v>5760</v>
      </c>
      <c r="G27" s="31" t="s">
        <v>64</v>
      </c>
      <c r="H27" s="29" t="s">
        <v>64</v>
      </c>
      <c r="I27" s="54" t="s">
        <v>12</v>
      </c>
      <c r="J27" s="55">
        <v>5</v>
      </c>
      <c r="K27" s="55">
        <v>1</v>
      </c>
      <c r="L27" s="42">
        <f t="shared" si="0"/>
        <v>5</v>
      </c>
      <c r="M27" s="70"/>
      <c r="N27" s="71"/>
      <c r="O27" s="70"/>
      <c r="P27" s="73">
        <f t="shared" si="1"/>
        <v>5</v>
      </c>
      <c r="Q27" s="86">
        <f t="shared" si="3"/>
        <v>500</v>
      </c>
      <c r="R27" s="87">
        <f t="shared" si="2"/>
        <v>5.3010299956639813</v>
      </c>
      <c r="S27" s="69"/>
    </row>
    <row r="28" spans="1:19" x14ac:dyDescent="0.25">
      <c r="A28" s="27"/>
      <c r="B28" s="33"/>
      <c r="C28" s="28"/>
      <c r="D28" s="34"/>
      <c r="E28" s="31"/>
      <c r="F28" s="53"/>
      <c r="G28" s="31"/>
      <c r="H28" s="29"/>
      <c r="I28" s="58"/>
      <c r="J28" s="59"/>
      <c r="K28" s="59"/>
      <c r="L28" s="26"/>
      <c r="M28" s="26"/>
      <c r="N28" s="41"/>
      <c r="O28" s="26"/>
      <c r="P28" s="42"/>
      <c r="Q28" s="41"/>
      <c r="R28" s="66"/>
      <c r="S28" s="65"/>
    </row>
    <row r="29" spans="1:19" x14ac:dyDescent="0.25">
      <c r="A29" s="27" t="s">
        <v>73</v>
      </c>
      <c r="B29" s="33">
        <v>41921.5</v>
      </c>
      <c r="C29" s="31">
        <f t="shared" ref="C29:C32" si="12">(B29-$C$8)*24</f>
        <v>74.000000000058208</v>
      </c>
      <c r="D29" s="34">
        <f t="shared" ref="D29:D32" si="13">C29*60</f>
        <v>4440.0000000034925</v>
      </c>
      <c r="E29" s="31">
        <f t="shared" ref="E29:E30" si="14">(B29-$C$9)*24</f>
        <v>72</v>
      </c>
      <c r="F29" s="53">
        <f t="shared" ref="F29:F32" si="15">E29*60</f>
        <v>4320</v>
      </c>
      <c r="G29" s="31" t="s">
        <v>64</v>
      </c>
      <c r="H29" s="29" t="s">
        <v>64</v>
      </c>
      <c r="I29" s="60" t="s">
        <v>57</v>
      </c>
      <c r="J29" s="61">
        <v>23</v>
      </c>
      <c r="K29" s="61">
        <v>22</v>
      </c>
      <c r="L29" s="63">
        <f>J29/K29</f>
        <v>1.0454545454545454</v>
      </c>
      <c r="M29" s="26">
        <v>400</v>
      </c>
      <c r="N29" s="40">
        <f>L29*M29</f>
        <v>418.18181818181819</v>
      </c>
      <c r="O29" s="26">
        <v>20000</v>
      </c>
      <c r="P29" s="73">
        <f>N29/O29</f>
        <v>2.0909090909090908E-2</v>
      </c>
      <c r="Q29" s="86">
        <f t="shared" si="3"/>
        <v>2.0909090909090908</v>
      </c>
      <c r="R29" s="87">
        <f>-LOG(P29/$P$17)</f>
        <v>7.6796648491406323</v>
      </c>
      <c r="S29" s="69" t="s">
        <v>104</v>
      </c>
    </row>
    <row r="30" spans="1:19" x14ac:dyDescent="0.25">
      <c r="A30" s="27" t="s">
        <v>74</v>
      </c>
      <c r="B30" s="33">
        <v>41922.5</v>
      </c>
      <c r="C30" s="31">
        <f t="shared" si="12"/>
        <v>98.000000000058208</v>
      </c>
      <c r="D30" s="34">
        <f t="shared" si="13"/>
        <v>5880.0000000034925</v>
      </c>
      <c r="E30" s="31">
        <f t="shared" si="14"/>
        <v>96</v>
      </c>
      <c r="F30" s="53">
        <f t="shared" si="15"/>
        <v>5760</v>
      </c>
      <c r="G30" s="31" t="s">
        <v>64</v>
      </c>
      <c r="H30" s="29" t="s">
        <v>64</v>
      </c>
      <c r="I30" s="60" t="s">
        <v>58</v>
      </c>
      <c r="J30" s="62">
        <v>13</v>
      </c>
      <c r="K30" s="61">
        <v>33</v>
      </c>
      <c r="L30" s="63">
        <f t="shared" ref="L30:L32" si="16">J30/K30</f>
        <v>0.39393939393939392</v>
      </c>
      <c r="M30" s="26">
        <v>400</v>
      </c>
      <c r="N30" s="40">
        <f t="shared" ref="N30:N32" si="17">L30*M30</f>
        <v>157.57575757575756</v>
      </c>
      <c r="O30" s="26">
        <v>20000</v>
      </c>
      <c r="P30" s="73">
        <f t="shared" ref="P30:P32" si="18">N30/O30</f>
        <v>7.8787878787878775E-3</v>
      </c>
      <c r="Q30" s="86">
        <f t="shared" si="3"/>
        <v>0.78787878787878773</v>
      </c>
      <c r="R30" s="87">
        <f>-LOG(P30/$P$17)</f>
        <v>8.1035405919070698</v>
      </c>
      <c r="S30" s="69"/>
    </row>
    <row r="31" spans="1:19" x14ac:dyDescent="0.25">
      <c r="A31" s="46" t="s">
        <v>72</v>
      </c>
      <c r="B31" s="47">
        <v>41927.5</v>
      </c>
      <c r="C31" s="31">
        <f t="shared" si="12"/>
        <v>218.00000000005821</v>
      </c>
      <c r="D31" s="34">
        <f t="shared" si="13"/>
        <v>13080.000000003492</v>
      </c>
      <c r="E31" s="31">
        <f t="shared" ref="E31:E32" si="19">(B31-$C$9)*24</f>
        <v>216</v>
      </c>
      <c r="F31" s="53">
        <f t="shared" si="15"/>
        <v>12960</v>
      </c>
      <c r="G31" s="31" t="s">
        <v>64</v>
      </c>
      <c r="H31" s="29" t="s">
        <v>64</v>
      </c>
      <c r="I31" s="60" t="s">
        <v>59</v>
      </c>
      <c r="J31" s="62">
        <v>7</v>
      </c>
      <c r="K31" s="61">
        <v>44</v>
      </c>
      <c r="L31" s="63">
        <f t="shared" si="16"/>
        <v>0.15909090909090909</v>
      </c>
      <c r="M31" s="26">
        <v>400</v>
      </c>
      <c r="N31" s="40">
        <f t="shared" si="17"/>
        <v>63.636363636363633</v>
      </c>
      <c r="O31" s="26">
        <v>20000</v>
      </c>
      <c r="P31" s="73">
        <f t="shared" si="18"/>
        <v>3.1818181818181815E-3</v>
      </c>
      <c r="Q31" s="86">
        <f t="shared" si="3"/>
        <v>0.31818181818181812</v>
      </c>
      <c r="R31" s="87">
        <f>-LOG(P31/$P$17)</f>
        <v>8.4973246408079497</v>
      </c>
      <c r="S31" s="69"/>
    </row>
    <row r="32" spans="1:19" x14ac:dyDescent="0.25">
      <c r="A32" s="46" t="s">
        <v>72</v>
      </c>
      <c r="B32" s="47">
        <v>41934.916666666664</v>
      </c>
      <c r="C32" s="31">
        <f t="shared" si="12"/>
        <v>396</v>
      </c>
      <c r="D32" s="34">
        <f t="shared" si="13"/>
        <v>23760</v>
      </c>
      <c r="E32" s="31">
        <f t="shared" si="19"/>
        <v>393.99999999994179</v>
      </c>
      <c r="F32" s="53">
        <f t="shared" si="15"/>
        <v>23639.999999996508</v>
      </c>
      <c r="G32" s="31" t="s">
        <v>64</v>
      </c>
      <c r="H32" s="29" t="s">
        <v>64</v>
      </c>
      <c r="I32" s="60" t="s">
        <v>60</v>
      </c>
      <c r="J32" s="61">
        <v>38</v>
      </c>
      <c r="K32" s="61">
        <v>44</v>
      </c>
      <c r="L32" s="63">
        <f t="shared" si="16"/>
        <v>0.86363636363636365</v>
      </c>
      <c r="M32" s="26">
        <v>400</v>
      </c>
      <c r="N32" s="40">
        <f t="shared" si="17"/>
        <v>345.45454545454544</v>
      </c>
      <c r="O32" s="26">
        <v>20000</v>
      </c>
      <c r="P32" s="73">
        <f t="shared" si="18"/>
        <v>1.7272727272727273E-2</v>
      </c>
      <c r="Q32" s="86">
        <f t="shared" si="3"/>
        <v>1.7272727272727273</v>
      </c>
      <c r="R32" s="87">
        <f>-LOG(P32/$P$17)</f>
        <v>7.7626390842053965</v>
      </c>
      <c r="S32" s="69"/>
    </row>
    <row r="33" spans="1:19" x14ac:dyDescent="0.25">
      <c r="A33" s="46"/>
      <c r="B33" s="47"/>
      <c r="C33" s="46"/>
      <c r="D33" s="39"/>
      <c r="E33" s="48"/>
      <c r="F33" s="50"/>
      <c r="G33" s="48"/>
      <c r="H33" s="49"/>
      <c r="I33" s="43"/>
      <c r="J33" s="57"/>
      <c r="K33" s="57"/>
      <c r="L33" s="26"/>
      <c r="M33" s="26"/>
      <c r="N33" s="41"/>
      <c r="O33" s="26"/>
      <c r="P33" s="42"/>
      <c r="Q33" s="65"/>
      <c r="R33" s="64"/>
      <c r="S33" s="65"/>
    </row>
    <row r="34" spans="1:19" x14ac:dyDescent="0.25">
      <c r="E34" s="37"/>
      <c r="F34" s="37"/>
      <c r="G34" s="37"/>
      <c r="I34" s="37"/>
      <c r="J34" s="37"/>
      <c r="K34" s="37"/>
      <c r="L34" s="26"/>
      <c r="M34" s="26"/>
      <c r="P34" s="42"/>
      <c r="Q34" s="42"/>
    </row>
    <row r="35" spans="1:19" x14ac:dyDescent="0.25">
      <c r="B35" s="30"/>
      <c r="P35" s="26"/>
      <c r="Q35" s="26"/>
    </row>
    <row r="36" spans="1:19" x14ac:dyDescent="0.25">
      <c r="P36" s="26"/>
      <c r="Q36" s="26"/>
    </row>
    <row r="38" spans="1:19" x14ac:dyDescent="0.25">
      <c r="G38" s="43"/>
      <c r="H38" s="44"/>
      <c r="I38" s="44"/>
      <c r="J38" s="44"/>
      <c r="K38" s="44"/>
      <c r="L38" s="44"/>
    </row>
    <row r="39" spans="1:19" x14ac:dyDescent="0.25">
      <c r="G39" s="43"/>
      <c r="H39" s="44"/>
      <c r="I39" s="44"/>
      <c r="J39" s="44"/>
      <c r="K39" s="44"/>
      <c r="L39" s="44"/>
    </row>
  </sheetData>
  <mergeCells count="18">
    <mergeCell ref="S18:S23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9:B9"/>
    <mergeCell ref="C9:D9"/>
    <mergeCell ref="E9:F9"/>
    <mergeCell ref="C7:D7"/>
    <mergeCell ref="E7:F7"/>
    <mergeCell ref="A8:B8"/>
    <mergeCell ref="C8:D8"/>
    <mergeCell ref="E8:F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D10" workbookViewId="0">
      <selection sqref="A1:A4"/>
    </sheetView>
  </sheetViews>
  <sheetFormatPr defaultRowHeight="15" x14ac:dyDescent="0.25"/>
  <cols>
    <col min="1" max="1" width="11.5703125" style="24" customWidth="1"/>
    <col min="2" max="2" width="17.7109375" style="24" customWidth="1"/>
    <col min="3" max="3" width="10.7109375" style="24" customWidth="1"/>
    <col min="4" max="4" width="10.5703125" style="24" customWidth="1"/>
    <col min="5" max="6" width="10.7109375" style="24" customWidth="1"/>
    <col min="7" max="9" width="9.140625" style="24"/>
    <col min="10" max="10" width="10.28515625" style="24" customWidth="1"/>
    <col min="11" max="11" width="9.140625" style="24" customWidth="1"/>
    <col min="12" max="12" width="10.140625" style="24" customWidth="1"/>
    <col min="13" max="13" width="11.140625" style="24" customWidth="1"/>
    <col min="14" max="14" width="10" style="24" customWidth="1"/>
    <col min="15" max="15" width="9.140625" style="24"/>
    <col min="16" max="16" width="10.85546875" style="24" customWidth="1"/>
    <col min="17" max="17" width="10.7109375" style="24" customWidth="1"/>
    <col min="18" max="18" width="9.140625" style="24"/>
    <col min="19" max="19" width="9.85546875" style="24" customWidth="1"/>
    <col min="20" max="20" width="18.140625" style="24" customWidth="1"/>
    <col min="21" max="21" width="28.42578125" style="24" customWidth="1"/>
    <col min="22" max="16384" width="9.140625" style="24"/>
  </cols>
  <sheetData>
    <row r="1" spans="1:22" x14ac:dyDescent="0.25">
      <c r="A1" s="97" t="s">
        <v>157</v>
      </c>
    </row>
    <row r="2" spans="1:22" ht="18" x14ac:dyDescent="0.25">
      <c r="A2" s="141" t="s">
        <v>158</v>
      </c>
    </row>
    <row r="3" spans="1:22" x14ac:dyDescent="0.25">
      <c r="A3" s="141" t="s">
        <v>159</v>
      </c>
    </row>
    <row r="4" spans="1:22" x14ac:dyDescent="0.25">
      <c r="A4" s="141" t="s">
        <v>160</v>
      </c>
    </row>
    <row r="6" spans="1:22" x14ac:dyDescent="0.25">
      <c r="C6" s="113" t="s">
        <v>77</v>
      </c>
      <c r="D6" s="113"/>
      <c r="E6" s="113" t="s">
        <v>78</v>
      </c>
      <c r="F6" s="113"/>
    </row>
    <row r="7" spans="1:22" x14ac:dyDescent="0.25">
      <c r="A7" s="113" t="s">
        <v>98</v>
      </c>
      <c r="B7" s="113"/>
      <c r="C7" s="114">
        <v>41918.416666666664</v>
      </c>
      <c r="D7" s="114"/>
      <c r="E7" s="114">
        <v>41918.458333333336</v>
      </c>
      <c r="F7" s="114"/>
    </row>
    <row r="8" spans="1:22" x14ac:dyDescent="0.25">
      <c r="A8" s="113" t="s">
        <v>99</v>
      </c>
      <c r="B8" s="113"/>
      <c r="C8" s="114">
        <v>41918.5</v>
      </c>
      <c r="D8" s="114"/>
      <c r="E8" s="114">
        <v>41918.541666666664</v>
      </c>
      <c r="F8" s="114"/>
    </row>
    <row r="9" spans="1:22" x14ac:dyDescent="0.25">
      <c r="A9" s="113" t="s">
        <v>101</v>
      </c>
      <c r="B9" s="113"/>
      <c r="C9" s="116">
        <v>41918.541666666664</v>
      </c>
      <c r="D9" s="116"/>
      <c r="E9" s="114">
        <v>41919.541666666664</v>
      </c>
      <c r="F9" s="114"/>
    </row>
    <row r="10" spans="1:22" x14ac:dyDescent="0.25">
      <c r="A10" s="113" t="s">
        <v>100</v>
      </c>
      <c r="B10" s="113"/>
      <c r="C10" s="116">
        <v>41919.5</v>
      </c>
      <c r="D10" s="116"/>
      <c r="E10" s="114">
        <v>41920.541666666664</v>
      </c>
      <c r="F10" s="114"/>
    </row>
    <row r="11" spans="1:22" x14ac:dyDescent="0.25">
      <c r="A11" s="113" t="s">
        <v>79</v>
      </c>
      <c r="B11" s="113"/>
      <c r="C11" s="116">
        <v>41920.541666666664</v>
      </c>
      <c r="D11" s="116"/>
      <c r="E11" s="116">
        <v>41934.541666666664</v>
      </c>
      <c r="F11" s="116"/>
    </row>
    <row r="12" spans="1:22" ht="79.5" x14ac:dyDescent="0.35">
      <c r="A12" s="26" t="s">
        <v>62</v>
      </c>
      <c r="B12" s="26" t="s">
        <v>63</v>
      </c>
      <c r="C12" s="26" t="s">
        <v>68</v>
      </c>
      <c r="D12" s="26" t="s">
        <v>68</v>
      </c>
      <c r="E12" s="26" t="s">
        <v>69</v>
      </c>
      <c r="F12" s="26" t="s">
        <v>69</v>
      </c>
      <c r="G12" s="32" t="s">
        <v>76</v>
      </c>
      <c r="H12" s="32" t="s">
        <v>75</v>
      </c>
      <c r="I12" s="34" t="s">
        <v>0</v>
      </c>
      <c r="J12" s="34" t="s">
        <v>85</v>
      </c>
      <c r="K12" s="34" t="s">
        <v>83</v>
      </c>
      <c r="L12" s="34" t="s">
        <v>86</v>
      </c>
      <c r="M12" s="34" t="s">
        <v>88</v>
      </c>
      <c r="N12" s="34" t="s">
        <v>89</v>
      </c>
      <c r="O12" s="34" t="s">
        <v>80</v>
      </c>
      <c r="P12" s="34" t="s">
        <v>90</v>
      </c>
      <c r="Q12" s="34" t="s">
        <v>92</v>
      </c>
      <c r="R12" s="34" t="s">
        <v>93</v>
      </c>
      <c r="S12" s="34" t="s">
        <v>94</v>
      </c>
      <c r="T12" s="34" t="s">
        <v>95</v>
      </c>
      <c r="U12" s="34"/>
      <c r="V12" s="34"/>
    </row>
    <row r="13" spans="1:22" ht="17.25" x14ac:dyDescent="0.25">
      <c r="A13" s="26"/>
      <c r="B13" s="26"/>
      <c r="C13" s="26" t="s">
        <v>66</v>
      </c>
      <c r="D13" s="26" t="s">
        <v>67</v>
      </c>
      <c r="E13" s="26" t="s">
        <v>66</v>
      </c>
      <c r="F13" s="26" t="s">
        <v>67</v>
      </c>
      <c r="G13" s="26" t="s">
        <v>66</v>
      </c>
      <c r="H13" s="26" t="s">
        <v>67</v>
      </c>
      <c r="I13" s="34"/>
      <c r="J13" s="34" t="s">
        <v>82</v>
      </c>
      <c r="K13" s="34" t="s">
        <v>84</v>
      </c>
      <c r="L13" s="26" t="s">
        <v>87</v>
      </c>
      <c r="M13" s="26" t="s">
        <v>84</v>
      </c>
      <c r="N13" s="26" t="s">
        <v>82</v>
      </c>
      <c r="O13" s="26" t="s">
        <v>81</v>
      </c>
      <c r="P13" s="26" t="s">
        <v>91</v>
      </c>
      <c r="R13" s="26"/>
      <c r="S13" s="26"/>
    </row>
    <row r="14" spans="1:22" x14ac:dyDescent="0.25">
      <c r="A14" s="117" t="s">
        <v>70</v>
      </c>
      <c r="B14" s="116">
        <v>41918.368055555555</v>
      </c>
      <c r="C14" s="119">
        <v>0</v>
      </c>
      <c r="D14" s="118">
        <f>C14*60</f>
        <v>0</v>
      </c>
      <c r="E14" s="125" t="s">
        <v>64</v>
      </c>
      <c r="F14" s="118" t="s">
        <v>64</v>
      </c>
      <c r="G14" s="123" t="s">
        <v>64</v>
      </c>
      <c r="H14" s="124" t="s">
        <v>64</v>
      </c>
      <c r="I14" s="43" t="s">
        <v>14</v>
      </c>
      <c r="J14" s="35">
        <v>2</v>
      </c>
      <c r="K14" s="35">
        <v>20</v>
      </c>
      <c r="L14" s="26">
        <f>J14/K14</f>
        <v>0.1</v>
      </c>
      <c r="M14" s="26">
        <v>50</v>
      </c>
      <c r="N14" s="41">
        <f>L14*M14</f>
        <v>5</v>
      </c>
      <c r="O14" s="26">
        <v>0.371</v>
      </c>
      <c r="P14" s="42">
        <f>N14/O14</f>
        <v>13.477088948787062</v>
      </c>
      <c r="Q14" s="126">
        <f>AVERAGE(P14:P15)</f>
        <v>6.7385444743935308</v>
      </c>
      <c r="R14" s="126">
        <f>ABS(P14-P15)</f>
        <v>13.477088948787062</v>
      </c>
      <c r="S14" s="127" t="s">
        <v>64</v>
      </c>
      <c r="T14" s="134" t="s">
        <v>96</v>
      </c>
    </row>
    <row r="15" spans="1:22" x14ac:dyDescent="0.25">
      <c r="A15" s="117"/>
      <c r="B15" s="116"/>
      <c r="C15" s="119"/>
      <c r="D15" s="118"/>
      <c r="E15" s="125"/>
      <c r="F15" s="118"/>
      <c r="G15" s="123"/>
      <c r="H15" s="124"/>
      <c r="I15" s="43" t="s">
        <v>15</v>
      </c>
      <c r="J15" s="35">
        <v>0</v>
      </c>
      <c r="K15" s="35">
        <v>55</v>
      </c>
      <c r="L15" s="26">
        <f t="shared" ref="L15:L33" si="0">J15/K15</f>
        <v>0</v>
      </c>
      <c r="M15" s="26">
        <v>50</v>
      </c>
      <c r="N15" s="41">
        <f t="shared" ref="N15:N33" si="1">L15*M15</f>
        <v>0</v>
      </c>
      <c r="O15" s="98">
        <v>0.371</v>
      </c>
      <c r="P15" s="42">
        <f t="shared" ref="P15:P33" si="2">N15/O15</f>
        <v>0</v>
      </c>
      <c r="Q15" s="127"/>
      <c r="R15" s="126"/>
      <c r="S15" s="127"/>
      <c r="T15" s="134"/>
    </row>
    <row r="16" spans="1:22" ht="15" customHeight="1" x14ac:dyDescent="0.25">
      <c r="A16" s="117" t="s">
        <v>70</v>
      </c>
      <c r="B16" s="116">
        <v>41918.465277777781</v>
      </c>
      <c r="C16" s="119">
        <f>(B16-$C$7)*24</f>
        <v>1.1666666668024845</v>
      </c>
      <c r="D16" s="118">
        <f>C16*60</f>
        <v>70.000000008149073</v>
      </c>
      <c r="E16" s="125" t="s">
        <v>64</v>
      </c>
      <c r="F16" s="118" t="s">
        <v>64</v>
      </c>
      <c r="G16" s="123" t="s">
        <v>64</v>
      </c>
      <c r="H16" s="124" t="s">
        <v>64</v>
      </c>
      <c r="I16" s="43" t="s">
        <v>16</v>
      </c>
      <c r="J16" s="35">
        <f>AVERAGE(169,155)</f>
        <v>162</v>
      </c>
      <c r="K16" s="35">
        <v>10</v>
      </c>
      <c r="L16" s="26">
        <f t="shared" si="0"/>
        <v>16.2</v>
      </c>
      <c r="M16" s="26">
        <v>50</v>
      </c>
      <c r="N16" s="41">
        <f t="shared" si="1"/>
        <v>810</v>
      </c>
      <c r="O16" s="98">
        <v>0.371</v>
      </c>
      <c r="P16" s="42">
        <f t="shared" si="2"/>
        <v>2183.2884097035039</v>
      </c>
      <c r="Q16" s="128">
        <f>AVERAGE(P16:P17)</f>
        <v>9514.8247978436666</v>
      </c>
      <c r="R16" s="128">
        <f>ABS(P16-P17)</f>
        <v>14663.072776280324</v>
      </c>
      <c r="S16" s="129"/>
      <c r="T16" s="135" t="s">
        <v>97</v>
      </c>
    </row>
    <row r="17" spans="1:20" x14ac:dyDescent="0.25">
      <c r="A17" s="117"/>
      <c r="B17" s="116"/>
      <c r="C17" s="119"/>
      <c r="D17" s="118"/>
      <c r="E17" s="125"/>
      <c r="F17" s="118"/>
      <c r="G17" s="123"/>
      <c r="H17" s="124"/>
      <c r="I17" s="43" t="s">
        <v>33</v>
      </c>
      <c r="J17" s="35">
        <f>AVERAGE(150,100)</f>
        <v>125</v>
      </c>
      <c r="K17" s="35">
        <v>1</v>
      </c>
      <c r="L17" s="26">
        <f t="shared" si="0"/>
        <v>125</v>
      </c>
      <c r="M17" s="26">
        <v>50</v>
      </c>
      <c r="N17" s="41">
        <f t="shared" si="1"/>
        <v>6250</v>
      </c>
      <c r="O17" s="98">
        <v>0.371</v>
      </c>
      <c r="P17" s="42">
        <f t="shared" si="2"/>
        <v>16846.361185983827</v>
      </c>
      <c r="Q17" s="129"/>
      <c r="R17" s="128"/>
      <c r="S17" s="129"/>
      <c r="T17" s="135"/>
    </row>
    <row r="18" spans="1:20" ht="15" customHeight="1" x14ac:dyDescent="0.25">
      <c r="A18" s="117" t="s">
        <v>70</v>
      </c>
      <c r="B18" s="116">
        <v>41918.479166666664</v>
      </c>
      <c r="C18" s="119">
        <f t="shared" ref="C18" si="3">(B18-$C$7)*24</f>
        <v>1.5</v>
      </c>
      <c r="D18" s="118">
        <f>C18*60</f>
        <v>90</v>
      </c>
      <c r="E18" s="125" t="s">
        <v>64</v>
      </c>
      <c r="F18" s="118" t="s">
        <v>64</v>
      </c>
      <c r="G18" s="123" t="s">
        <v>64</v>
      </c>
      <c r="H18" s="124" t="s">
        <v>64</v>
      </c>
      <c r="I18" s="43" t="s">
        <v>17</v>
      </c>
      <c r="J18" s="35">
        <f>AVERAGE(1000,5000)</f>
        <v>3000</v>
      </c>
      <c r="K18" s="35">
        <v>1</v>
      </c>
      <c r="L18" s="26">
        <f t="shared" si="0"/>
        <v>3000</v>
      </c>
      <c r="M18" s="26">
        <v>50</v>
      </c>
      <c r="N18" s="41">
        <f t="shared" si="1"/>
        <v>150000</v>
      </c>
      <c r="O18" s="98">
        <v>0.371</v>
      </c>
      <c r="P18" s="42">
        <f t="shared" si="2"/>
        <v>404312.66846361186</v>
      </c>
      <c r="Q18" s="128">
        <f>AVERAGE(P18:P19)</f>
        <v>1263477.0889487872</v>
      </c>
      <c r="R18" s="128">
        <f>ABS(P18-P19)</f>
        <v>1718328.8409703504</v>
      </c>
      <c r="S18" s="136">
        <f>-LOG(Q18/$Q$18)</f>
        <v>0</v>
      </c>
      <c r="T18" s="135"/>
    </row>
    <row r="19" spans="1:20" x14ac:dyDescent="0.25">
      <c r="A19" s="117"/>
      <c r="B19" s="116"/>
      <c r="C19" s="119"/>
      <c r="D19" s="118"/>
      <c r="E19" s="125"/>
      <c r="F19" s="118"/>
      <c r="G19" s="123"/>
      <c r="H19" s="124"/>
      <c r="I19" s="43" t="s">
        <v>18</v>
      </c>
      <c r="J19" s="36">
        <f>AVERAGE(1500,30000)</f>
        <v>15750</v>
      </c>
      <c r="K19" s="35">
        <v>1</v>
      </c>
      <c r="L19" s="26">
        <f t="shared" si="0"/>
        <v>15750</v>
      </c>
      <c r="M19" s="26">
        <v>50</v>
      </c>
      <c r="N19" s="41">
        <f t="shared" si="1"/>
        <v>787500</v>
      </c>
      <c r="O19" s="98">
        <v>0.371</v>
      </c>
      <c r="P19" s="42">
        <f t="shared" si="2"/>
        <v>2122641.5094339624</v>
      </c>
      <c r="Q19" s="129"/>
      <c r="R19" s="128"/>
      <c r="S19" s="136"/>
      <c r="T19" s="135"/>
    </row>
    <row r="20" spans="1:20" ht="15" customHeight="1" x14ac:dyDescent="0.25">
      <c r="A20" s="117" t="s">
        <v>70</v>
      </c>
      <c r="B20" s="116">
        <v>41918.555555555555</v>
      </c>
      <c r="C20" s="119">
        <f t="shared" ref="C20" si="4">(B20-$C$7)*24</f>
        <v>3.3333333333721384</v>
      </c>
      <c r="D20" s="118">
        <f>C20*60</f>
        <v>200.00000000232831</v>
      </c>
      <c r="E20" s="121">
        <f>(B20-$C$8)*24</f>
        <v>1.3333333333139308</v>
      </c>
      <c r="F20" s="122">
        <f>E20*60</f>
        <v>79.999999998835847</v>
      </c>
      <c r="G20" s="121">
        <f>(B20-$C$9)*24</f>
        <v>0.33333333337213844</v>
      </c>
      <c r="H20" s="122">
        <f>G20*60</f>
        <v>20.000000002328306</v>
      </c>
      <c r="I20" s="43" t="s">
        <v>19</v>
      </c>
      <c r="J20" s="35">
        <f>AVERAGE(110,100)</f>
        <v>105</v>
      </c>
      <c r="K20" s="35">
        <v>1</v>
      </c>
      <c r="L20" s="26">
        <f t="shared" si="0"/>
        <v>105</v>
      </c>
      <c r="M20" s="26">
        <v>50</v>
      </c>
      <c r="N20" s="41">
        <f t="shared" si="1"/>
        <v>5250</v>
      </c>
      <c r="O20" s="98">
        <v>0.371</v>
      </c>
      <c r="P20" s="42">
        <f t="shared" si="2"/>
        <v>14150.943396226416</v>
      </c>
      <c r="Q20" s="130">
        <f>AVERAGE(P20:P21)</f>
        <v>12803.23450134771</v>
      </c>
      <c r="R20" s="130">
        <f>ABS(P20-P21)</f>
        <v>2695.4177897574136</v>
      </c>
      <c r="S20" s="137">
        <f>-LOG(Q20/$Q$18)</f>
        <v>1.9942476711109087</v>
      </c>
      <c r="T20" s="115" t="s">
        <v>102</v>
      </c>
    </row>
    <row r="21" spans="1:20" x14ac:dyDescent="0.25">
      <c r="A21" s="117"/>
      <c r="B21" s="116"/>
      <c r="C21" s="119"/>
      <c r="D21" s="118"/>
      <c r="E21" s="121"/>
      <c r="F21" s="122"/>
      <c r="G21" s="121"/>
      <c r="H21" s="122"/>
      <c r="I21" s="43" t="s">
        <v>20</v>
      </c>
      <c r="J21" s="35">
        <f>AVERAGE(70,100)</f>
        <v>85</v>
      </c>
      <c r="K21" s="35">
        <v>1</v>
      </c>
      <c r="L21" s="26">
        <f t="shared" si="0"/>
        <v>85</v>
      </c>
      <c r="M21" s="26">
        <v>50</v>
      </c>
      <c r="N21" s="41">
        <f t="shared" si="1"/>
        <v>4250</v>
      </c>
      <c r="O21" s="98">
        <v>0.371</v>
      </c>
      <c r="P21" s="42">
        <f t="shared" si="2"/>
        <v>11455.525606469002</v>
      </c>
      <c r="Q21" s="115"/>
      <c r="R21" s="130"/>
      <c r="S21" s="137"/>
      <c r="T21" s="115"/>
    </row>
    <row r="22" spans="1:20" ht="15" customHeight="1" x14ac:dyDescent="0.25">
      <c r="A22" s="117" t="s">
        <v>70</v>
      </c>
      <c r="B22" s="116">
        <v>41918.6875</v>
      </c>
      <c r="C22" s="119">
        <f t="shared" ref="C22" si="5">(B22-$C$7)*24</f>
        <v>6.5000000000582077</v>
      </c>
      <c r="D22" s="118">
        <f>C22*60</f>
        <v>390.00000000349246</v>
      </c>
      <c r="E22" s="121">
        <f t="shared" ref="E22" si="6">(B22-$C$8)*24</f>
        <v>4.5</v>
      </c>
      <c r="F22" s="122">
        <f>E22*60</f>
        <v>270</v>
      </c>
      <c r="G22" s="121">
        <f t="shared" ref="G22" si="7">(B22-$C$9)*24</f>
        <v>3.5000000000582077</v>
      </c>
      <c r="H22" s="122">
        <f>G22*60</f>
        <v>210.00000000349246</v>
      </c>
      <c r="I22" s="43" t="s">
        <v>21</v>
      </c>
      <c r="J22" s="35">
        <v>40</v>
      </c>
      <c r="K22" s="35">
        <v>1</v>
      </c>
      <c r="L22" s="26">
        <f t="shared" si="0"/>
        <v>40</v>
      </c>
      <c r="M22" s="26">
        <v>100</v>
      </c>
      <c r="N22" s="41">
        <f t="shared" si="1"/>
        <v>4000</v>
      </c>
      <c r="O22" s="98">
        <v>0.371</v>
      </c>
      <c r="P22" s="42">
        <f t="shared" si="2"/>
        <v>10781.671159029649</v>
      </c>
      <c r="Q22" s="130">
        <f>AVERAGE(P22:P23)</f>
        <v>18194.070080862533</v>
      </c>
      <c r="R22" s="130">
        <f>ABS(P22-P23)</f>
        <v>14824.79784366577</v>
      </c>
      <c r="S22" s="137">
        <f>-LOG(Q22/$Q$18)</f>
        <v>1.8416375079047504</v>
      </c>
      <c r="T22" s="115"/>
    </row>
    <row r="23" spans="1:20" x14ac:dyDescent="0.25">
      <c r="A23" s="117"/>
      <c r="B23" s="116"/>
      <c r="C23" s="119"/>
      <c r="D23" s="118"/>
      <c r="E23" s="121"/>
      <c r="F23" s="122"/>
      <c r="G23" s="121"/>
      <c r="H23" s="122"/>
      <c r="I23" s="43" t="s">
        <v>22</v>
      </c>
      <c r="J23" s="35">
        <f>AVERAGE(90,100)</f>
        <v>95</v>
      </c>
      <c r="K23" s="35">
        <v>1</v>
      </c>
      <c r="L23" s="26">
        <f t="shared" si="0"/>
        <v>95</v>
      </c>
      <c r="M23" s="26">
        <v>100</v>
      </c>
      <c r="N23" s="41">
        <f t="shared" si="1"/>
        <v>9500</v>
      </c>
      <c r="O23" s="98">
        <v>0.371</v>
      </c>
      <c r="P23" s="42">
        <f t="shared" si="2"/>
        <v>25606.469002695419</v>
      </c>
      <c r="Q23" s="115"/>
      <c r="R23" s="130"/>
      <c r="S23" s="137"/>
      <c r="T23" s="115"/>
    </row>
    <row r="24" spans="1:20" x14ac:dyDescent="0.25">
      <c r="A24" s="117" t="s">
        <v>71</v>
      </c>
      <c r="B24" s="116">
        <v>41919.472222222219</v>
      </c>
      <c r="C24" s="119">
        <f t="shared" ref="C24:C32" si="8">(B24-$C$7)*24</f>
        <v>25.333333333313931</v>
      </c>
      <c r="D24" s="118">
        <f>C24*60</f>
        <v>1519.9999999988358</v>
      </c>
      <c r="E24" s="121">
        <f t="shared" ref="E24" si="9">(B24-$C$8)*24</f>
        <v>23.333333333255723</v>
      </c>
      <c r="F24" s="122">
        <f>E24*60</f>
        <v>1399.9999999953434</v>
      </c>
      <c r="G24" s="121">
        <f t="shared" ref="G24" si="10">(B24-$C$9)*24</f>
        <v>22.333333333313931</v>
      </c>
      <c r="H24" s="122">
        <f>G24*60</f>
        <v>1339.9999999988358</v>
      </c>
      <c r="I24" s="37" t="s">
        <v>23</v>
      </c>
      <c r="J24" s="35">
        <f>AVERAGE(140,50)</f>
        <v>95</v>
      </c>
      <c r="K24" s="35">
        <v>1</v>
      </c>
      <c r="L24" s="26">
        <f t="shared" si="0"/>
        <v>95</v>
      </c>
      <c r="M24" s="26">
        <v>100</v>
      </c>
      <c r="N24" s="41">
        <f t="shared" si="1"/>
        <v>9500</v>
      </c>
      <c r="O24" s="98">
        <v>0.371</v>
      </c>
      <c r="P24" s="42">
        <f t="shared" si="2"/>
        <v>25606.469002695419</v>
      </c>
      <c r="Q24" s="130">
        <f>AVERAGE(P24:P25)</f>
        <v>33692.722371967655</v>
      </c>
      <c r="R24" s="130">
        <f>ABS(P24-P25)</f>
        <v>16172.506738544471</v>
      </c>
      <c r="S24" s="137">
        <f t="shared" ref="S24" si="11">-LOG(Q24/$Q$18)</f>
        <v>1.5740312677277188</v>
      </c>
      <c r="T24" s="115"/>
    </row>
    <row r="25" spans="1:20" x14ac:dyDescent="0.25">
      <c r="A25" s="117"/>
      <c r="B25" s="116"/>
      <c r="C25" s="119"/>
      <c r="D25" s="118"/>
      <c r="E25" s="121"/>
      <c r="F25" s="122"/>
      <c r="G25" s="121"/>
      <c r="H25" s="122"/>
      <c r="I25" s="37" t="s">
        <v>24</v>
      </c>
      <c r="J25" s="35">
        <f>AVERAGE(110,200)</f>
        <v>155</v>
      </c>
      <c r="K25" s="35">
        <v>1</v>
      </c>
      <c r="L25" s="26">
        <f t="shared" si="0"/>
        <v>155</v>
      </c>
      <c r="M25" s="26">
        <v>100</v>
      </c>
      <c r="N25" s="41">
        <f t="shared" si="1"/>
        <v>15500</v>
      </c>
      <c r="O25" s="98">
        <v>0.371</v>
      </c>
      <c r="P25" s="42">
        <f t="shared" si="2"/>
        <v>41778.97574123989</v>
      </c>
      <c r="Q25" s="115"/>
      <c r="R25" s="130"/>
      <c r="S25" s="137"/>
      <c r="T25" s="115"/>
    </row>
    <row r="26" spans="1:20" ht="15" customHeight="1" x14ac:dyDescent="0.25">
      <c r="A26" s="117" t="s">
        <v>71</v>
      </c>
      <c r="B26" s="116">
        <v>41919.625</v>
      </c>
      <c r="C26" s="119">
        <f t="shared" si="8"/>
        <v>29.000000000058208</v>
      </c>
      <c r="D26" s="118">
        <f>C26*60</f>
        <v>1740.0000000034925</v>
      </c>
      <c r="E26" s="121">
        <f t="shared" ref="E26:E32" si="12">(B26-$C$8)*24</f>
        <v>27</v>
      </c>
      <c r="F26" s="122">
        <f>E26*60</f>
        <v>1620</v>
      </c>
      <c r="G26" s="121" t="s">
        <v>64</v>
      </c>
      <c r="H26" s="122" t="s">
        <v>64</v>
      </c>
      <c r="I26" s="37" t="s">
        <v>25</v>
      </c>
      <c r="J26" s="35">
        <v>15</v>
      </c>
      <c r="K26" s="35">
        <v>1</v>
      </c>
      <c r="L26" s="26">
        <f t="shared" si="0"/>
        <v>15</v>
      </c>
      <c r="M26" s="26">
        <v>100</v>
      </c>
      <c r="N26" s="41">
        <f t="shared" si="1"/>
        <v>1500</v>
      </c>
      <c r="O26" s="98">
        <v>0.371</v>
      </c>
      <c r="P26" s="42">
        <f t="shared" si="2"/>
        <v>4043.1266846361186</v>
      </c>
      <c r="Q26" s="131">
        <f>AVERAGE(P26:P27)</f>
        <v>9433.9622641509432</v>
      </c>
      <c r="R26" s="131">
        <f>ABS(P26-P27)</f>
        <v>10781.671159029651</v>
      </c>
      <c r="S26" s="138">
        <f t="shared" ref="S26" si="13">-LOG(Q26/$Q$18)</f>
        <v>2.1268732363854999</v>
      </c>
      <c r="T26" s="132" t="s">
        <v>103</v>
      </c>
    </row>
    <row r="27" spans="1:20" x14ac:dyDescent="0.25">
      <c r="A27" s="117"/>
      <c r="B27" s="116"/>
      <c r="C27" s="119"/>
      <c r="D27" s="118"/>
      <c r="E27" s="121"/>
      <c r="F27" s="122"/>
      <c r="G27" s="121"/>
      <c r="H27" s="122"/>
      <c r="I27" s="37" t="s">
        <v>26</v>
      </c>
      <c r="J27" s="35">
        <v>55</v>
      </c>
      <c r="K27" s="35">
        <v>1</v>
      </c>
      <c r="L27" s="26">
        <f t="shared" si="0"/>
        <v>55</v>
      </c>
      <c r="M27" s="26">
        <v>100</v>
      </c>
      <c r="N27" s="41">
        <f t="shared" si="1"/>
        <v>5500</v>
      </c>
      <c r="O27" s="98">
        <v>0.371</v>
      </c>
      <c r="P27" s="42">
        <f t="shared" si="2"/>
        <v>14824.797843665769</v>
      </c>
      <c r="Q27" s="132"/>
      <c r="R27" s="131"/>
      <c r="S27" s="138"/>
      <c r="T27" s="132"/>
    </row>
    <row r="28" spans="1:20" x14ac:dyDescent="0.25">
      <c r="A28" s="117" t="s">
        <v>72</v>
      </c>
      <c r="B28" s="116">
        <v>41920.5</v>
      </c>
      <c r="C28" s="120">
        <f t="shared" si="8"/>
        <v>50.000000000058208</v>
      </c>
      <c r="D28" s="118">
        <f>C28*60</f>
        <v>3000.0000000034925</v>
      </c>
      <c r="E28" s="121">
        <f t="shared" si="12"/>
        <v>48</v>
      </c>
      <c r="F28" s="122">
        <f>E28*60</f>
        <v>2880</v>
      </c>
      <c r="G28" s="121" t="s">
        <v>64</v>
      </c>
      <c r="H28" s="122" t="s">
        <v>64</v>
      </c>
      <c r="I28" s="37" t="s">
        <v>27</v>
      </c>
      <c r="J28" s="35">
        <v>121</v>
      </c>
      <c r="K28" s="35">
        <v>20</v>
      </c>
      <c r="L28" s="26">
        <f t="shared" si="0"/>
        <v>6.05</v>
      </c>
      <c r="M28" s="26">
        <v>100</v>
      </c>
      <c r="N28" s="41">
        <f t="shared" si="1"/>
        <v>605</v>
      </c>
      <c r="O28" s="98">
        <v>0.371</v>
      </c>
      <c r="P28" s="42">
        <f t="shared" si="2"/>
        <v>1630.7277628032346</v>
      </c>
      <c r="Q28" s="131">
        <f>AVERAGE(P28:P29)</f>
        <v>15640.161725067386</v>
      </c>
      <c r="R28" s="131">
        <f>ABS(P28-P29)</f>
        <v>28018.867924528302</v>
      </c>
      <c r="S28" s="138">
        <f>-LOG(Q28/$Q$18)</f>
        <v>1.9073261316078201</v>
      </c>
      <c r="T28" s="132"/>
    </row>
    <row r="29" spans="1:20" x14ac:dyDescent="0.25">
      <c r="A29" s="117"/>
      <c r="B29" s="116"/>
      <c r="C29" s="120"/>
      <c r="D29" s="118"/>
      <c r="E29" s="121"/>
      <c r="F29" s="122"/>
      <c r="G29" s="121"/>
      <c r="H29" s="122"/>
      <c r="I29" s="37" t="s">
        <v>28</v>
      </c>
      <c r="J29" s="35">
        <f>AVERAGE(70,150)</f>
        <v>110</v>
      </c>
      <c r="K29" s="35">
        <v>1</v>
      </c>
      <c r="L29" s="26">
        <f t="shared" si="0"/>
        <v>110</v>
      </c>
      <c r="M29" s="26">
        <v>100</v>
      </c>
      <c r="N29" s="41">
        <f t="shared" si="1"/>
        <v>11000</v>
      </c>
      <c r="O29" s="98">
        <v>0.371</v>
      </c>
      <c r="P29" s="42">
        <f t="shared" si="2"/>
        <v>29649.595687331537</v>
      </c>
      <c r="Q29" s="132"/>
      <c r="R29" s="131"/>
      <c r="S29" s="138"/>
      <c r="T29" s="132"/>
    </row>
    <row r="30" spans="1:20" x14ac:dyDescent="0.25">
      <c r="A30" s="117" t="s">
        <v>73</v>
      </c>
      <c r="B30" s="116">
        <v>41921.5</v>
      </c>
      <c r="C30" s="117">
        <f t="shared" si="8"/>
        <v>74.000000000058208</v>
      </c>
      <c r="D30" s="118">
        <f>C30*60</f>
        <v>4440.0000000034925</v>
      </c>
      <c r="E30" s="121">
        <f t="shared" si="12"/>
        <v>72</v>
      </c>
      <c r="F30" s="122">
        <f>E30*60</f>
        <v>4320</v>
      </c>
      <c r="G30" s="121" t="s">
        <v>64</v>
      </c>
      <c r="H30" s="122" t="s">
        <v>64</v>
      </c>
      <c r="I30" s="37" t="s">
        <v>29</v>
      </c>
      <c r="J30" s="38">
        <f>AVERAGE(45,50)</f>
        <v>47.5</v>
      </c>
      <c r="K30" s="35">
        <v>1</v>
      </c>
      <c r="L30" s="26">
        <f t="shared" si="0"/>
        <v>47.5</v>
      </c>
      <c r="M30" s="26">
        <v>100</v>
      </c>
      <c r="N30" s="41">
        <f t="shared" si="1"/>
        <v>4750</v>
      </c>
      <c r="O30" s="98">
        <v>0.371</v>
      </c>
      <c r="P30" s="42">
        <f t="shared" si="2"/>
        <v>12803.23450134771</v>
      </c>
      <c r="Q30" s="126">
        <f>AVERAGE(P30:P31)</f>
        <v>7749.3261455525608</v>
      </c>
      <c r="R30" s="126">
        <f>ABS(P30-P31)</f>
        <v>10107.816711590298</v>
      </c>
      <c r="S30" s="133">
        <f t="shared" ref="S30" si="14">-LOG(Q30/$Q$18)</f>
        <v>2.2123034317101262</v>
      </c>
      <c r="T30" s="127" t="s">
        <v>104</v>
      </c>
    </row>
    <row r="31" spans="1:20" x14ac:dyDescent="0.25">
      <c r="A31" s="117"/>
      <c r="B31" s="116"/>
      <c r="C31" s="117"/>
      <c r="D31" s="118"/>
      <c r="E31" s="121"/>
      <c r="F31" s="122"/>
      <c r="G31" s="121"/>
      <c r="H31" s="122"/>
      <c r="I31" s="37" t="s">
        <v>30</v>
      </c>
      <c r="J31" s="35">
        <v>10</v>
      </c>
      <c r="K31" s="35">
        <v>1</v>
      </c>
      <c r="L31" s="26">
        <f t="shared" si="0"/>
        <v>10</v>
      </c>
      <c r="M31" s="26">
        <v>100</v>
      </c>
      <c r="N31" s="41">
        <f t="shared" si="1"/>
        <v>1000</v>
      </c>
      <c r="O31" s="98">
        <v>0.371</v>
      </c>
      <c r="P31" s="42">
        <f t="shared" si="2"/>
        <v>2695.4177897574123</v>
      </c>
      <c r="Q31" s="127"/>
      <c r="R31" s="126"/>
      <c r="S31" s="133"/>
      <c r="T31" s="127"/>
    </row>
    <row r="32" spans="1:20" x14ac:dyDescent="0.25">
      <c r="A32" s="117" t="s">
        <v>74</v>
      </c>
      <c r="B32" s="116">
        <v>41922.5</v>
      </c>
      <c r="C32" s="117">
        <f t="shared" si="8"/>
        <v>98.000000000058208</v>
      </c>
      <c r="D32" s="118">
        <f>C32*60</f>
        <v>5880.0000000034925</v>
      </c>
      <c r="E32" s="121">
        <f t="shared" si="12"/>
        <v>96</v>
      </c>
      <c r="F32" s="122">
        <f>E32*60</f>
        <v>5760</v>
      </c>
      <c r="G32" s="121" t="s">
        <v>64</v>
      </c>
      <c r="H32" s="122" t="s">
        <v>64</v>
      </c>
      <c r="I32" s="37" t="s">
        <v>31</v>
      </c>
      <c r="J32" s="35">
        <v>15</v>
      </c>
      <c r="K32" s="35">
        <v>1</v>
      </c>
      <c r="L32" s="26">
        <f t="shared" si="0"/>
        <v>15</v>
      </c>
      <c r="M32" s="26">
        <v>100</v>
      </c>
      <c r="N32" s="41">
        <f t="shared" si="1"/>
        <v>1500</v>
      </c>
      <c r="O32" s="98">
        <v>0.371</v>
      </c>
      <c r="P32" s="42">
        <f t="shared" si="2"/>
        <v>4043.1266846361186</v>
      </c>
      <c r="Q32" s="126">
        <f>AVERAGE(P32:P33)</f>
        <v>2574.1239892183289</v>
      </c>
      <c r="R32" s="126">
        <f>ABS(P32-P33)</f>
        <v>2938.0053908355794</v>
      </c>
      <c r="S32" s="133">
        <f t="shared" ref="S32" si="15">-LOG(Q32/$Q$18)</f>
        <v>2.6909379091520291</v>
      </c>
      <c r="T32" s="127"/>
    </row>
    <row r="33" spans="1:20" x14ac:dyDescent="0.25">
      <c r="A33" s="117"/>
      <c r="B33" s="116"/>
      <c r="C33" s="117"/>
      <c r="D33" s="118"/>
      <c r="E33" s="121"/>
      <c r="F33" s="122"/>
      <c r="G33" s="121"/>
      <c r="H33" s="122"/>
      <c r="I33" s="37" t="s">
        <v>32</v>
      </c>
      <c r="J33" s="35">
        <v>82</v>
      </c>
      <c r="K33" s="35">
        <v>20</v>
      </c>
      <c r="L33" s="26">
        <f t="shared" si="0"/>
        <v>4.0999999999999996</v>
      </c>
      <c r="M33" s="26">
        <v>100</v>
      </c>
      <c r="N33" s="41">
        <f t="shared" si="1"/>
        <v>409.99999999999994</v>
      </c>
      <c r="O33" s="98">
        <v>0.371</v>
      </c>
      <c r="P33" s="42">
        <f t="shared" si="2"/>
        <v>1105.121293800539</v>
      </c>
      <c r="Q33" s="127"/>
      <c r="R33" s="126"/>
      <c r="S33" s="133"/>
      <c r="T33" s="127"/>
    </row>
    <row r="34" spans="1:20" x14ac:dyDescent="0.25">
      <c r="I34" s="37"/>
      <c r="J34" s="37"/>
      <c r="K34" s="37"/>
      <c r="L34" s="26"/>
      <c r="M34" s="26"/>
      <c r="P34" s="42"/>
      <c r="Q34" s="42"/>
    </row>
    <row r="35" spans="1:20" x14ac:dyDescent="0.25">
      <c r="B35" s="30"/>
      <c r="P35" s="26"/>
      <c r="Q35" s="26"/>
    </row>
    <row r="36" spans="1:20" x14ac:dyDescent="0.25">
      <c r="P36" s="26"/>
      <c r="Q36" s="26"/>
    </row>
    <row r="38" spans="1:20" x14ac:dyDescent="0.25">
      <c r="G38" s="43"/>
      <c r="H38" s="44"/>
      <c r="I38" s="44"/>
      <c r="J38" s="44"/>
      <c r="K38" s="44"/>
      <c r="L38" s="44"/>
    </row>
    <row r="39" spans="1:20" x14ac:dyDescent="0.25">
      <c r="G39" s="43"/>
      <c r="H39" s="44"/>
      <c r="I39" s="44"/>
      <c r="J39" s="44"/>
      <c r="K39" s="44"/>
      <c r="L39" s="44"/>
    </row>
  </sheetData>
  <mergeCells count="132">
    <mergeCell ref="S32:S33"/>
    <mergeCell ref="T14:T15"/>
    <mergeCell ref="T16:T19"/>
    <mergeCell ref="T20:T25"/>
    <mergeCell ref="T26:T29"/>
    <mergeCell ref="T30:T33"/>
    <mergeCell ref="R32:R3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Q32:Q3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Q20:Q21"/>
    <mergeCell ref="Q22:Q23"/>
    <mergeCell ref="Q24:Q25"/>
    <mergeCell ref="Q26:Q27"/>
    <mergeCell ref="Q28:Q29"/>
    <mergeCell ref="Q30:Q31"/>
    <mergeCell ref="A11:B11"/>
    <mergeCell ref="C11:D11"/>
    <mergeCell ref="E11:F11"/>
    <mergeCell ref="Q14:Q15"/>
    <mergeCell ref="Q16:Q17"/>
    <mergeCell ref="Q18:Q19"/>
    <mergeCell ref="C6:D6"/>
    <mergeCell ref="E6:F6"/>
    <mergeCell ref="E7:F7"/>
    <mergeCell ref="E8:F8"/>
    <mergeCell ref="E9:F9"/>
    <mergeCell ref="A10:B10"/>
    <mergeCell ref="C10:D10"/>
    <mergeCell ref="E10:F10"/>
    <mergeCell ref="A7:B7"/>
    <mergeCell ref="C7:D7"/>
    <mergeCell ref="A8:B8"/>
    <mergeCell ref="C8:D8"/>
    <mergeCell ref="A9:B9"/>
    <mergeCell ref="C9:D9"/>
    <mergeCell ref="E16:E17"/>
    <mergeCell ref="F16:F17"/>
    <mergeCell ref="E18:E19"/>
    <mergeCell ref="F18:F19"/>
    <mergeCell ref="G28:G29"/>
    <mergeCell ref="H28:H29"/>
    <mergeCell ref="G30:G31"/>
    <mergeCell ref="H30:H31"/>
    <mergeCell ref="G32:G33"/>
    <mergeCell ref="H32:H33"/>
    <mergeCell ref="G22:G23"/>
    <mergeCell ref="H22:H23"/>
    <mergeCell ref="G24:G25"/>
    <mergeCell ref="H24:H25"/>
    <mergeCell ref="G26:G27"/>
    <mergeCell ref="H26:H27"/>
    <mergeCell ref="E32:E33"/>
    <mergeCell ref="F32:F33"/>
    <mergeCell ref="G14:G15"/>
    <mergeCell ref="H14:H15"/>
    <mergeCell ref="G16:G17"/>
    <mergeCell ref="H16:H17"/>
    <mergeCell ref="G18:G19"/>
    <mergeCell ref="H18:H19"/>
    <mergeCell ref="G20:G21"/>
    <mergeCell ref="H20:H21"/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C32:C33"/>
    <mergeCell ref="D18:D19"/>
    <mergeCell ref="D20:D21"/>
    <mergeCell ref="D22:D23"/>
    <mergeCell ref="D24:D25"/>
    <mergeCell ref="D26:D27"/>
    <mergeCell ref="D28:D29"/>
    <mergeCell ref="D30:D31"/>
    <mergeCell ref="D32:D33"/>
    <mergeCell ref="C18:C19"/>
    <mergeCell ref="C20:C21"/>
    <mergeCell ref="C22:C23"/>
    <mergeCell ref="C24:C25"/>
    <mergeCell ref="C26:C27"/>
    <mergeCell ref="C28:C29"/>
    <mergeCell ref="A32:A33"/>
    <mergeCell ref="B18:B19"/>
    <mergeCell ref="B20:B21"/>
    <mergeCell ref="B22:B23"/>
    <mergeCell ref="B24:B25"/>
    <mergeCell ref="B26:B27"/>
    <mergeCell ref="B28:B29"/>
    <mergeCell ref="B30:B31"/>
    <mergeCell ref="B32:B33"/>
    <mergeCell ref="A18:A19"/>
    <mergeCell ref="A20:A21"/>
    <mergeCell ref="A22:A23"/>
    <mergeCell ref="A24:A25"/>
    <mergeCell ref="A26:A27"/>
    <mergeCell ref="A28:A29"/>
    <mergeCell ref="A14:A15"/>
    <mergeCell ref="B14:B15"/>
    <mergeCell ref="D14:D15"/>
    <mergeCell ref="C14:C15"/>
    <mergeCell ref="A16:A17"/>
    <mergeCell ref="B16:B17"/>
    <mergeCell ref="C16:C17"/>
    <mergeCell ref="D16:D17"/>
    <mergeCell ref="A30:A31"/>
    <mergeCell ref="C30:C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A13" workbookViewId="0">
      <selection sqref="A1:A2"/>
    </sheetView>
  </sheetViews>
  <sheetFormatPr defaultRowHeight="15" x14ac:dyDescent="0.25"/>
  <cols>
    <col min="1" max="1" width="23" style="25" customWidth="1"/>
    <col min="2" max="2" width="13" style="25" customWidth="1"/>
    <col min="3" max="3" width="10.42578125" style="25" customWidth="1"/>
    <col min="4" max="4" width="11.7109375" style="25" bestFit="1" customWidth="1"/>
    <col min="5" max="5" width="10.7109375" style="25" customWidth="1"/>
    <col min="6" max="27" width="9.140625" style="25"/>
    <col min="28" max="28" width="9.140625" style="99"/>
    <col min="29" max="16384" width="9.140625" style="25"/>
  </cols>
  <sheetData>
    <row r="1" spans="1:32" s="112" customFormat="1" x14ac:dyDescent="0.25">
      <c r="A1" s="112" t="s">
        <v>157</v>
      </c>
    </row>
    <row r="2" spans="1:32" s="112" customFormat="1" ht="18" x14ac:dyDescent="0.25">
      <c r="A2" s="141" t="s">
        <v>158</v>
      </c>
    </row>
    <row r="3" spans="1:32" x14ac:dyDescent="0.25">
      <c r="A3" s="140" t="s">
        <v>141</v>
      </c>
      <c r="B3" s="140"/>
      <c r="C3" s="140"/>
      <c r="D3" s="140"/>
      <c r="E3" s="140"/>
      <c r="AA3" s="139" t="s">
        <v>151</v>
      </c>
      <c r="AB3" s="139"/>
      <c r="AC3" s="139"/>
      <c r="AD3" s="139" t="s">
        <v>152</v>
      </c>
      <c r="AE3" s="139"/>
    </row>
    <row r="4" spans="1:32" ht="45" x14ac:dyDescent="0.25">
      <c r="A4" s="25" t="s">
        <v>131</v>
      </c>
      <c r="B4" s="88" t="s">
        <v>127</v>
      </c>
      <c r="C4" s="88" t="s">
        <v>128</v>
      </c>
      <c r="D4" s="88" t="s">
        <v>129</v>
      </c>
      <c r="E4" s="88" t="s">
        <v>94</v>
      </c>
      <c r="F4" s="88"/>
      <c r="G4" s="88"/>
      <c r="H4" s="88"/>
      <c r="AA4" s="100" t="s">
        <v>147</v>
      </c>
      <c r="AB4" s="35"/>
      <c r="AC4" s="35" t="s">
        <v>148</v>
      </c>
      <c r="AD4" s="99" t="s">
        <v>150</v>
      </c>
      <c r="AE4" s="25" t="s">
        <v>155</v>
      </c>
      <c r="AF4" s="25" t="s">
        <v>153</v>
      </c>
    </row>
    <row r="5" spans="1:32" ht="17.25" x14ac:dyDescent="0.25">
      <c r="B5" s="25" t="s">
        <v>66</v>
      </c>
      <c r="C5" s="25" t="s">
        <v>130</v>
      </c>
      <c r="D5" s="25" t="s">
        <v>130</v>
      </c>
      <c r="O5" s="97" t="s">
        <v>133</v>
      </c>
      <c r="AA5" s="100" t="s">
        <v>67</v>
      </c>
      <c r="AB5" s="35" t="s">
        <v>154</v>
      </c>
      <c r="AC5" s="35" t="s">
        <v>149</v>
      </c>
      <c r="AD5" s="99">
        <v>15</v>
      </c>
      <c r="AE5" s="25">
        <f>(AD5+120)/60</f>
        <v>2.25</v>
      </c>
      <c r="AF5" s="99">
        <v>29.8</v>
      </c>
    </row>
    <row r="6" spans="1:32" x14ac:dyDescent="0.25">
      <c r="A6" s="88" t="s">
        <v>132</v>
      </c>
      <c r="B6" s="72">
        <f>'Pipe Decon-Coupons'!C14</f>
        <v>0</v>
      </c>
      <c r="C6" s="93">
        <v>0</v>
      </c>
      <c r="D6" s="93">
        <f>'Pipe Decon-Coupons'!R14</f>
        <v>13.477088948787062</v>
      </c>
      <c r="E6" s="25">
        <v>0</v>
      </c>
      <c r="O6" s="95">
        <v>2</v>
      </c>
      <c r="P6" s="95">
        <v>0</v>
      </c>
      <c r="AA6" s="102">
        <v>0</v>
      </c>
      <c r="AB6" s="110">
        <f>AA6/60</f>
        <v>0</v>
      </c>
      <c r="AC6" s="101">
        <v>1</v>
      </c>
      <c r="AD6" s="99">
        <v>30</v>
      </c>
      <c r="AE6" s="99">
        <f t="shared" ref="AE6:AE14" si="0">(AD6+120)/60</f>
        <v>2.5</v>
      </c>
      <c r="AF6" s="99">
        <v>30.1</v>
      </c>
    </row>
    <row r="7" spans="1:32" x14ac:dyDescent="0.25">
      <c r="A7" s="117" t="s">
        <v>133</v>
      </c>
      <c r="B7" s="72">
        <f>'Pipe Decon-Coupons'!C16</f>
        <v>1.1666666668024845</v>
      </c>
      <c r="C7" s="93">
        <f>'Pipe Decon-Coupons'!Q16</f>
        <v>9514.8247978436666</v>
      </c>
      <c r="D7" s="93">
        <f>'Pipe Decon-Coupons'!R16</f>
        <v>14663.072776280324</v>
      </c>
      <c r="E7" s="25">
        <v>0</v>
      </c>
      <c r="O7" s="95">
        <v>2</v>
      </c>
      <c r="P7" s="95">
        <v>3</v>
      </c>
      <c r="AA7" s="103">
        <v>5</v>
      </c>
      <c r="AB7" s="110">
        <f t="shared" ref="AB7:AB21" si="1">AA7/60</f>
        <v>8.3333333333333329E-2</v>
      </c>
      <c r="AC7" s="105"/>
      <c r="AD7" s="99">
        <v>60</v>
      </c>
      <c r="AE7" s="99">
        <f t="shared" si="0"/>
        <v>3</v>
      </c>
      <c r="AF7" s="99">
        <v>31.4</v>
      </c>
    </row>
    <row r="8" spans="1:32" x14ac:dyDescent="0.25">
      <c r="A8" s="117"/>
      <c r="B8" s="72">
        <f>'Pipe Decon-Coupons'!C18</f>
        <v>1.5</v>
      </c>
      <c r="C8" s="93">
        <f>'Pipe Decon-Coupons'!Q18</f>
        <v>1263477.0889487872</v>
      </c>
      <c r="D8" s="93">
        <f>'Pipe Decon-Coupons'!R18</f>
        <v>1718328.8409703504</v>
      </c>
      <c r="E8" s="72">
        <f>-LOG(D8/$D$8)</f>
        <v>0</v>
      </c>
      <c r="O8" s="25" t="s">
        <v>144</v>
      </c>
      <c r="AA8" s="104">
        <v>120</v>
      </c>
      <c r="AB8" s="110">
        <f t="shared" si="1"/>
        <v>2</v>
      </c>
      <c r="AC8" s="109">
        <v>51500</v>
      </c>
      <c r="AD8" s="99">
        <v>90</v>
      </c>
      <c r="AE8" s="99">
        <f t="shared" si="0"/>
        <v>3.5</v>
      </c>
      <c r="AF8" s="99">
        <v>30.5</v>
      </c>
    </row>
    <row r="9" spans="1:32" x14ac:dyDescent="0.25">
      <c r="A9" s="117" t="s">
        <v>134</v>
      </c>
      <c r="B9" s="72">
        <f>'Pipe Decon-Coupons'!C20</f>
        <v>3.3333333333721384</v>
      </c>
      <c r="C9" s="93">
        <f>'Pipe Decon-Coupons'!Q20</f>
        <v>12803.23450134771</v>
      </c>
      <c r="D9" s="93">
        <f>'Pipe Decon-Coupons'!R20</f>
        <v>2695.4177897574136</v>
      </c>
      <c r="E9" s="72">
        <f t="shared" ref="E9:E15" si="2">-LOG(D9/$D$8)</f>
        <v>2.8044801891059925</v>
      </c>
      <c r="O9" s="95">
        <v>26</v>
      </c>
      <c r="P9" s="95">
        <v>0</v>
      </c>
      <c r="AA9" s="103">
        <v>135</v>
      </c>
      <c r="AB9" s="110">
        <f t="shared" si="1"/>
        <v>2.25</v>
      </c>
      <c r="AC9" s="105"/>
      <c r="AD9" s="99">
        <v>120</v>
      </c>
      <c r="AE9" s="99">
        <f t="shared" si="0"/>
        <v>4</v>
      </c>
      <c r="AF9" s="99">
        <v>30.2</v>
      </c>
    </row>
    <row r="10" spans="1:32" x14ac:dyDescent="0.25">
      <c r="A10" s="117"/>
      <c r="B10" s="72">
        <f>'Pipe Decon-Coupons'!C22</f>
        <v>6.5000000000582077</v>
      </c>
      <c r="C10" s="93">
        <f>'Pipe Decon-Coupons'!Q22</f>
        <v>18194.070080862533</v>
      </c>
      <c r="D10" s="93">
        <f>'Pipe Decon-Coupons'!R22</f>
        <v>14824.79784366577</v>
      </c>
      <c r="E10" s="72">
        <f t="shared" si="2"/>
        <v>2.0641174996117488</v>
      </c>
      <c r="O10" s="95">
        <v>26</v>
      </c>
      <c r="P10" s="95">
        <v>3</v>
      </c>
      <c r="AA10" s="106">
        <v>150</v>
      </c>
      <c r="AB10" s="110">
        <f t="shared" si="1"/>
        <v>2.5</v>
      </c>
      <c r="AC10" s="89">
        <v>250.05</v>
      </c>
      <c r="AD10" s="99">
        <v>180</v>
      </c>
      <c r="AE10" s="99">
        <f t="shared" si="0"/>
        <v>5</v>
      </c>
      <c r="AF10" s="99">
        <v>32.299999999999997</v>
      </c>
    </row>
    <row r="11" spans="1:32" x14ac:dyDescent="0.25">
      <c r="A11" s="117"/>
      <c r="B11" s="72">
        <f>'Pipe Decon-Coupons'!C24</f>
        <v>25.333333333313931</v>
      </c>
      <c r="C11" s="93">
        <f>'Pipe Decon-Coupons'!Q24</f>
        <v>33692.722371967655</v>
      </c>
      <c r="D11" s="93">
        <f>'Pipe Decon-Coupons'!R24</f>
        <v>16172.506738544471</v>
      </c>
      <c r="E11" s="72">
        <f t="shared" si="2"/>
        <v>2.0263289387223491</v>
      </c>
      <c r="O11" s="25" t="s">
        <v>145</v>
      </c>
      <c r="AA11" s="107">
        <v>180</v>
      </c>
      <c r="AB11" s="110">
        <f t="shared" si="1"/>
        <v>3</v>
      </c>
      <c r="AC11" s="89">
        <v>250.05</v>
      </c>
      <c r="AD11" s="99">
        <v>240</v>
      </c>
      <c r="AE11" s="99">
        <f t="shared" si="0"/>
        <v>6</v>
      </c>
      <c r="AF11" s="99">
        <v>28.1</v>
      </c>
    </row>
    <row r="12" spans="1:32" x14ac:dyDescent="0.25">
      <c r="A12" s="139" t="s">
        <v>135</v>
      </c>
      <c r="B12" s="72">
        <f>'Pipe Decon-Coupons'!C26</f>
        <v>29.000000000058208</v>
      </c>
      <c r="C12" s="93">
        <f>'Pipe Decon-Coupons'!Q26</f>
        <v>9433.9622641509432</v>
      </c>
      <c r="D12" s="93">
        <f>'Pipe Decon-Coupons'!R26</f>
        <v>10781.671159029651</v>
      </c>
      <c r="E12" s="72">
        <f t="shared" si="2"/>
        <v>2.2024201977780304</v>
      </c>
      <c r="O12" s="95">
        <v>50</v>
      </c>
      <c r="P12" s="95">
        <v>0</v>
      </c>
      <c r="AA12" s="106">
        <v>210</v>
      </c>
      <c r="AB12" s="110">
        <f t="shared" si="1"/>
        <v>3.5</v>
      </c>
      <c r="AC12" s="89">
        <v>1</v>
      </c>
      <c r="AD12" s="99">
        <v>360</v>
      </c>
      <c r="AE12" s="99">
        <f t="shared" si="0"/>
        <v>8</v>
      </c>
      <c r="AF12" s="99">
        <v>27.4</v>
      </c>
    </row>
    <row r="13" spans="1:32" x14ac:dyDescent="0.25">
      <c r="A13" s="139"/>
      <c r="B13" s="72">
        <f>'Pipe Decon-Coupons'!C28</f>
        <v>50.000000000058208</v>
      </c>
      <c r="C13" s="93">
        <f>'Pipe Decon-Coupons'!Q28</f>
        <v>15640.161725067386</v>
      </c>
      <c r="D13" s="93">
        <f>'Pipe Decon-Coupons'!R28</f>
        <v>28018.867924528302</v>
      </c>
      <c r="E13" s="72">
        <f t="shared" si="2"/>
        <v>1.7876556954385048</v>
      </c>
      <c r="O13" s="95">
        <v>50</v>
      </c>
      <c r="P13" s="95">
        <v>3</v>
      </c>
      <c r="AA13" s="107">
        <v>240</v>
      </c>
      <c r="AB13" s="110">
        <f t="shared" si="1"/>
        <v>4</v>
      </c>
      <c r="AC13" s="89">
        <v>1</v>
      </c>
      <c r="AD13" s="99">
        <v>1080</v>
      </c>
      <c r="AE13" s="99">
        <f t="shared" si="0"/>
        <v>20</v>
      </c>
      <c r="AF13" s="99">
        <v>28.1</v>
      </c>
    </row>
    <row r="14" spans="1:32" x14ac:dyDescent="0.25">
      <c r="A14" s="117" t="s">
        <v>136</v>
      </c>
      <c r="B14" s="72">
        <f>'Pipe Decon-Coupons'!C30</f>
        <v>74.000000000058208</v>
      </c>
      <c r="C14" s="93">
        <f>'Pipe Decon-Coupons'!Q30</f>
        <v>7749.3261455525608</v>
      </c>
      <c r="D14" s="93">
        <f>'Pipe Decon-Coupons'!R30</f>
        <v>10107.816711590298</v>
      </c>
      <c r="E14" s="72">
        <f t="shared" si="2"/>
        <v>2.2304489213782737</v>
      </c>
      <c r="O14" s="25" t="s">
        <v>146</v>
      </c>
      <c r="P14" s="95"/>
      <c r="AA14" s="107">
        <v>300</v>
      </c>
      <c r="AB14" s="110">
        <f t="shared" si="1"/>
        <v>5</v>
      </c>
      <c r="AC14" s="89">
        <v>1</v>
      </c>
      <c r="AD14" s="99">
        <v>1320</v>
      </c>
      <c r="AE14" s="99">
        <f t="shared" si="0"/>
        <v>24</v>
      </c>
      <c r="AF14" s="99">
        <v>23.5</v>
      </c>
    </row>
    <row r="15" spans="1:32" x14ac:dyDescent="0.25">
      <c r="A15" s="117"/>
      <c r="B15" s="72">
        <f>'Pipe Decon-Coupons'!C32</f>
        <v>98.000000000058208</v>
      </c>
      <c r="C15" s="93">
        <f>'Pipe Decon-Coupons'!Q32</f>
        <v>2574.1239892183289</v>
      </c>
      <c r="D15" s="93">
        <f>'Pipe Decon-Coupons'!R32</f>
        <v>2938.0053908355794</v>
      </c>
      <c r="E15" s="72">
        <f t="shared" si="2"/>
        <v>2.7670536911653691</v>
      </c>
      <c r="O15" s="95">
        <v>100</v>
      </c>
      <c r="P15" s="95">
        <v>0</v>
      </c>
      <c r="AA15" s="107">
        <v>360</v>
      </c>
      <c r="AB15" s="110">
        <f t="shared" si="1"/>
        <v>6</v>
      </c>
      <c r="AC15" s="89">
        <v>1</v>
      </c>
      <c r="AD15" s="25">
        <v>1560</v>
      </c>
      <c r="AE15" s="25">
        <f>AD15/60</f>
        <v>26</v>
      </c>
      <c r="AF15" s="25">
        <v>0</v>
      </c>
    </row>
    <row r="16" spans="1:32" s="94" customFormat="1" x14ac:dyDescent="0.25">
      <c r="A16" s="91"/>
      <c r="B16" s="72"/>
      <c r="C16" s="93"/>
      <c r="D16" s="93"/>
      <c r="E16" s="72"/>
      <c r="O16" s="95">
        <v>100</v>
      </c>
      <c r="P16" s="95">
        <v>3</v>
      </c>
      <c r="AA16" s="107">
        <v>480</v>
      </c>
      <c r="AB16" s="110">
        <f t="shared" si="1"/>
        <v>8</v>
      </c>
      <c r="AC16" s="89">
        <v>1</v>
      </c>
    </row>
    <row r="17" spans="1:29" x14ac:dyDescent="0.25">
      <c r="A17" s="140" t="s">
        <v>142</v>
      </c>
      <c r="B17" s="140"/>
      <c r="C17" s="140"/>
      <c r="D17" s="140"/>
      <c r="E17" s="140"/>
      <c r="AA17" s="107">
        <v>1200</v>
      </c>
      <c r="AB17" s="110">
        <f t="shared" si="1"/>
        <v>20</v>
      </c>
      <c r="AC17" s="89">
        <v>1</v>
      </c>
    </row>
    <row r="18" spans="1:29" ht="45" x14ac:dyDescent="0.25">
      <c r="A18" s="94" t="s">
        <v>131</v>
      </c>
      <c r="B18" s="91" t="s">
        <v>127</v>
      </c>
      <c r="C18" s="91" t="s">
        <v>138</v>
      </c>
      <c r="D18" s="91" t="s">
        <v>129</v>
      </c>
      <c r="E18" s="91" t="s">
        <v>94</v>
      </c>
      <c r="AA18" s="104">
        <v>1440</v>
      </c>
      <c r="AB18" s="110">
        <f t="shared" si="1"/>
        <v>24</v>
      </c>
      <c r="AC18" s="89">
        <v>1</v>
      </c>
    </row>
    <row r="19" spans="1:29" x14ac:dyDescent="0.25">
      <c r="B19" s="94" t="s">
        <v>66</v>
      </c>
      <c r="C19" s="94" t="s">
        <v>137</v>
      </c>
      <c r="D19" s="94" t="s">
        <v>139</v>
      </c>
      <c r="O19" s="97" t="s">
        <v>133</v>
      </c>
      <c r="P19" s="95"/>
      <c r="AA19" s="108">
        <v>1560</v>
      </c>
      <c r="AB19" s="110">
        <f t="shared" si="1"/>
        <v>26</v>
      </c>
      <c r="AC19" s="89">
        <v>1</v>
      </c>
    </row>
    <row r="20" spans="1:29" x14ac:dyDescent="0.25">
      <c r="A20" s="91" t="s">
        <v>132</v>
      </c>
      <c r="B20" s="25">
        <f>'Pipe Decon-Water'!C15</f>
        <v>0</v>
      </c>
      <c r="C20" s="93">
        <f>'Pipe Decon-Water'!P15</f>
        <v>2.6666666666666668E-2</v>
      </c>
      <c r="D20" s="93">
        <f>C20*100</f>
        <v>2.666666666666667</v>
      </c>
      <c r="O20" s="95">
        <v>2</v>
      </c>
      <c r="P20" s="95">
        <v>0</v>
      </c>
      <c r="AA20" s="107">
        <v>1680</v>
      </c>
      <c r="AB20" s="110">
        <f t="shared" si="1"/>
        <v>28</v>
      </c>
      <c r="AC20" s="89">
        <v>1</v>
      </c>
    </row>
    <row r="21" spans="1:29" x14ac:dyDescent="0.25">
      <c r="A21" s="117" t="s">
        <v>133</v>
      </c>
      <c r="B21" s="72">
        <f>'Pipe Decon-Water'!C16</f>
        <v>1.1666666668024845</v>
      </c>
      <c r="C21" s="93">
        <f>'Pipe Decon-Water'!P16</f>
        <v>700000</v>
      </c>
      <c r="D21" s="93">
        <f t="shared" ref="D21:D34" si="3">C21*100</f>
        <v>70000000</v>
      </c>
      <c r="O21" s="95">
        <v>2</v>
      </c>
      <c r="P21" s="95">
        <v>9</v>
      </c>
      <c r="AA21" s="104">
        <v>2760</v>
      </c>
      <c r="AB21" s="110">
        <f t="shared" si="1"/>
        <v>46</v>
      </c>
      <c r="AC21" s="89">
        <v>1</v>
      </c>
    </row>
    <row r="22" spans="1:29" x14ac:dyDescent="0.25">
      <c r="A22" s="117"/>
      <c r="B22" s="72">
        <f>'Pipe Decon-Water'!C17</f>
        <v>1.5</v>
      </c>
      <c r="C22" s="93">
        <f>'Pipe Decon-Water'!P17</f>
        <v>1000000</v>
      </c>
      <c r="D22" s="93">
        <f t="shared" si="3"/>
        <v>100000000</v>
      </c>
      <c r="E22" s="72">
        <f>-LOG(D22/$D$22)</f>
        <v>0</v>
      </c>
      <c r="O22" s="95" t="s">
        <v>144</v>
      </c>
      <c r="P22" s="95"/>
    </row>
    <row r="23" spans="1:29" x14ac:dyDescent="0.25">
      <c r="A23" s="117" t="s">
        <v>134</v>
      </c>
      <c r="B23" s="72">
        <f>'Pipe Decon-Water'!C18</f>
        <v>3.3333333333721384</v>
      </c>
      <c r="C23" s="93">
        <f>'Pipe Decon-Water'!P18</f>
        <v>20</v>
      </c>
      <c r="D23" s="93">
        <f t="shared" si="3"/>
        <v>2000</v>
      </c>
      <c r="E23" s="72">
        <f t="shared" ref="E23:E34" si="4">-LOG(D23/$D$22)</f>
        <v>4.6989700043360187</v>
      </c>
      <c r="O23" s="95">
        <v>26</v>
      </c>
      <c r="P23" s="95">
        <v>0</v>
      </c>
    </row>
    <row r="24" spans="1:29" x14ac:dyDescent="0.25">
      <c r="A24" s="117"/>
      <c r="B24" s="72">
        <f>'Pipe Decon-Water'!C19</f>
        <v>4.3333333333139308</v>
      </c>
      <c r="C24" s="93">
        <f>'Pipe Decon-Water'!P19</f>
        <v>0.32941176470588235</v>
      </c>
      <c r="D24" s="93">
        <f t="shared" si="3"/>
        <v>32.941176470588232</v>
      </c>
      <c r="E24" s="72">
        <f t="shared" si="4"/>
        <v>6.4822608943720734</v>
      </c>
      <c r="O24" s="95">
        <v>26</v>
      </c>
      <c r="P24" s="95">
        <v>9</v>
      </c>
    </row>
    <row r="25" spans="1:29" x14ac:dyDescent="0.25">
      <c r="A25" s="117"/>
      <c r="B25" s="72">
        <f>'Pipe Decon-Water'!C20</f>
        <v>5.3333333334303461</v>
      </c>
      <c r="C25" s="93">
        <f>'Pipe Decon-Water'!P20</f>
        <v>1</v>
      </c>
      <c r="D25" s="93">
        <f t="shared" si="3"/>
        <v>100</v>
      </c>
      <c r="E25" s="72">
        <f t="shared" si="4"/>
        <v>6</v>
      </c>
      <c r="O25" s="95" t="s">
        <v>145</v>
      </c>
      <c r="P25" s="95"/>
    </row>
    <row r="26" spans="1:29" x14ac:dyDescent="0.25">
      <c r="A26" s="117"/>
      <c r="B26" s="72">
        <f>'Pipe Decon-Water'!C21</f>
        <v>6.4166666668024845</v>
      </c>
      <c r="C26" s="93">
        <f>'Pipe Decon-Water'!P21</f>
        <v>1.4285714285714285E-2</v>
      </c>
      <c r="D26" s="93">
        <f t="shared" si="3"/>
        <v>1.4285714285714286</v>
      </c>
      <c r="E26" s="72">
        <f t="shared" si="4"/>
        <v>7.8450980400142569</v>
      </c>
      <c r="O26" s="95">
        <v>50</v>
      </c>
      <c r="P26" s="95">
        <v>0</v>
      </c>
    </row>
    <row r="27" spans="1:29" x14ac:dyDescent="0.25">
      <c r="A27" s="117"/>
      <c r="B27" s="72">
        <f>'Pipe Decon-Water'!C22</f>
        <v>7.3333333333139308</v>
      </c>
      <c r="C27" s="93">
        <f>'Pipe Decon-Water'!P22</f>
        <v>1.6666666666666666E-2</v>
      </c>
      <c r="D27" s="93">
        <f t="shared" si="3"/>
        <v>1.6666666666666667</v>
      </c>
      <c r="E27" s="72">
        <f t="shared" si="4"/>
        <v>7.7781512503836439</v>
      </c>
      <c r="O27" s="95">
        <v>50</v>
      </c>
      <c r="P27" s="95">
        <v>9</v>
      </c>
    </row>
    <row r="28" spans="1:29" x14ac:dyDescent="0.25">
      <c r="A28" s="117"/>
      <c r="B28" s="72">
        <f>'Pipe Decon-Water'!C23</f>
        <v>25.333333333313931</v>
      </c>
      <c r="C28" s="93">
        <f>'Pipe Decon-Water'!P23</f>
        <v>0.05</v>
      </c>
      <c r="D28" s="93">
        <f t="shared" si="3"/>
        <v>5</v>
      </c>
      <c r="E28" s="72">
        <f t="shared" si="4"/>
        <v>7.3010299956639813</v>
      </c>
      <c r="O28" s="95" t="s">
        <v>146</v>
      </c>
      <c r="P28" s="95"/>
    </row>
    <row r="29" spans="1:29" x14ac:dyDescent="0.25">
      <c r="A29" s="117" t="s">
        <v>135</v>
      </c>
      <c r="B29" s="72">
        <f>'Pipe Decon-Water'!C24</f>
        <v>29.000000000058208</v>
      </c>
      <c r="C29" s="93">
        <f>'Pipe Decon-Water'!P24</f>
        <v>0.05</v>
      </c>
      <c r="D29" s="93">
        <f t="shared" si="3"/>
        <v>5</v>
      </c>
      <c r="E29" s="72">
        <f t="shared" si="4"/>
        <v>7.3010299956639813</v>
      </c>
      <c r="O29" s="95">
        <v>100</v>
      </c>
      <c r="P29" s="95">
        <v>0</v>
      </c>
    </row>
    <row r="30" spans="1:29" x14ac:dyDescent="0.25">
      <c r="A30" s="117"/>
      <c r="B30" s="72">
        <f>'Pipe Decon-Water'!C25</f>
        <v>49.833333333372138</v>
      </c>
      <c r="C30" s="93">
        <f>'Pipe Decon-Water'!P25</f>
        <v>0.05</v>
      </c>
      <c r="D30" s="93">
        <f t="shared" si="3"/>
        <v>5</v>
      </c>
      <c r="E30" s="72">
        <f t="shared" si="4"/>
        <v>7.3010299956639813</v>
      </c>
      <c r="O30" s="95">
        <v>100</v>
      </c>
      <c r="P30" s="95">
        <v>9</v>
      </c>
    </row>
    <row r="31" spans="1:29" x14ac:dyDescent="0.25">
      <c r="A31" s="117" t="s">
        <v>140</v>
      </c>
      <c r="B31" s="94">
        <f>'Pipe Decon-Water'!C26</f>
        <v>74.000000000058208</v>
      </c>
      <c r="C31" s="93">
        <f>'Pipe Decon-Water'!P29</f>
        <v>2.0909090909090908E-2</v>
      </c>
      <c r="D31" s="93">
        <f t="shared" si="3"/>
        <v>2.0909090909090908</v>
      </c>
      <c r="E31" s="72">
        <f t="shared" si="4"/>
        <v>7.6796648491406323</v>
      </c>
    </row>
    <row r="32" spans="1:29" x14ac:dyDescent="0.25">
      <c r="A32" s="117"/>
      <c r="B32" s="94">
        <f>'Pipe Decon-Water'!C27</f>
        <v>98.000000000058208</v>
      </c>
      <c r="C32" s="93">
        <f>'Pipe Decon-Water'!P30</f>
        <v>7.8787878787878775E-3</v>
      </c>
      <c r="D32" s="93">
        <f t="shared" si="3"/>
        <v>0.78787878787878773</v>
      </c>
      <c r="E32" s="72">
        <f t="shared" si="4"/>
        <v>8.1035405919070698</v>
      </c>
    </row>
    <row r="33" spans="1:16" x14ac:dyDescent="0.25">
      <c r="A33" s="117"/>
      <c r="B33" s="94">
        <f>'Pipe Decon-Water'!C31</f>
        <v>218.00000000005821</v>
      </c>
      <c r="C33" s="93">
        <f>'Pipe Decon-Water'!P31</f>
        <v>3.1818181818181815E-3</v>
      </c>
      <c r="D33" s="93">
        <f t="shared" si="3"/>
        <v>0.31818181818181812</v>
      </c>
      <c r="E33" s="72">
        <f t="shared" si="4"/>
        <v>8.4973246408079497</v>
      </c>
    </row>
    <row r="34" spans="1:16" x14ac:dyDescent="0.25">
      <c r="A34" s="117"/>
      <c r="B34" s="25">
        <f>'Pipe Decon-Water'!C32</f>
        <v>396</v>
      </c>
      <c r="C34" s="93">
        <f>'Pipe Decon-Water'!P32</f>
        <v>1.7272727272727273E-2</v>
      </c>
      <c r="D34" s="93">
        <f t="shared" si="3"/>
        <v>1.7272727272727273</v>
      </c>
      <c r="E34" s="72">
        <f t="shared" si="4"/>
        <v>7.7626390842053965</v>
      </c>
      <c r="O34" s="97" t="s">
        <v>133</v>
      </c>
      <c r="P34" s="95"/>
    </row>
    <row r="35" spans="1:16" x14ac:dyDescent="0.25">
      <c r="O35" s="95">
        <v>2</v>
      </c>
      <c r="P35" s="95">
        <v>0</v>
      </c>
    </row>
    <row r="36" spans="1:16" x14ac:dyDescent="0.25">
      <c r="A36" s="139" t="s">
        <v>143</v>
      </c>
      <c r="B36" s="139"/>
      <c r="C36" s="139"/>
      <c r="D36" s="139"/>
      <c r="E36" s="139"/>
      <c r="O36" s="95">
        <v>2</v>
      </c>
      <c r="P36" s="95">
        <v>9</v>
      </c>
    </row>
    <row r="37" spans="1:16" ht="48" x14ac:dyDescent="0.25">
      <c r="A37" s="94" t="s">
        <v>131</v>
      </c>
      <c r="B37" s="91" t="s">
        <v>127</v>
      </c>
      <c r="C37" s="90" t="s">
        <v>117</v>
      </c>
      <c r="O37" s="95" t="s">
        <v>144</v>
      </c>
      <c r="P37" s="95"/>
    </row>
    <row r="38" spans="1:16" x14ac:dyDescent="0.25">
      <c r="B38" s="94" t="s">
        <v>66</v>
      </c>
      <c r="C38" s="94" t="s">
        <v>65</v>
      </c>
      <c r="D38" s="72"/>
      <c r="O38" s="95">
        <v>26</v>
      </c>
      <c r="P38" s="95">
        <v>0</v>
      </c>
    </row>
    <row r="39" spans="1:16" x14ac:dyDescent="0.25">
      <c r="B39" s="72">
        <v>2</v>
      </c>
      <c r="C39" s="25">
        <f>'Disinfectant Concentration'!D11</f>
        <v>0</v>
      </c>
      <c r="D39" s="72"/>
      <c r="O39" s="95">
        <v>26</v>
      </c>
      <c r="P39" s="95">
        <v>9</v>
      </c>
    </row>
    <row r="40" spans="1:16" x14ac:dyDescent="0.25">
      <c r="B40" s="72">
        <f>'Disinfectant Concentration'!E12</f>
        <v>2.7500000000582077</v>
      </c>
      <c r="C40" s="94">
        <f>'Disinfectant Concentration'!D12</f>
        <v>110</v>
      </c>
      <c r="D40" s="72"/>
      <c r="O40" s="95" t="s">
        <v>145</v>
      </c>
      <c r="P40" s="95"/>
    </row>
    <row r="41" spans="1:16" x14ac:dyDescent="0.25">
      <c r="B41" s="72">
        <f>'Disinfectant Concentration'!E13</f>
        <v>2.9500000000116415</v>
      </c>
      <c r="C41" s="94">
        <f>'Disinfectant Concentration'!D13</f>
        <v>105</v>
      </c>
      <c r="D41" s="72"/>
      <c r="O41" s="95">
        <v>50</v>
      </c>
      <c r="P41" s="95">
        <v>0</v>
      </c>
    </row>
    <row r="42" spans="1:16" x14ac:dyDescent="0.25">
      <c r="B42" s="72">
        <f>'Disinfectant Concentration'!E14</f>
        <v>4.3333333333139308</v>
      </c>
      <c r="C42" s="94">
        <f>'Disinfectant Concentration'!D14</f>
        <v>70</v>
      </c>
      <c r="D42" s="72"/>
      <c r="O42" s="95">
        <v>50</v>
      </c>
      <c r="P42" s="95">
        <v>9</v>
      </c>
    </row>
    <row r="43" spans="1:16" x14ac:dyDescent="0.25">
      <c r="B43" s="72">
        <f>'Disinfectant Concentration'!E15</f>
        <v>6.3333333333721384</v>
      </c>
      <c r="C43" s="94">
        <f>'Disinfectant Concentration'!D15</f>
        <v>50</v>
      </c>
      <c r="D43" s="72"/>
      <c r="O43" s="95" t="s">
        <v>146</v>
      </c>
      <c r="P43" s="95"/>
    </row>
    <row r="44" spans="1:16" x14ac:dyDescent="0.25">
      <c r="B44" s="72">
        <f>'Disinfectant Concentration'!E16</f>
        <v>7.2500000000582077</v>
      </c>
      <c r="C44" s="94">
        <f>'Disinfectant Concentration'!D16</f>
        <v>35</v>
      </c>
      <c r="D44" s="72"/>
      <c r="O44" s="95">
        <v>400</v>
      </c>
      <c r="P44" s="95">
        <v>0</v>
      </c>
    </row>
    <row r="45" spans="1:16" x14ac:dyDescent="0.25">
      <c r="B45" s="72">
        <f>'Disinfectant Concentration'!E17</f>
        <v>22.750000000116415</v>
      </c>
      <c r="C45" s="94">
        <f>'Disinfectant Concentration'!D17</f>
        <v>18</v>
      </c>
      <c r="D45" s="72"/>
      <c r="O45" s="95">
        <v>400</v>
      </c>
      <c r="P45" s="95">
        <v>9</v>
      </c>
    </row>
    <row r="46" spans="1:16" x14ac:dyDescent="0.25">
      <c r="B46" s="72">
        <f>'Disinfectant Concentration'!E18</f>
        <v>25.166666666802485</v>
      </c>
      <c r="C46" s="94">
        <f>'Disinfectant Concentration'!D18</f>
        <v>12</v>
      </c>
      <c r="D46" s="72"/>
    </row>
    <row r="47" spans="1:16" x14ac:dyDescent="0.25">
      <c r="B47" s="72">
        <f>'Disinfectant Concentration'!E19</f>
        <v>28.5</v>
      </c>
      <c r="C47" s="94">
        <f>'Disinfectant Concentration'!D19</f>
        <v>0</v>
      </c>
      <c r="D47" s="72"/>
    </row>
    <row r="48" spans="1:16" x14ac:dyDescent="0.25">
      <c r="B48" s="72">
        <f>'Disinfectant Concentration'!E20</f>
        <v>46.750000000116415</v>
      </c>
      <c r="C48" s="94">
        <f>'Disinfectant Concentration'!D20</f>
        <v>0</v>
      </c>
      <c r="D48" s="72"/>
    </row>
    <row r="49" spans="4:4" x14ac:dyDescent="0.25">
      <c r="D49" s="72"/>
    </row>
  </sheetData>
  <mergeCells count="13">
    <mergeCell ref="AA3:AC3"/>
    <mergeCell ref="AD3:AE3"/>
    <mergeCell ref="A17:E17"/>
    <mergeCell ref="A36:E36"/>
    <mergeCell ref="A21:A22"/>
    <mergeCell ref="A23:A28"/>
    <mergeCell ref="A29:A30"/>
    <mergeCell ref="A31:A34"/>
    <mergeCell ref="A7:A8"/>
    <mergeCell ref="A9:A11"/>
    <mergeCell ref="A12:A13"/>
    <mergeCell ref="A14:A15"/>
    <mergeCell ref="A3:E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1.85546875" customWidth="1"/>
    <col min="2" max="2" width="17.28515625" bestFit="1" customWidth="1"/>
    <col min="3" max="3" width="10" customWidth="1"/>
    <col min="4" max="4" width="13.85546875" customWidth="1"/>
  </cols>
  <sheetData>
    <row r="1" spans="1:10" ht="18" x14ac:dyDescent="0.25">
      <c r="A1" s="141" t="s">
        <v>158</v>
      </c>
    </row>
    <row r="3" spans="1:10" x14ac:dyDescent="0.25">
      <c r="A3" s="24"/>
      <c r="B3" s="24"/>
      <c r="C3" s="113" t="s">
        <v>77</v>
      </c>
      <c r="D3" s="113"/>
      <c r="E3" s="113" t="s">
        <v>78</v>
      </c>
      <c r="F3" s="113"/>
    </row>
    <row r="4" spans="1:10" x14ac:dyDescent="0.25">
      <c r="A4" s="113" t="s">
        <v>98</v>
      </c>
      <c r="B4" s="113"/>
      <c r="C4" s="114">
        <v>41918.416666666664</v>
      </c>
      <c r="D4" s="114"/>
      <c r="E4" s="114">
        <v>41918.458333333336</v>
      </c>
      <c r="F4" s="114"/>
    </row>
    <row r="5" spans="1:10" x14ac:dyDescent="0.25">
      <c r="A5" s="113" t="s">
        <v>99</v>
      </c>
      <c r="B5" s="113"/>
      <c r="C5" s="114">
        <v>41918.5</v>
      </c>
      <c r="D5" s="114"/>
      <c r="E5" s="114">
        <v>41918.541666666664</v>
      </c>
      <c r="F5" s="114"/>
    </row>
    <row r="6" spans="1:10" x14ac:dyDescent="0.25">
      <c r="A6" s="113" t="s">
        <v>101</v>
      </c>
      <c r="B6" s="113"/>
      <c r="C6" s="116">
        <v>41918.541666666664</v>
      </c>
      <c r="D6" s="116"/>
      <c r="E6" s="114">
        <v>41919.541666666664</v>
      </c>
      <c r="F6" s="114"/>
    </row>
    <row r="7" spans="1:10" x14ac:dyDescent="0.25">
      <c r="A7" s="113" t="s">
        <v>100</v>
      </c>
      <c r="B7" s="113"/>
      <c r="C7" s="116">
        <v>41919.5</v>
      </c>
      <c r="D7" s="116"/>
      <c r="E7" s="114">
        <v>41920.541666666664</v>
      </c>
      <c r="F7" s="114"/>
    </row>
    <row r="8" spans="1:10" x14ac:dyDescent="0.25">
      <c r="A8" s="113" t="s">
        <v>79</v>
      </c>
      <c r="B8" s="113"/>
      <c r="C8" s="116">
        <v>41920.541666666664</v>
      </c>
      <c r="D8" s="116"/>
      <c r="E8" s="116">
        <v>41934.541666666664</v>
      </c>
      <c r="F8" s="116"/>
    </row>
    <row r="9" spans="1:10" ht="94.5" x14ac:dyDescent="0.35">
      <c r="A9" s="26" t="s">
        <v>62</v>
      </c>
      <c r="B9" s="26" t="s">
        <v>63</v>
      </c>
      <c r="C9" t="s">
        <v>0</v>
      </c>
      <c r="D9" s="26" t="s">
        <v>117</v>
      </c>
      <c r="E9" s="26" t="s">
        <v>68</v>
      </c>
      <c r="F9" s="26" t="s">
        <v>68</v>
      </c>
      <c r="G9" s="26" t="s">
        <v>69</v>
      </c>
      <c r="H9" s="26" t="s">
        <v>69</v>
      </c>
      <c r="I9" s="32" t="s">
        <v>126</v>
      </c>
      <c r="J9" s="32" t="s">
        <v>156</v>
      </c>
    </row>
    <row r="10" spans="1:10" x14ac:dyDescent="0.25">
      <c r="A10" s="26"/>
      <c r="B10" s="26"/>
      <c r="D10" s="25" t="s">
        <v>65</v>
      </c>
      <c r="E10" s="26" t="s">
        <v>66</v>
      </c>
      <c r="F10" s="26" t="s">
        <v>67</v>
      </c>
      <c r="G10" s="26" t="s">
        <v>66</v>
      </c>
      <c r="H10" s="26" t="s">
        <v>67</v>
      </c>
      <c r="I10" s="26" t="s">
        <v>66</v>
      </c>
      <c r="J10" s="26" t="s">
        <v>67</v>
      </c>
    </row>
    <row r="11" spans="1:10" x14ac:dyDescent="0.25">
      <c r="A11" s="27" t="s">
        <v>70</v>
      </c>
      <c r="B11" s="33">
        <v>41918.368055555555</v>
      </c>
      <c r="C11" s="25" t="s">
        <v>116</v>
      </c>
      <c r="D11" s="72">
        <v>0</v>
      </c>
      <c r="E11" s="25">
        <v>0</v>
      </c>
      <c r="F11" s="25" t="s">
        <v>64</v>
      </c>
      <c r="G11" s="25" t="s">
        <v>64</v>
      </c>
      <c r="H11" s="25" t="s">
        <v>64</v>
      </c>
      <c r="I11" s="25" t="s">
        <v>64</v>
      </c>
      <c r="J11" s="25" t="s">
        <v>64</v>
      </c>
    </row>
    <row r="12" spans="1:10" x14ac:dyDescent="0.25">
      <c r="A12" s="27" t="s">
        <v>70</v>
      </c>
      <c r="B12" s="33">
        <v>41918.53125</v>
      </c>
      <c r="C12" s="25" t="s">
        <v>115</v>
      </c>
      <c r="D12" s="25">
        <v>110</v>
      </c>
      <c r="E12" s="72">
        <f>(B12-$C$4)*24</f>
        <v>2.7500000000582077</v>
      </c>
      <c r="F12" s="25">
        <f>E12*60</f>
        <v>165.00000000349246</v>
      </c>
      <c r="G12" s="72">
        <f>(B12-$C$5)*24</f>
        <v>0.75</v>
      </c>
      <c r="H12" s="25">
        <f>G12*60</f>
        <v>45</v>
      </c>
      <c r="I12" s="25" t="s">
        <v>64</v>
      </c>
      <c r="J12" s="25" t="s">
        <v>64</v>
      </c>
    </row>
    <row r="13" spans="1:10" x14ac:dyDescent="0.25">
      <c r="A13" s="27" t="s">
        <v>70</v>
      </c>
      <c r="B13" s="33">
        <v>41918.539583333331</v>
      </c>
      <c r="C13" s="25" t="s">
        <v>118</v>
      </c>
      <c r="D13" s="25">
        <v>105</v>
      </c>
      <c r="E13" s="72">
        <f t="shared" ref="E13:E20" si="0">(B13-$C$4)*24</f>
        <v>2.9500000000116415</v>
      </c>
      <c r="F13" s="25">
        <f t="shared" ref="F13:F20" si="1">E13*60</f>
        <v>177.00000000069849</v>
      </c>
      <c r="G13" s="72">
        <f t="shared" ref="G13:G20" si="2">(B13-$C$5)*24</f>
        <v>0.94999999995343387</v>
      </c>
      <c r="H13" s="25">
        <f t="shared" ref="H13:H20" si="3">G13*60</f>
        <v>56.999999997206032</v>
      </c>
      <c r="I13" s="25" t="s">
        <v>64</v>
      </c>
      <c r="J13" s="25" t="s">
        <v>64</v>
      </c>
    </row>
    <row r="14" spans="1:10" x14ac:dyDescent="0.25">
      <c r="A14" s="26" t="s">
        <v>105</v>
      </c>
      <c r="B14" s="33">
        <v>41918.597222222219</v>
      </c>
      <c r="C14" s="25" t="s">
        <v>119</v>
      </c>
      <c r="D14" s="25">
        <v>70</v>
      </c>
      <c r="E14" s="72">
        <f t="shared" si="0"/>
        <v>4.3333333333139308</v>
      </c>
      <c r="F14" s="25">
        <f t="shared" si="1"/>
        <v>259.99999999883585</v>
      </c>
      <c r="G14" s="72">
        <f t="shared" si="2"/>
        <v>2.3333333332557231</v>
      </c>
      <c r="H14" s="25">
        <f t="shared" si="3"/>
        <v>139.99999999534339</v>
      </c>
      <c r="I14" s="72">
        <f>(B14-$C$6)*24</f>
        <v>1.3333333333139308</v>
      </c>
      <c r="J14" s="25">
        <f>I14*60</f>
        <v>79.999999998835847</v>
      </c>
    </row>
    <row r="15" spans="1:10" x14ac:dyDescent="0.25">
      <c r="A15" s="27" t="s">
        <v>105</v>
      </c>
      <c r="B15" s="33">
        <v>41918.680555555555</v>
      </c>
      <c r="C15" s="25" t="s">
        <v>120</v>
      </c>
      <c r="D15" s="25">
        <v>50</v>
      </c>
      <c r="E15" s="72">
        <f t="shared" si="0"/>
        <v>6.3333333333721384</v>
      </c>
      <c r="F15" s="25">
        <f t="shared" si="1"/>
        <v>380.00000000232831</v>
      </c>
      <c r="G15" s="72">
        <f t="shared" si="2"/>
        <v>4.3333333333139308</v>
      </c>
      <c r="H15" s="25">
        <f t="shared" si="3"/>
        <v>259.99999999883585</v>
      </c>
      <c r="I15" s="72">
        <f t="shared" ref="I15:I18" si="4">(B15-$C$6)*24</f>
        <v>3.3333333333721384</v>
      </c>
      <c r="J15" s="25">
        <f t="shared" ref="J15:J18" si="5">I15*60</f>
        <v>200.00000000232831</v>
      </c>
    </row>
    <row r="16" spans="1:10" x14ac:dyDescent="0.25">
      <c r="A16" s="26" t="s">
        <v>105</v>
      </c>
      <c r="B16" s="33">
        <v>41918.71875</v>
      </c>
      <c r="C16" s="25" t="s">
        <v>121</v>
      </c>
      <c r="D16" s="25">
        <v>35</v>
      </c>
      <c r="E16" s="72">
        <f t="shared" si="0"/>
        <v>7.2500000000582077</v>
      </c>
      <c r="F16" s="25">
        <f t="shared" si="1"/>
        <v>435.00000000349246</v>
      </c>
      <c r="G16" s="72">
        <f t="shared" si="2"/>
        <v>5.25</v>
      </c>
      <c r="H16" s="25">
        <f t="shared" si="3"/>
        <v>315</v>
      </c>
      <c r="I16" s="72">
        <f t="shared" si="4"/>
        <v>4.2500000000582077</v>
      </c>
      <c r="J16" s="25">
        <f t="shared" si="5"/>
        <v>255.00000000349246</v>
      </c>
    </row>
    <row r="17" spans="1:10" x14ac:dyDescent="0.25">
      <c r="A17" s="27" t="s">
        <v>71</v>
      </c>
      <c r="B17" s="33">
        <v>41919.364583333336</v>
      </c>
      <c r="C17" s="25" t="s">
        <v>122</v>
      </c>
      <c r="D17" s="25">
        <v>18</v>
      </c>
      <c r="E17" s="72">
        <f t="shared" si="0"/>
        <v>22.750000000116415</v>
      </c>
      <c r="F17" s="25">
        <f t="shared" si="1"/>
        <v>1365.0000000069849</v>
      </c>
      <c r="G17" s="72">
        <f t="shared" si="2"/>
        <v>20.750000000058208</v>
      </c>
      <c r="H17" s="25">
        <f t="shared" si="3"/>
        <v>1245.0000000034925</v>
      </c>
      <c r="I17" s="72">
        <f t="shared" si="4"/>
        <v>19.750000000116415</v>
      </c>
      <c r="J17" s="25">
        <f t="shared" si="5"/>
        <v>1185.0000000069849</v>
      </c>
    </row>
    <row r="18" spans="1:10" x14ac:dyDescent="0.25">
      <c r="A18" s="27" t="s">
        <v>71</v>
      </c>
      <c r="B18" s="33">
        <v>41919.465277777781</v>
      </c>
      <c r="C18" s="25" t="s">
        <v>123</v>
      </c>
      <c r="D18" s="25">
        <v>12</v>
      </c>
      <c r="E18" s="72">
        <f t="shared" si="0"/>
        <v>25.166666666802485</v>
      </c>
      <c r="F18" s="25">
        <f t="shared" si="1"/>
        <v>1510.0000000081491</v>
      </c>
      <c r="G18" s="72">
        <f t="shared" si="2"/>
        <v>23.166666666744277</v>
      </c>
      <c r="H18" s="25">
        <f t="shared" si="3"/>
        <v>1390.0000000046566</v>
      </c>
      <c r="I18" s="72">
        <f t="shared" si="4"/>
        <v>22.166666666802485</v>
      </c>
      <c r="J18" s="25">
        <f t="shared" si="5"/>
        <v>1330.0000000081491</v>
      </c>
    </row>
    <row r="19" spans="1:10" s="24" customFormat="1" x14ac:dyDescent="0.25">
      <c r="A19" s="27" t="s">
        <v>71</v>
      </c>
      <c r="B19" s="33">
        <v>41919.604166666664</v>
      </c>
      <c r="C19" s="26" t="s">
        <v>124</v>
      </c>
      <c r="D19" s="26">
        <v>0</v>
      </c>
      <c r="E19" s="72">
        <f t="shared" si="0"/>
        <v>28.5</v>
      </c>
      <c r="F19" s="25">
        <f t="shared" si="1"/>
        <v>1710</v>
      </c>
      <c r="G19" s="72">
        <f t="shared" si="2"/>
        <v>26.499999999941792</v>
      </c>
      <c r="H19" s="25">
        <f t="shared" si="3"/>
        <v>1589.9999999965075</v>
      </c>
      <c r="I19" s="72" t="s">
        <v>64</v>
      </c>
      <c r="J19" s="25" t="s">
        <v>64</v>
      </c>
    </row>
    <row r="20" spans="1:10" x14ac:dyDescent="0.25">
      <c r="A20" s="27" t="s">
        <v>72</v>
      </c>
      <c r="B20" s="33">
        <v>41920.364583333336</v>
      </c>
      <c r="C20" s="26" t="s">
        <v>125</v>
      </c>
      <c r="D20" s="25">
        <v>0</v>
      </c>
      <c r="E20" s="72">
        <f t="shared" si="0"/>
        <v>46.750000000116415</v>
      </c>
      <c r="F20" s="25">
        <f t="shared" si="1"/>
        <v>2805.0000000069849</v>
      </c>
      <c r="G20" s="72">
        <f t="shared" si="2"/>
        <v>44.750000000058208</v>
      </c>
      <c r="H20" s="25">
        <f t="shared" si="3"/>
        <v>2685.0000000034925</v>
      </c>
      <c r="I20" s="72" t="s">
        <v>64</v>
      </c>
      <c r="J20" s="25" t="s">
        <v>64</v>
      </c>
    </row>
    <row r="21" spans="1:10" x14ac:dyDescent="0.25">
      <c r="A21" s="27"/>
      <c r="B21" s="33"/>
      <c r="E21" s="25"/>
      <c r="F21" s="25"/>
      <c r="G21" s="25"/>
      <c r="H21" s="25"/>
      <c r="I21" s="72"/>
      <c r="J21" s="25"/>
    </row>
    <row r="22" spans="1:10" x14ac:dyDescent="0.25">
      <c r="B22" s="33"/>
    </row>
    <row r="23" spans="1:10" x14ac:dyDescent="0.25">
      <c r="A23" s="27"/>
      <c r="B23" s="33"/>
    </row>
    <row r="24" spans="1:10" x14ac:dyDescent="0.25">
      <c r="A24" s="27"/>
      <c r="B24" s="33"/>
    </row>
    <row r="25" spans="1:10" x14ac:dyDescent="0.25">
      <c r="A25" s="46"/>
      <c r="B25" s="47"/>
    </row>
    <row r="26" spans="1:10" x14ac:dyDescent="0.25">
      <c r="A26" s="46"/>
      <c r="B26" s="47"/>
    </row>
  </sheetData>
  <mergeCells count="17">
    <mergeCell ref="A8:B8"/>
    <mergeCell ref="C8:D8"/>
    <mergeCell ref="E8:F8"/>
    <mergeCell ref="A6:B6"/>
    <mergeCell ref="C6:D6"/>
    <mergeCell ref="E6:F6"/>
    <mergeCell ref="A7:B7"/>
    <mergeCell ref="C7:D7"/>
    <mergeCell ref="E7:F7"/>
    <mergeCell ref="A5:B5"/>
    <mergeCell ref="C5:D5"/>
    <mergeCell ref="E5:F5"/>
    <mergeCell ref="C3:D3"/>
    <mergeCell ref="E3:F3"/>
    <mergeCell ref="A4:B4"/>
    <mergeCell ref="C4:D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Pipe Decon-Water</vt:lpstr>
      <vt:lpstr>Pipe Decon-Coupons</vt:lpstr>
      <vt:lpstr>Summary</vt:lpstr>
      <vt:lpstr>Disinfectant Concentration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Heckman</dc:creator>
  <cp:lastModifiedBy>Szabo, Jeff</cp:lastModifiedBy>
  <dcterms:created xsi:type="dcterms:W3CDTF">2014-10-09T15:09:06Z</dcterms:created>
  <dcterms:modified xsi:type="dcterms:W3CDTF">2017-04-17T13:44:59Z</dcterms:modified>
</cp:coreProperties>
</file>